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Nancy Baker\Documents\EPA\AS\Deliver\"/>
    </mc:Choice>
  </mc:AlternateContent>
  <xr:revisionPtr revIDLastSave="0" documentId="13_ncr:1_{CCC03254-EA25-4417-98E0-2A922C39F946}" xr6:coauthVersionLast="47" xr6:coauthVersionMax="47" xr10:uidLastSave="{00000000-0000-0000-0000-000000000000}"/>
  <bookViews>
    <workbookView xWindow="-120" yWindow="-120" windowWidth="29040" windowHeight="15840" xr2:uid="{00000000-000D-0000-FFFF-FFFF00000000}"/>
  </bookViews>
  <sheets>
    <sheet name="ReadMe" sheetId="10" r:id="rId1"/>
    <sheet name="Main" sheetId="5" r:id="rId2"/>
    <sheet name="Log" sheetId="7" r:id="rId3"/>
    <sheet name="Landscape" sheetId="8" r:id="rId4"/>
    <sheet name="TermMap" sheetId="20" r:id="rId5"/>
    <sheet name="Notes" sheetId="3" r:id="rId6"/>
    <sheet name="Abstract" sheetId="6" r:id="rId7"/>
    <sheet name="Sample_queries" sheetId="12" r:id="rId8"/>
    <sheet name="CuratedLists" sheetId="13" r:id="rId9"/>
    <sheet name="Pathway_queries" sheetId="11" r:id="rId10"/>
  </sheets>
  <functionGroups builtInGroupCount="19"/>
  <definedNames>
    <definedName name="_xlnm._FilterDatabase" localSheetId="8" hidden="1">CuratedLists!$A$3:$E$3</definedName>
    <definedName name="_xlnm._FilterDatabase" localSheetId="3" hidden="1">Landscape!$A$5:$H$5</definedName>
    <definedName name="_xlnm._FilterDatabase" localSheetId="2" hidden="1">Log!$A$2:$F$2</definedName>
    <definedName name="_xlnm._FilterDatabase" localSheetId="1" hidden="1">Main!$A$3:$S$3</definedName>
    <definedName name="_xlnm._FilterDatabase" localSheetId="5" hidden="1">Notes!$A$2:$V$2</definedName>
    <definedName name="_xlnm._FilterDatabase" localSheetId="9" hidden="1">Pathway_queries!$A$3:$E$83</definedName>
    <definedName name="_xlnm._FilterDatabase" localSheetId="7" hidden="1">Sample_queries!$A$3:$E$3</definedName>
    <definedName name="_xlnm._FilterDatabase" localSheetId="4" hidden="1">TermMap!$A$3:$C$3</definedName>
    <definedName name="unionwithAbstract">#REF!</definedName>
  </definedNames>
  <calcPr calcId="191029"/>
</workbook>
</file>

<file path=xl/calcChain.xml><?xml version="1.0" encoding="utf-8"?>
<calcChain xmlns="http://schemas.openxmlformats.org/spreadsheetml/2006/main">
  <c r="D848" i="5" l="1"/>
  <c r="D849" i="5"/>
  <c r="D1191" i="5"/>
  <c r="D1192" i="5"/>
  <c r="D340" i="5"/>
  <c r="D672" i="5"/>
  <c r="D673" i="5"/>
  <c r="D850" i="5"/>
  <c r="D851" i="5"/>
  <c r="D852" i="5"/>
  <c r="D1193" i="5"/>
  <c r="D996" i="5"/>
  <c r="D60" i="5"/>
  <c r="D111" i="5"/>
  <c r="D145" i="5"/>
  <c r="D1194" i="5"/>
  <c r="D997" i="5"/>
  <c r="D1195" i="5"/>
  <c r="D341" i="5"/>
  <c r="D146" i="5"/>
  <c r="D998" i="5"/>
  <c r="D203" i="5"/>
  <c r="D674" i="5"/>
  <c r="D853" i="5"/>
  <c r="D1196" i="5"/>
  <c r="D112" i="5"/>
  <c r="D342" i="5"/>
  <c r="D425" i="5"/>
  <c r="D426" i="5"/>
  <c r="D854" i="5"/>
  <c r="D999" i="5"/>
  <c r="D113" i="5"/>
  <c r="D1000" i="5"/>
  <c r="D855" i="5"/>
  <c r="D1197" i="5"/>
  <c r="D34" i="5"/>
  <c r="D343" i="5"/>
  <c r="D147" i="5"/>
  <c r="D1198" i="5"/>
  <c r="D1199" i="5"/>
  <c r="D17" i="5"/>
  <c r="D35" i="5"/>
  <c r="D535" i="5"/>
  <c r="D675" i="5"/>
  <c r="D536" i="5"/>
  <c r="D856" i="5"/>
  <c r="D676" i="5"/>
  <c r="D677" i="5"/>
  <c r="D427" i="5"/>
  <c r="D148" i="5"/>
  <c r="D80" i="5"/>
  <c r="D857" i="5"/>
  <c r="D1001" i="5"/>
  <c r="D1200" i="5"/>
  <c r="D149" i="5"/>
  <c r="D262" i="5"/>
  <c r="D150" i="5"/>
  <c r="D1002" i="5"/>
  <c r="D678" i="5"/>
  <c r="D36" i="5"/>
  <c r="D1201" i="5"/>
  <c r="D537" i="5"/>
  <c r="D263" i="5"/>
  <c r="D1202" i="5"/>
  <c r="D204" i="5"/>
  <c r="D1003" i="5"/>
  <c r="D858" i="5"/>
  <c r="D1203" i="5"/>
  <c r="D428" i="5"/>
  <c r="D344" i="5"/>
  <c r="D1204" i="5"/>
  <c r="D264" i="5"/>
  <c r="D1205" i="5"/>
  <c r="D345" i="5"/>
  <c r="D205" i="5"/>
  <c r="D265" i="5"/>
  <c r="D679" i="5"/>
  <c r="D859" i="5"/>
  <c r="D680" i="5"/>
  <c r="D45" i="5"/>
  <c r="D1206" i="5"/>
  <c r="D1207" i="5"/>
  <c r="D266" i="5"/>
  <c r="D346" i="5"/>
  <c r="D267" i="5"/>
  <c r="D681" i="5"/>
  <c r="D1208" i="5"/>
  <c r="D1209" i="5"/>
  <c r="D860" i="5"/>
  <c r="D682" i="5"/>
  <c r="D206" i="5"/>
  <c r="D61" i="5"/>
  <c r="D347" i="5"/>
  <c r="D1004" i="5"/>
  <c r="D1210" i="5"/>
  <c r="D538" i="5"/>
  <c r="D429" i="5"/>
  <c r="D539" i="5"/>
  <c r="D268" i="5"/>
  <c r="D348" i="5"/>
  <c r="D1211" i="5"/>
  <c r="D207" i="5"/>
  <c r="D1005" i="5"/>
  <c r="D269" i="5"/>
  <c r="D1212" i="5"/>
  <c r="D540" i="5"/>
  <c r="D114" i="5"/>
  <c r="D208" i="5"/>
  <c r="D81" i="5"/>
  <c r="D861" i="5"/>
  <c r="D82" i="5"/>
  <c r="D1213" i="5"/>
  <c r="D1214" i="5"/>
  <c r="D1006" i="5"/>
  <c r="D1007" i="5"/>
  <c r="D151" i="5"/>
  <c r="D1008" i="5"/>
  <c r="D1009" i="5"/>
  <c r="D541" i="5"/>
  <c r="D1215" i="5"/>
  <c r="D683" i="5"/>
  <c r="D1216" i="5"/>
  <c r="D349" i="5"/>
  <c r="D542" i="5"/>
  <c r="D862" i="5"/>
  <c r="D1217" i="5"/>
  <c r="D1218" i="5"/>
  <c r="D1219" i="5"/>
  <c r="D430" i="5"/>
  <c r="D863" i="5"/>
  <c r="D431" i="5"/>
  <c r="D46" i="5"/>
  <c r="D1220" i="5"/>
  <c r="D1221" i="5"/>
  <c r="D432" i="5"/>
  <c r="D684" i="5"/>
  <c r="D1010" i="5"/>
  <c r="D350" i="5"/>
  <c r="D1011" i="5"/>
  <c r="D1012" i="5"/>
  <c r="D1222" i="5"/>
  <c r="D543" i="5"/>
  <c r="D351" i="5"/>
  <c r="D685" i="5"/>
  <c r="D352" i="5"/>
  <c r="D433" i="5"/>
  <c r="D434" i="5"/>
  <c r="D1223" i="5"/>
  <c r="D544" i="5"/>
  <c r="D435" i="5"/>
  <c r="D864" i="5"/>
  <c r="D1224" i="5"/>
  <c r="D1225" i="5"/>
  <c r="D686" i="5"/>
  <c r="D1226" i="5"/>
  <c r="D687" i="5"/>
  <c r="D115" i="5"/>
  <c r="D865" i="5"/>
  <c r="D4" i="5"/>
  <c r="D1227" i="5"/>
  <c r="D1228" i="5"/>
  <c r="D1229" i="5"/>
  <c r="D545" i="5"/>
  <c r="D436" i="5"/>
  <c r="D688" i="5"/>
  <c r="D353" i="5"/>
  <c r="D1013" i="5"/>
  <c r="D116" i="5"/>
  <c r="D689" i="5"/>
  <c r="D270" i="5"/>
  <c r="D546" i="5"/>
  <c r="D437" i="5"/>
  <c r="D83" i="5"/>
  <c r="D1230" i="5"/>
  <c r="D690" i="5"/>
  <c r="D866" i="5"/>
  <c r="D1231" i="5"/>
  <c r="D867" i="5"/>
  <c r="D1014" i="5"/>
  <c r="D1015" i="5"/>
  <c r="D1232" i="5"/>
  <c r="D354" i="5"/>
  <c r="D117" i="5"/>
  <c r="D152" i="5"/>
  <c r="D691" i="5"/>
  <c r="D1233" i="5"/>
  <c r="D692" i="5"/>
  <c r="D547" i="5"/>
  <c r="D693" i="5"/>
  <c r="D1016" i="5"/>
  <c r="D355" i="5"/>
  <c r="D868" i="5"/>
  <c r="D84" i="5"/>
  <c r="D1017" i="5"/>
  <c r="D694" i="5"/>
  <c r="D153" i="5"/>
  <c r="D154" i="5"/>
  <c r="D869" i="5"/>
  <c r="D438" i="5"/>
  <c r="D155" i="5"/>
  <c r="D271" i="5"/>
  <c r="D1018" i="5"/>
  <c r="D870" i="5"/>
  <c r="D871" i="5"/>
  <c r="D695" i="5"/>
  <c r="D1234" i="5"/>
  <c r="D548" i="5"/>
  <c r="D1019" i="5"/>
  <c r="D1020" i="5"/>
  <c r="D439" i="5"/>
  <c r="D549" i="5"/>
  <c r="D1021" i="5"/>
  <c r="D1022" i="5"/>
  <c r="D1023" i="5"/>
  <c r="D85" i="5"/>
  <c r="D1235" i="5"/>
  <c r="D696" i="5"/>
  <c r="D697" i="5"/>
  <c r="D698" i="5"/>
  <c r="D699" i="5"/>
  <c r="D440" i="5"/>
  <c r="D37" i="5"/>
  <c r="D1236" i="5"/>
  <c r="D441" i="5"/>
  <c r="D872" i="5"/>
  <c r="D209" i="5"/>
  <c r="D272" i="5"/>
  <c r="D700" i="5"/>
  <c r="D38" i="5"/>
  <c r="D1024" i="5"/>
  <c r="D29" i="5"/>
  <c r="D1237" i="5"/>
  <c r="D1025" i="5"/>
  <c r="D550" i="5"/>
  <c r="D873" i="5"/>
  <c r="D210" i="5"/>
  <c r="D551" i="5"/>
  <c r="D211" i="5"/>
  <c r="D156" i="5"/>
  <c r="D874" i="5"/>
  <c r="D1238" i="5"/>
  <c r="D875" i="5"/>
  <c r="D1026" i="5"/>
  <c r="D157" i="5"/>
  <c r="D1027" i="5"/>
  <c r="D212" i="5"/>
  <c r="D356" i="5"/>
  <c r="D86" i="5"/>
  <c r="D1028" i="5"/>
  <c r="D1029" i="5"/>
  <c r="D1239" i="5"/>
  <c r="D1030" i="5"/>
  <c r="D1031" i="5"/>
  <c r="D213" i="5"/>
  <c r="D273" i="5"/>
  <c r="D158" i="5"/>
  <c r="D701" i="5"/>
  <c r="D1240" i="5"/>
  <c r="D214" i="5"/>
  <c r="D552" i="5"/>
  <c r="D159" i="5"/>
  <c r="D1032" i="5"/>
  <c r="D1241" i="5"/>
  <c r="D274" i="5"/>
  <c r="D1242" i="5"/>
  <c r="D442" i="5"/>
  <c r="D357" i="5"/>
  <c r="D1243" i="5"/>
  <c r="D1033" i="5"/>
  <c r="D358" i="5"/>
  <c r="D1034" i="5"/>
  <c r="D1035" i="5"/>
  <c r="D553" i="5"/>
  <c r="D1244" i="5"/>
  <c r="D275" i="5"/>
  <c r="D5" i="5"/>
  <c r="D1036" i="5"/>
  <c r="D1037" i="5"/>
  <c r="D702" i="5"/>
  <c r="D703" i="5"/>
  <c r="D1245" i="5"/>
  <c r="D704" i="5"/>
  <c r="D1246" i="5"/>
  <c r="D443" i="5"/>
  <c r="D876" i="5"/>
  <c r="D705" i="5"/>
  <c r="D1038" i="5"/>
  <c r="D276" i="5"/>
  <c r="D277" i="5"/>
  <c r="D554" i="5"/>
  <c r="D1247" i="5"/>
  <c r="D1248" i="5"/>
  <c r="D359" i="5"/>
  <c r="D39" i="5"/>
  <c r="D877" i="5"/>
  <c r="D215" i="5"/>
  <c r="D1249" i="5"/>
  <c r="D1250" i="5"/>
  <c r="D706" i="5"/>
  <c r="D160" i="5"/>
  <c r="D1251" i="5"/>
  <c r="D62" i="5"/>
  <c r="D707" i="5"/>
  <c r="D278" i="5"/>
  <c r="D1252" i="5"/>
  <c r="D878" i="5"/>
  <c r="D1253" i="5"/>
  <c r="D30" i="5"/>
  <c r="D216" i="5"/>
  <c r="D555" i="5"/>
  <c r="D217" i="5"/>
  <c r="D1254" i="5"/>
  <c r="D1255" i="5"/>
  <c r="D1256" i="5"/>
  <c r="D161" i="5"/>
  <c r="D360" i="5"/>
  <c r="D1257" i="5"/>
  <c r="D1258" i="5"/>
  <c r="D118" i="5"/>
  <c r="D708" i="5"/>
  <c r="D31" i="5"/>
  <c r="D1039" i="5"/>
  <c r="D1259" i="5"/>
  <c r="D1260" i="5"/>
  <c r="D709" i="5"/>
  <c r="D1040" i="5"/>
  <c r="D1261" i="5"/>
  <c r="D1262" i="5"/>
  <c r="D6" i="5"/>
  <c r="D361" i="5"/>
  <c r="D1041" i="5"/>
  <c r="D556" i="5"/>
  <c r="D1263" i="5"/>
  <c r="D557" i="5"/>
  <c r="D1042" i="5"/>
  <c r="D362" i="5"/>
  <c r="D1264" i="5"/>
  <c r="D119" i="5"/>
  <c r="D444" i="5"/>
  <c r="D279" i="5"/>
  <c r="D710" i="5"/>
  <c r="D1265" i="5"/>
  <c r="D558" i="5"/>
  <c r="D879" i="5"/>
  <c r="D8" i="5"/>
  <c r="D1266" i="5"/>
  <c r="D87" i="5"/>
  <c r="D363" i="5"/>
  <c r="D711" i="5"/>
  <c r="D162" i="5"/>
  <c r="D1267" i="5"/>
  <c r="D712" i="5"/>
  <c r="D1043" i="5"/>
  <c r="D559" i="5"/>
  <c r="D88" i="5"/>
  <c r="D1268" i="5"/>
  <c r="D1044" i="5"/>
  <c r="D120" i="5"/>
  <c r="D1269" i="5"/>
  <c r="D1045" i="5"/>
  <c r="D445" i="5"/>
  <c r="D713" i="5"/>
  <c r="D163" i="5"/>
  <c r="D1046" i="5"/>
  <c r="D714" i="5"/>
  <c r="D1047" i="5"/>
  <c r="D715" i="5"/>
  <c r="D280" i="5"/>
  <c r="D716" i="5"/>
  <c r="D560" i="5"/>
  <c r="D446" i="5"/>
  <c r="D281" i="5"/>
  <c r="D717" i="5"/>
  <c r="D89" i="5"/>
  <c r="D364" i="5"/>
  <c r="D164" i="5"/>
  <c r="D63" i="5"/>
  <c r="D561" i="5"/>
  <c r="D447" i="5"/>
  <c r="D282" i="5"/>
  <c r="D1270" i="5"/>
  <c r="D365" i="5"/>
  <c r="D47" i="5"/>
  <c r="D718" i="5"/>
  <c r="D20" i="5"/>
  <c r="D880" i="5"/>
  <c r="D283" i="5"/>
  <c r="D121" i="5"/>
  <c r="D218" i="5"/>
  <c r="D448" i="5"/>
  <c r="D881" i="5"/>
  <c r="D562" i="5"/>
  <c r="D1048" i="5"/>
  <c r="D165" i="5"/>
  <c r="D284" i="5"/>
  <c r="D1271" i="5"/>
  <c r="D40" i="5"/>
  <c r="D1272" i="5"/>
  <c r="D1273" i="5"/>
  <c r="D449" i="5"/>
  <c r="D563" i="5"/>
  <c r="D1274" i="5"/>
  <c r="D1049" i="5"/>
  <c r="D882" i="5"/>
  <c r="D719" i="5"/>
  <c r="D564" i="5"/>
  <c r="D883" i="5"/>
  <c r="D450" i="5"/>
  <c r="D1050" i="5"/>
  <c r="D90" i="5"/>
  <c r="D1051" i="5"/>
  <c r="D219" i="5"/>
  <c r="D166" i="5"/>
  <c r="D720" i="5"/>
  <c r="D721" i="5"/>
  <c r="D1052" i="5"/>
  <c r="D41" i="5"/>
  <c r="D451" i="5"/>
  <c r="D91" i="5"/>
  <c r="D1275" i="5"/>
  <c r="D452" i="5"/>
  <c r="D92" i="5"/>
  <c r="D884" i="5"/>
  <c r="D285" i="5"/>
  <c r="D1053" i="5"/>
  <c r="D366" i="5"/>
  <c r="D885" i="5"/>
  <c r="D453" i="5"/>
  <c r="D1276" i="5"/>
  <c r="D1054" i="5"/>
  <c r="D886" i="5"/>
  <c r="D722" i="5"/>
  <c r="D1055" i="5"/>
  <c r="D454" i="5"/>
  <c r="D1277" i="5"/>
  <c r="D220" i="5"/>
  <c r="D565" i="5"/>
  <c r="D167" i="5"/>
  <c r="D286" i="5"/>
  <c r="D1278" i="5"/>
  <c r="D723" i="5"/>
  <c r="D566" i="5"/>
  <c r="D367" i="5"/>
  <c r="D368" i="5"/>
  <c r="D724" i="5"/>
  <c r="D1056" i="5"/>
  <c r="D1057" i="5"/>
  <c r="D567" i="5"/>
  <c r="D887" i="5"/>
  <c r="D1279" i="5"/>
  <c r="D1058" i="5"/>
  <c r="D455" i="5"/>
  <c r="D725" i="5"/>
  <c r="D888" i="5"/>
  <c r="D726" i="5"/>
  <c r="D456" i="5"/>
  <c r="D568" i="5"/>
  <c r="D727" i="5"/>
  <c r="D287" i="5"/>
  <c r="D1059" i="5"/>
  <c r="D728" i="5"/>
  <c r="D1280" i="5"/>
  <c r="D288" i="5"/>
  <c r="D21" i="5"/>
  <c r="D1281" i="5"/>
  <c r="D1060" i="5"/>
  <c r="D457" i="5"/>
  <c r="D1282" i="5"/>
  <c r="D1061" i="5"/>
  <c r="D289" i="5"/>
  <c r="D889" i="5"/>
  <c r="D290" i="5"/>
  <c r="D458" i="5"/>
  <c r="D1062" i="5"/>
  <c r="D890" i="5"/>
  <c r="D1283" i="5"/>
  <c r="D729" i="5"/>
  <c r="D730" i="5"/>
  <c r="D64" i="5"/>
  <c r="D1284" i="5"/>
  <c r="D1285" i="5"/>
  <c r="D1286" i="5"/>
  <c r="D569" i="5"/>
  <c r="D459" i="5"/>
  <c r="D1287" i="5"/>
  <c r="D369" i="5"/>
  <c r="D1288" i="5"/>
  <c r="D731" i="5"/>
  <c r="D1289" i="5"/>
  <c r="D65" i="5"/>
  <c r="D732" i="5"/>
  <c r="D570" i="5"/>
  <c r="D1063" i="5"/>
  <c r="D1290" i="5"/>
  <c r="D1291" i="5"/>
  <c r="D733" i="5"/>
  <c r="D1292" i="5"/>
  <c r="D734" i="5"/>
  <c r="D370" i="5"/>
  <c r="D371" i="5"/>
  <c r="D168" i="5"/>
  <c r="D1293" i="5"/>
  <c r="D291" i="5"/>
  <c r="D66" i="5"/>
  <c r="D571" i="5"/>
  <c r="D1064" i="5"/>
  <c r="D372" i="5"/>
  <c r="D1294" i="5"/>
  <c r="D460" i="5"/>
  <c r="D373" i="5"/>
  <c r="D1295" i="5"/>
  <c r="D1296" i="5"/>
  <c r="D735" i="5"/>
  <c r="D22" i="5"/>
  <c r="D1297" i="5"/>
  <c r="D891" i="5"/>
  <c r="D1065" i="5"/>
  <c r="D1066" i="5"/>
  <c r="D169" i="5"/>
  <c r="D572" i="5"/>
  <c r="D23" i="5"/>
  <c r="D1298" i="5"/>
  <c r="D1299" i="5"/>
  <c r="D374" i="5"/>
  <c r="D892" i="5"/>
  <c r="D461" i="5"/>
  <c r="D1067" i="5"/>
  <c r="D573" i="5"/>
  <c r="D93" i="5"/>
  <c r="D170" i="5"/>
  <c r="D1068" i="5"/>
  <c r="D736" i="5"/>
  <c r="D893" i="5"/>
  <c r="D737" i="5"/>
  <c r="D1300" i="5"/>
  <c r="D894" i="5"/>
  <c r="D1069" i="5"/>
  <c r="D221" i="5"/>
  <c r="D895" i="5"/>
  <c r="D574" i="5"/>
  <c r="D375" i="5"/>
  <c r="D376" i="5"/>
  <c r="D1070" i="5"/>
  <c r="D222" i="5"/>
  <c r="D1301" i="5"/>
  <c r="D1071" i="5"/>
  <c r="D292" i="5"/>
  <c r="D1302" i="5"/>
  <c r="D1303" i="5"/>
  <c r="D1304" i="5"/>
  <c r="D1072" i="5"/>
  <c r="D1073" i="5"/>
  <c r="D575" i="5"/>
  <c r="D1305" i="5"/>
  <c r="D223" i="5"/>
  <c r="D896" i="5"/>
  <c r="D122" i="5"/>
  <c r="D42" i="5"/>
  <c r="D1074" i="5"/>
  <c r="D293" i="5"/>
  <c r="D738" i="5"/>
  <c r="D897" i="5"/>
  <c r="D739" i="5"/>
  <c r="D1306" i="5"/>
  <c r="D15" i="5"/>
  <c r="D576" i="5"/>
  <c r="D740" i="5"/>
  <c r="D741" i="5"/>
  <c r="D742" i="5"/>
  <c r="D743" i="5"/>
  <c r="D1307" i="5"/>
  <c r="D1308" i="5"/>
  <c r="D377" i="5"/>
  <c r="D462" i="5"/>
  <c r="D1309" i="5"/>
  <c r="D744" i="5"/>
  <c r="D48" i="5"/>
  <c r="D171" i="5"/>
  <c r="D172" i="5"/>
  <c r="D745" i="5"/>
  <c r="D898" i="5"/>
  <c r="D173" i="5"/>
  <c r="D746" i="5"/>
  <c r="D294" i="5"/>
  <c r="D295" i="5"/>
  <c r="D224" i="5"/>
  <c r="D1075" i="5"/>
  <c r="D747" i="5"/>
  <c r="D174" i="5"/>
  <c r="D1076" i="5"/>
  <c r="D225" i="5"/>
  <c r="D1310" i="5"/>
  <c r="D1077" i="5"/>
  <c r="D1078" i="5"/>
  <c r="D1311" i="5"/>
  <c r="D463" i="5"/>
  <c r="D296" i="5"/>
  <c r="D1312" i="5"/>
  <c r="D577" i="5"/>
  <c r="D297" i="5"/>
  <c r="D1079" i="5"/>
  <c r="D748" i="5"/>
  <c r="D378" i="5"/>
  <c r="D94" i="5"/>
  <c r="D226" i="5"/>
  <c r="D7" i="5"/>
  <c r="D899" i="5"/>
  <c r="D12" i="5"/>
  <c r="D900" i="5"/>
  <c r="D298" i="5"/>
  <c r="D578" i="5"/>
  <c r="D379" i="5"/>
  <c r="D67" i="5"/>
  <c r="D123" i="5"/>
  <c r="D901" i="5"/>
  <c r="D579" i="5"/>
  <c r="D464" i="5"/>
  <c r="D580" i="5"/>
  <c r="D465" i="5"/>
  <c r="D1313" i="5"/>
  <c r="D902" i="5"/>
  <c r="D1080" i="5"/>
  <c r="D1314" i="5"/>
  <c r="D380" i="5"/>
  <c r="D466" i="5"/>
  <c r="D749" i="5"/>
  <c r="D1315" i="5"/>
  <c r="D581" i="5"/>
  <c r="D175" i="5"/>
  <c r="D1316" i="5"/>
  <c r="D1317" i="5"/>
  <c r="D750" i="5"/>
  <c r="D1081" i="5"/>
  <c r="D751" i="5"/>
  <c r="D1318" i="5"/>
  <c r="D582" i="5"/>
  <c r="D49" i="5"/>
  <c r="D1082" i="5"/>
  <c r="D68" i="5"/>
  <c r="D1083" i="5"/>
  <c r="D69" i="5"/>
  <c r="D752" i="5"/>
  <c r="D1084" i="5"/>
  <c r="D753" i="5"/>
  <c r="D583" i="5"/>
  <c r="D1319" i="5"/>
  <c r="D1320" i="5"/>
  <c r="D754" i="5"/>
  <c r="D1321" i="5"/>
  <c r="D227" i="5"/>
  <c r="D381" i="5"/>
  <c r="D1322" i="5"/>
  <c r="D1323" i="5"/>
  <c r="D382" i="5"/>
  <c r="D467" i="5"/>
  <c r="D50" i="5"/>
  <c r="D903" i="5"/>
  <c r="D383" i="5"/>
  <c r="D468" i="5"/>
  <c r="D755" i="5"/>
  <c r="D228" i="5"/>
  <c r="D1324" i="5"/>
  <c r="D299" i="5"/>
  <c r="D584" i="5"/>
  <c r="D1325" i="5"/>
  <c r="D1085" i="5"/>
  <c r="D384" i="5"/>
  <c r="D300" i="5"/>
  <c r="D1086" i="5"/>
  <c r="D904" i="5"/>
  <c r="D756" i="5"/>
  <c r="D1087" i="5"/>
  <c r="D585" i="5"/>
  <c r="D586" i="5"/>
  <c r="D124" i="5"/>
  <c r="D757" i="5"/>
  <c r="D587" i="5"/>
  <c r="D905" i="5"/>
  <c r="D1088" i="5"/>
  <c r="D229" i="5"/>
  <c r="D230" i="5"/>
  <c r="D1089" i="5"/>
  <c r="D1326" i="5"/>
  <c r="D758" i="5"/>
  <c r="D759" i="5"/>
  <c r="D1090" i="5"/>
  <c r="D906" i="5"/>
  <c r="D1091" i="5"/>
  <c r="D1092" i="5"/>
  <c r="D1327" i="5"/>
  <c r="D95" i="5"/>
  <c r="D1328" i="5"/>
  <c r="D301" i="5"/>
  <c r="D588" i="5"/>
  <c r="D125" i="5"/>
  <c r="D1329" i="5"/>
  <c r="D385" i="5"/>
  <c r="D760" i="5"/>
  <c r="D907" i="5"/>
  <c r="D908" i="5"/>
  <c r="D126" i="5"/>
  <c r="D231" i="5"/>
  <c r="D1330" i="5"/>
  <c r="D469" i="5"/>
  <c r="D909" i="5"/>
  <c r="D232" i="5"/>
  <c r="D1331" i="5"/>
  <c r="D761" i="5"/>
  <c r="D70" i="5"/>
  <c r="D24" i="5"/>
  <c r="D762" i="5"/>
  <c r="D910" i="5"/>
  <c r="D1332" i="5"/>
  <c r="D233" i="5"/>
  <c r="D176" i="5"/>
  <c r="D470" i="5"/>
  <c r="D177" i="5"/>
  <c r="D763" i="5"/>
  <c r="D911" i="5"/>
  <c r="D71" i="5"/>
  <c r="D1333" i="5"/>
  <c r="D302" i="5"/>
  <c r="D1334" i="5"/>
  <c r="D589" i="5"/>
  <c r="D471" i="5"/>
  <c r="D1093" i="5"/>
  <c r="D590" i="5"/>
  <c r="D472" i="5"/>
  <c r="D473" i="5"/>
  <c r="D591" i="5"/>
  <c r="D592" i="5"/>
  <c r="D474" i="5"/>
  <c r="D1094" i="5"/>
  <c r="D178" i="5"/>
  <c r="D303" i="5"/>
  <c r="D912" i="5"/>
  <c r="D1335" i="5"/>
  <c r="D1336" i="5"/>
  <c r="D1337" i="5"/>
  <c r="D1338" i="5"/>
  <c r="D179" i="5"/>
  <c r="D1339" i="5"/>
  <c r="D386" i="5"/>
  <c r="D593" i="5"/>
  <c r="D1340" i="5"/>
  <c r="D594" i="5"/>
  <c r="D764" i="5"/>
  <c r="D387" i="5"/>
  <c r="D1341" i="5"/>
  <c r="D1342" i="5"/>
  <c r="D1343" i="5"/>
  <c r="D234" i="5"/>
  <c r="D180" i="5"/>
  <c r="D913" i="5"/>
  <c r="D1095" i="5"/>
  <c r="D595" i="5"/>
  <c r="D304" i="5"/>
  <c r="D1096" i="5"/>
  <c r="D305" i="5"/>
  <c r="D475" i="5"/>
  <c r="D1344" i="5"/>
  <c r="D1345" i="5"/>
  <c r="D1097" i="5"/>
  <c r="D765" i="5"/>
  <c r="D914" i="5"/>
  <c r="D1346" i="5"/>
  <c r="D1098" i="5"/>
  <c r="D915" i="5"/>
  <c r="D306" i="5"/>
  <c r="D596" i="5"/>
  <c r="D476" i="5"/>
  <c r="D307" i="5"/>
  <c r="D1347" i="5"/>
  <c r="D181" i="5"/>
  <c r="D597" i="5"/>
  <c r="D916" i="5"/>
  <c r="D96" i="5"/>
  <c r="D1099" i="5"/>
  <c r="D1348" i="5"/>
  <c r="D1349" i="5"/>
  <c r="D766" i="5"/>
  <c r="D235" i="5"/>
  <c r="D1100" i="5"/>
  <c r="D308" i="5"/>
  <c r="D598" i="5"/>
  <c r="D25" i="5"/>
  <c r="D236" i="5"/>
  <c r="D309" i="5"/>
  <c r="D917" i="5"/>
  <c r="D72" i="5"/>
  <c r="D767" i="5"/>
  <c r="D918" i="5"/>
  <c r="D768" i="5"/>
  <c r="D1101" i="5"/>
  <c r="D97" i="5"/>
  <c r="D1350" i="5"/>
  <c r="D919" i="5"/>
  <c r="D477" i="5"/>
  <c r="D769" i="5"/>
  <c r="D770" i="5"/>
  <c r="D1102" i="5"/>
  <c r="D771" i="5"/>
  <c r="D772" i="5"/>
  <c r="D773" i="5"/>
  <c r="D774" i="5"/>
  <c r="D775" i="5"/>
  <c r="D478" i="5"/>
  <c r="D479" i="5"/>
  <c r="D920" i="5"/>
  <c r="D921" i="5"/>
  <c r="D237" i="5"/>
  <c r="D776" i="5"/>
  <c r="D480" i="5"/>
  <c r="D1103" i="5"/>
  <c r="D1351" i="5"/>
  <c r="D599" i="5"/>
  <c r="D922" i="5"/>
  <c r="D1352" i="5"/>
  <c r="D777" i="5"/>
  <c r="D1104" i="5"/>
  <c r="D600" i="5"/>
  <c r="D238" i="5"/>
  <c r="D310" i="5"/>
  <c r="D1353" i="5"/>
  <c r="D923" i="5"/>
  <c r="D481" i="5"/>
  <c r="D924" i="5"/>
  <c r="D98" i="5"/>
  <c r="D1354" i="5"/>
  <c r="D925" i="5"/>
  <c r="D1355" i="5"/>
  <c r="D482" i="5"/>
  <c r="D182" i="5"/>
  <c r="D926" i="5"/>
  <c r="D483" i="5"/>
  <c r="D127" i="5"/>
  <c r="D778" i="5"/>
  <c r="D1105" i="5"/>
  <c r="D1356" i="5"/>
  <c r="D183" i="5"/>
  <c r="D128" i="5"/>
  <c r="D484" i="5"/>
  <c r="D1357" i="5"/>
  <c r="D26" i="5"/>
  <c r="D1358" i="5"/>
  <c r="D1106" i="5"/>
  <c r="D779" i="5"/>
  <c r="D927" i="5"/>
  <c r="D388" i="5"/>
  <c r="D51" i="5"/>
  <c r="D601" i="5"/>
  <c r="D311" i="5"/>
  <c r="D1359" i="5"/>
  <c r="D312" i="5"/>
  <c r="D1107" i="5"/>
  <c r="D1360" i="5"/>
  <c r="D1108" i="5"/>
  <c r="D1109" i="5"/>
  <c r="D184" i="5"/>
  <c r="D780" i="5"/>
  <c r="D389" i="5"/>
  <c r="D73" i="5"/>
  <c r="D602" i="5"/>
  <c r="D781" i="5"/>
  <c r="D313" i="5"/>
  <c r="D1361" i="5"/>
  <c r="D782" i="5"/>
  <c r="D1362" i="5"/>
  <c r="D1363" i="5"/>
  <c r="D1110" i="5"/>
  <c r="D1111" i="5"/>
  <c r="D928" i="5"/>
  <c r="D929" i="5"/>
  <c r="D603" i="5"/>
  <c r="D1364" i="5"/>
  <c r="D604" i="5"/>
  <c r="D485" i="5"/>
  <c r="D1112" i="5"/>
  <c r="D930" i="5"/>
  <c r="D783" i="5"/>
  <c r="D931" i="5"/>
  <c r="D314" i="5"/>
  <c r="D932" i="5"/>
  <c r="D390" i="5"/>
  <c r="D605" i="5"/>
  <c r="D606" i="5"/>
  <c r="D1365" i="5"/>
  <c r="D1366" i="5"/>
  <c r="D1367" i="5"/>
  <c r="D933" i="5"/>
  <c r="D315" i="5"/>
  <c r="D784" i="5"/>
  <c r="D607" i="5"/>
  <c r="D1368" i="5"/>
  <c r="D1113" i="5"/>
  <c r="D316" i="5"/>
  <c r="D934" i="5"/>
  <c r="D1369" i="5"/>
  <c r="D1370" i="5"/>
  <c r="D935" i="5"/>
  <c r="D99" i="5"/>
  <c r="D785" i="5"/>
  <c r="D936" i="5"/>
  <c r="D608" i="5"/>
  <c r="D609" i="5"/>
  <c r="D610" i="5"/>
  <c r="D1114" i="5"/>
  <c r="D937" i="5"/>
  <c r="D239" i="5"/>
  <c r="D240" i="5"/>
  <c r="D1371" i="5"/>
  <c r="D1372" i="5"/>
  <c r="D185" i="5"/>
  <c r="D938" i="5"/>
  <c r="D1373" i="5"/>
  <c r="D241" i="5"/>
  <c r="D611" i="5"/>
  <c r="D74" i="5"/>
  <c r="D1374" i="5"/>
  <c r="D1375" i="5"/>
  <c r="D786" i="5"/>
  <c r="D391" i="5"/>
  <c r="D939" i="5"/>
  <c r="D1376" i="5"/>
  <c r="D1377" i="5"/>
  <c r="D129" i="5"/>
  <c r="D1378" i="5"/>
  <c r="D940" i="5"/>
  <c r="D1379" i="5"/>
  <c r="D486" i="5"/>
  <c r="D1380" i="5"/>
  <c r="D787" i="5"/>
  <c r="D612" i="5"/>
  <c r="D1381" i="5"/>
  <c r="D1382" i="5"/>
  <c r="D1383" i="5"/>
  <c r="D1115" i="5"/>
  <c r="D487" i="5"/>
  <c r="D1384" i="5"/>
  <c r="D788" i="5"/>
  <c r="D789" i="5"/>
  <c r="D790" i="5"/>
  <c r="D1385" i="5"/>
  <c r="D613" i="5"/>
  <c r="D1386" i="5"/>
  <c r="D941" i="5"/>
  <c r="D488" i="5"/>
  <c r="D1387" i="5"/>
  <c r="D942" i="5"/>
  <c r="D614" i="5"/>
  <c r="D791" i="5"/>
  <c r="D317" i="5"/>
  <c r="D1388" i="5"/>
  <c r="D13" i="5"/>
  <c r="D943" i="5"/>
  <c r="D944" i="5"/>
  <c r="D1116" i="5"/>
  <c r="D392" i="5"/>
  <c r="D75" i="5"/>
  <c r="D1117" i="5"/>
  <c r="D318" i="5"/>
  <c r="D186" i="5"/>
  <c r="D615" i="5"/>
  <c r="D1118" i="5"/>
  <c r="D187" i="5"/>
  <c r="D1389" i="5"/>
  <c r="D489" i="5"/>
  <c r="D945" i="5"/>
  <c r="D1119" i="5"/>
  <c r="D319" i="5"/>
  <c r="D188" i="5"/>
  <c r="D490" i="5"/>
  <c r="D393" i="5"/>
  <c r="D394" i="5"/>
  <c r="D1120" i="5"/>
  <c r="D1121" i="5"/>
  <c r="D1122" i="5"/>
  <c r="D616" i="5"/>
  <c r="D18" i="5"/>
  <c r="D1390" i="5"/>
  <c r="D242" i="5"/>
  <c r="D617" i="5"/>
  <c r="D618" i="5"/>
  <c r="D1391" i="5"/>
  <c r="D491" i="5"/>
  <c r="D1392" i="5"/>
  <c r="D130" i="5"/>
  <c r="D792" i="5"/>
  <c r="D946" i="5"/>
  <c r="D619" i="5"/>
  <c r="D395" i="5"/>
  <c r="D1123" i="5"/>
  <c r="D620" i="5"/>
  <c r="D947" i="5"/>
  <c r="D948" i="5"/>
  <c r="D793" i="5"/>
  <c r="D794" i="5"/>
  <c r="D949" i="5"/>
  <c r="D950" i="5"/>
  <c r="D43" i="5"/>
  <c r="D1124" i="5"/>
  <c r="D621" i="5"/>
  <c r="D396" i="5"/>
  <c r="D795" i="5"/>
  <c r="D1125" i="5"/>
  <c r="D796" i="5"/>
  <c r="D1393" i="5"/>
  <c r="D492" i="5"/>
  <c r="D1394" i="5"/>
  <c r="D1395" i="5"/>
  <c r="D1396" i="5"/>
  <c r="D189" i="5"/>
  <c r="D622" i="5"/>
  <c r="D9" i="5"/>
  <c r="D1126" i="5"/>
  <c r="D797" i="5"/>
  <c r="D397" i="5"/>
  <c r="D243" i="5"/>
  <c r="D100" i="5"/>
  <c r="D1127" i="5"/>
  <c r="D1397" i="5"/>
  <c r="D798" i="5"/>
  <c r="D1128" i="5"/>
  <c r="D799" i="5"/>
  <c r="D398" i="5"/>
  <c r="D101" i="5"/>
  <c r="D1129" i="5"/>
  <c r="D1130" i="5"/>
  <c r="D1131" i="5"/>
  <c r="D320" i="5"/>
  <c r="D800" i="5"/>
  <c r="D1398" i="5"/>
  <c r="D131" i="5"/>
  <c r="D1399" i="5"/>
  <c r="D1132" i="5"/>
  <c r="D1133" i="5"/>
  <c r="D951" i="5"/>
  <c r="D321" i="5"/>
  <c r="D623" i="5"/>
  <c r="D801" i="5"/>
  <c r="D952" i="5"/>
  <c r="D1400" i="5"/>
  <c r="D132" i="5"/>
  <c r="D624" i="5"/>
  <c r="D44" i="5"/>
  <c r="D625" i="5"/>
  <c r="D953" i="5"/>
  <c r="D954" i="5"/>
  <c r="D1401" i="5"/>
  <c r="D1402" i="5"/>
  <c r="D399" i="5"/>
  <c r="D1403" i="5"/>
  <c r="D244" i="5"/>
  <c r="D245" i="5"/>
  <c r="D955" i="5"/>
  <c r="D1404" i="5"/>
  <c r="D802" i="5"/>
  <c r="D400" i="5"/>
  <c r="D1134" i="5"/>
  <c r="D133" i="5"/>
  <c r="D1405" i="5"/>
  <c r="D322" i="5"/>
  <c r="D1135" i="5"/>
  <c r="D1406" i="5"/>
  <c r="D1407" i="5"/>
  <c r="D626" i="5"/>
  <c r="D52" i="5"/>
  <c r="D803" i="5"/>
  <c r="D1408" i="5"/>
  <c r="D956" i="5"/>
  <c r="D401" i="5"/>
  <c r="D190" i="5"/>
  <c r="D402" i="5"/>
  <c r="D53" i="5"/>
  <c r="D493" i="5"/>
  <c r="D627" i="5"/>
  <c r="D403" i="5"/>
  <c r="D494" i="5"/>
  <c r="D1409" i="5"/>
  <c r="D804" i="5"/>
  <c r="D495" i="5"/>
  <c r="D323" i="5"/>
  <c r="D957" i="5"/>
  <c r="D1410" i="5"/>
  <c r="D1136" i="5"/>
  <c r="D958" i="5"/>
  <c r="D1411" i="5"/>
  <c r="D1137" i="5"/>
  <c r="D102" i="5"/>
  <c r="D1412" i="5"/>
  <c r="D1413" i="5"/>
  <c r="D1414" i="5"/>
  <c r="D1138" i="5"/>
  <c r="D496" i="5"/>
  <c r="D54" i="5"/>
  <c r="D1415" i="5"/>
  <c r="D497" i="5"/>
  <c r="D1416" i="5"/>
  <c r="D134" i="5"/>
  <c r="D498" i="5"/>
  <c r="D499" i="5"/>
  <c r="D1139" i="5"/>
  <c r="D500" i="5"/>
  <c r="D805" i="5"/>
  <c r="D628" i="5"/>
  <c r="D1140" i="5"/>
  <c r="D806" i="5"/>
  <c r="D629" i="5"/>
  <c r="D1417" i="5"/>
  <c r="D246" i="5"/>
  <c r="D1418" i="5"/>
  <c r="D1141" i="5"/>
  <c r="D1419" i="5"/>
  <c r="D1420" i="5"/>
  <c r="D247" i="5"/>
  <c r="D404" i="5"/>
  <c r="D405" i="5"/>
  <c r="D406" i="5"/>
  <c r="D959" i="5"/>
  <c r="D630" i="5"/>
  <c r="D10" i="5"/>
  <c r="D807" i="5"/>
  <c r="D631" i="5"/>
  <c r="D632" i="5"/>
  <c r="D1142" i="5"/>
  <c r="D633" i="5"/>
  <c r="D1143" i="5"/>
  <c r="D808" i="5"/>
  <c r="D1421" i="5"/>
  <c r="D27" i="5"/>
  <c r="D248" i="5"/>
  <c r="D1144" i="5"/>
  <c r="D809" i="5"/>
  <c r="D1145" i="5"/>
  <c r="D810" i="5"/>
  <c r="D1422" i="5"/>
  <c r="D501" i="5"/>
  <c r="D135" i="5"/>
  <c r="D811" i="5"/>
  <c r="D1423" i="5"/>
  <c r="D1424" i="5"/>
  <c r="D249" i="5"/>
  <c r="D103" i="5"/>
  <c r="D1425" i="5"/>
  <c r="D812" i="5"/>
  <c r="D502" i="5"/>
  <c r="D191" i="5"/>
  <c r="D503" i="5"/>
  <c r="D407" i="5"/>
  <c r="D28" i="5"/>
  <c r="D1426" i="5"/>
  <c r="D1427" i="5"/>
  <c r="D634" i="5"/>
  <c r="D1428" i="5"/>
  <c r="D635" i="5"/>
  <c r="D324" i="5"/>
  <c r="D960" i="5"/>
  <c r="D136" i="5"/>
  <c r="D32" i="5"/>
  <c r="D813" i="5"/>
  <c r="D814" i="5"/>
  <c r="D1429" i="5"/>
  <c r="D76" i="5"/>
  <c r="D636" i="5"/>
  <c r="D637" i="5"/>
  <c r="D104" i="5"/>
  <c r="D638" i="5"/>
  <c r="D961" i="5"/>
  <c r="D33" i="5"/>
  <c r="D815" i="5"/>
  <c r="D1430" i="5"/>
  <c r="D105" i="5"/>
  <c r="D1146" i="5"/>
  <c r="D504" i="5"/>
  <c r="D55" i="5"/>
  <c r="D962" i="5"/>
  <c r="D639" i="5"/>
  <c r="D192" i="5"/>
  <c r="D505" i="5"/>
  <c r="D640" i="5"/>
  <c r="D1431" i="5"/>
  <c r="D137" i="5"/>
  <c r="D506" i="5"/>
  <c r="D963" i="5"/>
  <c r="D641" i="5"/>
  <c r="D964" i="5"/>
  <c r="D1432" i="5"/>
  <c r="D965" i="5"/>
  <c r="D1433" i="5"/>
  <c r="D507" i="5"/>
  <c r="D816" i="5"/>
  <c r="D508" i="5"/>
  <c r="D1434" i="5"/>
  <c r="D966" i="5"/>
  <c r="D1435" i="5"/>
  <c r="D1147" i="5"/>
  <c r="D408" i="5"/>
  <c r="D1148" i="5"/>
  <c r="D642" i="5"/>
  <c r="D967" i="5"/>
  <c r="D14" i="5"/>
  <c r="D968" i="5"/>
  <c r="D643" i="5"/>
  <c r="D1436" i="5"/>
  <c r="D1437" i="5"/>
  <c r="D509" i="5"/>
  <c r="D1438" i="5"/>
  <c r="D1439" i="5"/>
  <c r="D1440" i="5"/>
  <c r="D644" i="5"/>
  <c r="D969" i="5"/>
  <c r="D645" i="5"/>
  <c r="D1441" i="5"/>
  <c r="D193" i="5"/>
  <c r="D646" i="5"/>
  <c r="D970" i="5"/>
  <c r="D971" i="5"/>
  <c r="D1442" i="5"/>
  <c r="D1443" i="5"/>
  <c r="D817" i="5"/>
  <c r="D1149" i="5"/>
  <c r="D510" i="5"/>
  <c r="D647" i="5"/>
  <c r="D972" i="5"/>
  <c r="D409" i="5"/>
  <c r="D410" i="5"/>
  <c r="D1444" i="5"/>
  <c r="D648" i="5"/>
  <c r="D325" i="5"/>
  <c r="D1445" i="5"/>
  <c r="D138" i="5"/>
  <c r="D250" i="5"/>
  <c r="D1150" i="5"/>
  <c r="D77" i="5"/>
  <c r="D411" i="5"/>
  <c r="D1446" i="5"/>
  <c r="D1447" i="5"/>
  <c r="D1151" i="5"/>
  <c r="D818" i="5"/>
  <c r="D1448" i="5"/>
  <c r="D819" i="5"/>
  <c r="D511" i="5"/>
  <c r="D649" i="5"/>
  <c r="D412" i="5"/>
  <c r="D1152" i="5"/>
  <c r="D1449" i="5"/>
  <c r="D650" i="5"/>
  <c r="D194" i="5"/>
  <c r="D1450" i="5"/>
  <c r="D1451" i="5"/>
  <c r="D106" i="5"/>
  <c r="D512" i="5"/>
  <c r="D1153" i="5"/>
  <c r="D820" i="5"/>
  <c r="D973" i="5"/>
  <c r="D821" i="5"/>
  <c r="D1452" i="5"/>
  <c r="D974" i="5"/>
  <c r="D822" i="5"/>
  <c r="D251" i="5"/>
  <c r="D1154" i="5"/>
  <c r="D1155" i="5"/>
  <c r="D975" i="5"/>
  <c r="D1453" i="5"/>
  <c r="D195" i="5"/>
  <c r="D252" i="5"/>
  <c r="D196" i="5"/>
  <c r="D253" i="5"/>
  <c r="D1156" i="5"/>
  <c r="D1454" i="5"/>
  <c r="D823" i="5"/>
  <c r="D1455" i="5"/>
  <c r="D824" i="5"/>
  <c r="D254" i="5"/>
  <c r="D413" i="5"/>
  <c r="D513" i="5"/>
  <c r="D825" i="5"/>
  <c r="D139" i="5"/>
  <c r="D826" i="5"/>
  <c r="D1456" i="5"/>
  <c r="D827" i="5"/>
  <c r="D414" i="5"/>
  <c r="D1157" i="5"/>
  <c r="D828" i="5"/>
  <c r="D1457" i="5"/>
  <c r="D1458" i="5"/>
  <c r="D1158" i="5"/>
  <c r="D1459" i="5"/>
  <c r="D976" i="5"/>
  <c r="D1460" i="5"/>
  <c r="D107" i="5"/>
  <c r="D255" i="5"/>
  <c r="D829" i="5"/>
  <c r="D1159" i="5"/>
  <c r="D326" i="5"/>
  <c r="D1461" i="5"/>
  <c r="D78" i="5"/>
  <c r="D1462" i="5"/>
  <c r="D108" i="5"/>
  <c r="D830" i="5"/>
  <c r="D415" i="5"/>
  <c r="D1160" i="5"/>
  <c r="D1463" i="5"/>
  <c r="D1464" i="5"/>
  <c r="D514" i="5"/>
  <c r="D1465" i="5"/>
  <c r="D651" i="5"/>
  <c r="D515" i="5"/>
  <c r="D1466" i="5"/>
  <c r="D1467" i="5"/>
  <c r="D831" i="5"/>
  <c r="D516" i="5"/>
  <c r="D977" i="5"/>
  <c r="D256" i="5"/>
  <c r="D517" i="5"/>
  <c r="D327" i="5"/>
  <c r="D1161" i="5"/>
  <c r="D1162" i="5"/>
  <c r="D518" i="5"/>
  <c r="D416" i="5"/>
  <c r="D1468" i="5"/>
  <c r="D1469" i="5"/>
  <c r="D1470" i="5"/>
  <c r="D417" i="5"/>
  <c r="D978" i="5"/>
  <c r="D197" i="5"/>
  <c r="D652" i="5"/>
  <c r="D653" i="5"/>
  <c r="D198" i="5"/>
  <c r="D832" i="5"/>
  <c r="D1163" i="5"/>
  <c r="D257" i="5"/>
  <c r="D833" i="5"/>
  <c r="D1164" i="5"/>
  <c r="D654" i="5"/>
  <c r="D834" i="5"/>
  <c r="D1165" i="5"/>
  <c r="D979" i="5"/>
  <c r="D1471" i="5"/>
  <c r="D1166" i="5"/>
  <c r="D519" i="5"/>
  <c r="D655" i="5"/>
  <c r="D199" i="5"/>
  <c r="D328" i="5"/>
  <c r="D1472" i="5"/>
  <c r="D1473" i="5"/>
  <c r="D56" i="5"/>
  <c r="D1474" i="5"/>
  <c r="D980" i="5"/>
  <c r="D140" i="5"/>
  <c r="D329" i="5"/>
  <c r="D520" i="5"/>
  <c r="D1475" i="5"/>
  <c r="D1476" i="5"/>
  <c r="D981" i="5"/>
  <c r="D200" i="5"/>
  <c r="D1167" i="5"/>
  <c r="D1477" i="5"/>
  <c r="D16" i="5"/>
  <c r="D57" i="5"/>
  <c r="D1478" i="5"/>
  <c r="D109" i="5"/>
  <c r="D330" i="5"/>
  <c r="D982" i="5"/>
  <c r="D983" i="5"/>
  <c r="D141" i="5"/>
  <c r="D835" i="5"/>
  <c r="D79" i="5"/>
  <c r="D836" i="5"/>
  <c r="D58" i="5"/>
  <c r="D418" i="5"/>
  <c r="D331" i="5"/>
  <c r="D1479" i="5"/>
  <c r="D419" i="5"/>
  <c r="D1168" i="5"/>
  <c r="D984" i="5"/>
  <c r="D258" i="5"/>
  <c r="D1480" i="5"/>
  <c r="D1481" i="5"/>
  <c r="D837" i="5"/>
  <c r="D985" i="5"/>
  <c r="D656" i="5"/>
  <c r="D332" i="5"/>
  <c r="D838" i="5"/>
  <c r="D1169" i="5"/>
  <c r="D986" i="5"/>
  <c r="D142" i="5"/>
  <c r="D1482" i="5"/>
  <c r="D1483" i="5"/>
  <c r="D657" i="5"/>
  <c r="D333" i="5"/>
  <c r="D1170" i="5"/>
  <c r="D658" i="5"/>
  <c r="D1171" i="5"/>
  <c r="D1172" i="5"/>
  <c r="D659" i="5"/>
  <c r="D259" i="5"/>
  <c r="D334" i="5"/>
  <c r="D1484" i="5"/>
  <c r="D660" i="5"/>
  <c r="D1485" i="5"/>
  <c r="D11" i="5"/>
  <c r="D1486" i="5"/>
  <c r="D1173" i="5"/>
  <c r="D1487" i="5"/>
  <c r="D521" i="5"/>
  <c r="D1488" i="5"/>
  <c r="D522" i="5"/>
  <c r="D661" i="5"/>
  <c r="D523" i="5"/>
  <c r="D524" i="5"/>
  <c r="D1489" i="5"/>
  <c r="D525" i="5"/>
  <c r="D1174" i="5"/>
  <c r="D839" i="5"/>
  <c r="D1175" i="5"/>
  <c r="D526" i="5"/>
  <c r="D1490" i="5"/>
  <c r="D1491" i="5"/>
  <c r="D840" i="5"/>
  <c r="D662" i="5"/>
  <c r="D260" i="5"/>
  <c r="D1176" i="5"/>
  <c r="D1492" i="5"/>
  <c r="D987" i="5"/>
  <c r="D663" i="5"/>
  <c r="D1177" i="5"/>
  <c r="D988" i="5"/>
  <c r="D261" i="5"/>
  <c r="D335" i="5"/>
  <c r="D1493" i="5"/>
  <c r="D989" i="5"/>
  <c r="D1494" i="5"/>
  <c r="D110" i="5"/>
  <c r="D990" i="5"/>
  <c r="D420" i="5"/>
  <c r="D143" i="5"/>
  <c r="D1178" i="5"/>
  <c r="D201" i="5"/>
  <c r="D1495" i="5"/>
  <c r="D1496" i="5"/>
  <c r="D59" i="5"/>
  <c r="D1497" i="5"/>
  <c r="D421" i="5"/>
  <c r="D664" i="5"/>
  <c r="D665" i="5"/>
  <c r="D1179" i="5"/>
  <c r="D1498" i="5"/>
  <c r="D666" i="5"/>
  <c r="D527" i="5"/>
  <c r="D1499" i="5"/>
  <c r="D841" i="5"/>
  <c r="D528" i="5"/>
  <c r="D1180" i="5"/>
  <c r="D144" i="5"/>
  <c r="D1181" i="5"/>
  <c r="D991" i="5"/>
  <c r="D529" i="5"/>
  <c r="D530" i="5"/>
  <c r="D992" i="5"/>
  <c r="D531" i="5"/>
  <c r="D993" i="5"/>
  <c r="D1182" i="5"/>
  <c r="D336" i="5"/>
  <c r="D1500" i="5"/>
  <c r="D337" i="5"/>
  <c r="D338" i="5"/>
  <c r="D842" i="5"/>
  <c r="D667" i="5"/>
  <c r="D1183" i="5"/>
  <c r="D843" i="5"/>
  <c r="D202" i="5"/>
  <c r="D668" i="5"/>
  <c r="D844" i="5"/>
  <c r="D1184" i="5"/>
  <c r="D422" i="5"/>
  <c r="D845" i="5"/>
  <c r="D423" i="5"/>
  <c r="D1185" i="5"/>
  <c r="D532" i="5"/>
  <c r="D1501" i="5"/>
  <c r="D994" i="5"/>
  <c r="D19" i="5"/>
  <c r="D846" i="5"/>
  <c r="D1502" i="5"/>
  <c r="D669" i="5"/>
  <c r="D533" i="5"/>
  <c r="D995" i="5"/>
  <c r="D670" i="5"/>
  <c r="D1186" i="5"/>
  <c r="D1187" i="5"/>
  <c r="D1188" i="5"/>
  <c r="D424" i="5"/>
  <c r="D1503" i="5"/>
  <c r="D847" i="5"/>
  <c r="D671" i="5"/>
  <c r="D534" i="5"/>
  <c r="D1189" i="5"/>
  <c r="D1190" i="5"/>
  <c r="D1504" i="5"/>
  <c r="D339" i="5"/>
  <c r="D1505" i="5"/>
  <c r="D1506" i="5"/>
  <c r="D1507" i="5"/>
  <c r="D1508" i="5"/>
  <c r="C848" i="5"/>
  <c r="C849" i="5"/>
  <c r="C1191" i="5"/>
  <c r="C1192" i="5"/>
  <c r="C340" i="5"/>
  <c r="C672" i="5"/>
  <c r="C673" i="5"/>
  <c r="C850" i="5"/>
  <c r="C851" i="5"/>
  <c r="C852" i="5"/>
  <c r="C1193" i="5"/>
  <c r="C996" i="5"/>
  <c r="C60" i="5"/>
  <c r="C111" i="5"/>
  <c r="C145" i="5"/>
  <c r="C1194" i="5"/>
  <c r="C997" i="5"/>
  <c r="C1195" i="5"/>
  <c r="C341" i="5"/>
  <c r="C146" i="5"/>
  <c r="C998" i="5"/>
  <c r="C203" i="5"/>
  <c r="C674" i="5"/>
  <c r="C853" i="5"/>
  <c r="C1196" i="5"/>
  <c r="C112" i="5"/>
  <c r="C342" i="5"/>
  <c r="C425" i="5"/>
  <c r="C426" i="5"/>
  <c r="C854" i="5"/>
  <c r="C999" i="5"/>
  <c r="C113" i="5"/>
  <c r="C1000" i="5"/>
  <c r="C855" i="5"/>
  <c r="C1197" i="5"/>
  <c r="C34" i="5"/>
  <c r="C343" i="5"/>
  <c r="C147" i="5"/>
  <c r="C1198" i="5"/>
  <c r="C1199" i="5"/>
  <c r="C17" i="5"/>
  <c r="C35" i="5"/>
  <c r="C535" i="5"/>
  <c r="C675" i="5"/>
  <c r="C536" i="5"/>
  <c r="C856" i="5"/>
  <c r="C676" i="5"/>
  <c r="C677" i="5"/>
  <c r="C427" i="5"/>
  <c r="C148" i="5"/>
  <c r="C80" i="5"/>
  <c r="C857" i="5"/>
  <c r="C1001" i="5"/>
  <c r="C1200" i="5"/>
  <c r="C149" i="5"/>
  <c r="C262" i="5"/>
  <c r="C150" i="5"/>
  <c r="C1002" i="5"/>
  <c r="C678" i="5"/>
  <c r="C36" i="5"/>
  <c r="C1201" i="5"/>
  <c r="C537" i="5"/>
  <c r="C263" i="5"/>
  <c r="C1202" i="5"/>
  <c r="C204" i="5"/>
  <c r="C1003" i="5"/>
  <c r="C858" i="5"/>
  <c r="C1203" i="5"/>
  <c r="C428" i="5"/>
  <c r="C344" i="5"/>
  <c r="C1204" i="5"/>
  <c r="C264" i="5"/>
  <c r="C1205" i="5"/>
  <c r="C345" i="5"/>
  <c r="C205" i="5"/>
  <c r="C265" i="5"/>
  <c r="C679" i="5"/>
  <c r="C859" i="5"/>
  <c r="C680" i="5"/>
  <c r="C45" i="5"/>
  <c r="C1206" i="5"/>
  <c r="C1207" i="5"/>
  <c r="C266" i="5"/>
  <c r="C346" i="5"/>
  <c r="C267" i="5"/>
  <c r="C681" i="5"/>
  <c r="C1208" i="5"/>
  <c r="C1209" i="5"/>
  <c r="C860" i="5"/>
  <c r="C682" i="5"/>
  <c r="C206" i="5"/>
  <c r="C61" i="5"/>
  <c r="C347" i="5"/>
  <c r="C1004" i="5"/>
  <c r="C1210" i="5"/>
  <c r="C538" i="5"/>
  <c r="C429" i="5"/>
  <c r="C539" i="5"/>
  <c r="C268" i="5"/>
  <c r="C348" i="5"/>
  <c r="C1211" i="5"/>
  <c r="C207" i="5"/>
  <c r="C1005" i="5"/>
  <c r="C269" i="5"/>
  <c r="C1212" i="5"/>
  <c r="C540" i="5"/>
  <c r="C114" i="5"/>
  <c r="C208" i="5"/>
  <c r="C81" i="5"/>
  <c r="C861" i="5"/>
  <c r="C82" i="5"/>
  <c r="C1213" i="5"/>
  <c r="C1214" i="5"/>
  <c r="C1006" i="5"/>
  <c r="C1007" i="5"/>
  <c r="C151" i="5"/>
  <c r="C1008" i="5"/>
  <c r="C1009" i="5"/>
  <c r="C541" i="5"/>
  <c r="C1215" i="5"/>
  <c r="C683" i="5"/>
  <c r="C1216" i="5"/>
  <c r="C349" i="5"/>
  <c r="C542" i="5"/>
  <c r="C862" i="5"/>
  <c r="C1217" i="5"/>
  <c r="C1218" i="5"/>
  <c r="C1219" i="5"/>
  <c r="C430" i="5"/>
  <c r="C863" i="5"/>
  <c r="C431" i="5"/>
  <c r="C46" i="5"/>
  <c r="C1220" i="5"/>
  <c r="C1221" i="5"/>
  <c r="C432" i="5"/>
  <c r="C684" i="5"/>
  <c r="C1010" i="5"/>
  <c r="C350" i="5"/>
  <c r="C1011" i="5"/>
  <c r="C1012" i="5"/>
  <c r="C1222" i="5"/>
  <c r="C543" i="5"/>
  <c r="C351" i="5"/>
  <c r="C685" i="5"/>
  <c r="C352" i="5"/>
  <c r="C433" i="5"/>
  <c r="C434" i="5"/>
  <c r="C1223" i="5"/>
  <c r="C544" i="5"/>
  <c r="C435" i="5"/>
  <c r="C864" i="5"/>
  <c r="C1224" i="5"/>
  <c r="C1225" i="5"/>
  <c r="C686" i="5"/>
  <c r="C1226" i="5"/>
  <c r="C687" i="5"/>
  <c r="C115" i="5"/>
  <c r="C865" i="5"/>
  <c r="C4" i="5"/>
  <c r="C1227" i="5"/>
  <c r="C1228" i="5"/>
  <c r="C1229" i="5"/>
  <c r="C545" i="5"/>
  <c r="C436" i="5"/>
  <c r="C688" i="5"/>
  <c r="C353" i="5"/>
  <c r="C1013" i="5"/>
  <c r="C116" i="5"/>
  <c r="C689" i="5"/>
  <c r="C270" i="5"/>
  <c r="C546" i="5"/>
  <c r="C437" i="5"/>
  <c r="C83" i="5"/>
  <c r="C1230" i="5"/>
  <c r="C690" i="5"/>
  <c r="C866" i="5"/>
  <c r="C1231" i="5"/>
  <c r="C867" i="5"/>
  <c r="C1014" i="5"/>
  <c r="C1015" i="5"/>
  <c r="C1232" i="5"/>
  <c r="C354" i="5"/>
  <c r="C117" i="5"/>
  <c r="C152" i="5"/>
  <c r="C691" i="5"/>
  <c r="C1233" i="5"/>
  <c r="C692" i="5"/>
  <c r="C547" i="5"/>
  <c r="C693" i="5"/>
  <c r="C1016" i="5"/>
  <c r="C355" i="5"/>
  <c r="C868" i="5"/>
  <c r="C84" i="5"/>
  <c r="C1017" i="5"/>
  <c r="C694" i="5"/>
  <c r="C153" i="5"/>
  <c r="C154" i="5"/>
  <c r="C869" i="5"/>
  <c r="C438" i="5"/>
  <c r="C155" i="5"/>
  <c r="C271" i="5"/>
  <c r="C1018" i="5"/>
  <c r="C870" i="5"/>
  <c r="C871" i="5"/>
  <c r="C695" i="5"/>
  <c r="C1234" i="5"/>
  <c r="C548" i="5"/>
  <c r="C1019" i="5"/>
  <c r="C1020" i="5"/>
  <c r="C439" i="5"/>
  <c r="C549" i="5"/>
  <c r="C1021" i="5"/>
  <c r="C1022" i="5"/>
  <c r="C1023" i="5"/>
  <c r="C85" i="5"/>
  <c r="C1235" i="5"/>
  <c r="C696" i="5"/>
  <c r="C697" i="5"/>
  <c r="C698" i="5"/>
  <c r="C699" i="5"/>
  <c r="C440" i="5"/>
  <c r="C37" i="5"/>
  <c r="C1236" i="5"/>
  <c r="C441" i="5"/>
  <c r="C872" i="5"/>
  <c r="C209" i="5"/>
  <c r="C272" i="5"/>
  <c r="C700" i="5"/>
  <c r="C38" i="5"/>
  <c r="C1024" i="5"/>
  <c r="C29" i="5"/>
  <c r="C1237" i="5"/>
  <c r="C1025" i="5"/>
  <c r="C550" i="5"/>
  <c r="C873" i="5"/>
  <c r="C210" i="5"/>
  <c r="C551" i="5"/>
  <c r="C211" i="5"/>
  <c r="C156" i="5"/>
  <c r="C874" i="5"/>
  <c r="C1238" i="5"/>
  <c r="C875" i="5"/>
  <c r="C1026" i="5"/>
  <c r="C157" i="5"/>
  <c r="C1027" i="5"/>
  <c r="C212" i="5"/>
  <c r="C356" i="5"/>
  <c r="C86" i="5"/>
  <c r="C1028" i="5"/>
  <c r="C1029" i="5"/>
  <c r="C1239" i="5"/>
  <c r="C1030" i="5"/>
  <c r="C1031" i="5"/>
  <c r="C213" i="5"/>
  <c r="C273" i="5"/>
  <c r="C158" i="5"/>
  <c r="C701" i="5"/>
  <c r="C1240" i="5"/>
  <c r="C214" i="5"/>
  <c r="C552" i="5"/>
  <c r="C159" i="5"/>
  <c r="C1032" i="5"/>
  <c r="C1241" i="5"/>
  <c r="C274" i="5"/>
  <c r="C1242" i="5"/>
  <c r="C442" i="5"/>
  <c r="C357" i="5"/>
  <c r="C1243" i="5"/>
  <c r="C1033" i="5"/>
  <c r="C358" i="5"/>
  <c r="C1034" i="5"/>
  <c r="C1035" i="5"/>
  <c r="C553" i="5"/>
  <c r="C1244" i="5"/>
  <c r="C275" i="5"/>
  <c r="C5" i="5"/>
  <c r="C1036" i="5"/>
  <c r="C1037" i="5"/>
  <c r="C702" i="5"/>
  <c r="C703" i="5"/>
  <c r="C1245" i="5"/>
  <c r="C704" i="5"/>
  <c r="C1246" i="5"/>
  <c r="C443" i="5"/>
  <c r="C876" i="5"/>
  <c r="C705" i="5"/>
  <c r="C1038" i="5"/>
  <c r="C276" i="5"/>
  <c r="C277" i="5"/>
  <c r="C554" i="5"/>
  <c r="C1247" i="5"/>
  <c r="C1248" i="5"/>
  <c r="C359" i="5"/>
  <c r="C39" i="5"/>
  <c r="C877" i="5"/>
  <c r="C215" i="5"/>
  <c r="C1249" i="5"/>
  <c r="C1250" i="5"/>
  <c r="C706" i="5"/>
  <c r="C160" i="5"/>
  <c r="C1251" i="5"/>
  <c r="C62" i="5"/>
  <c r="C707" i="5"/>
  <c r="C278" i="5"/>
  <c r="C1252" i="5"/>
  <c r="C878" i="5"/>
  <c r="C1253" i="5"/>
  <c r="C30" i="5"/>
  <c r="C216" i="5"/>
  <c r="C555" i="5"/>
  <c r="C217" i="5"/>
  <c r="C1254" i="5"/>
  <c r="C1255" i="5"/>
  <c r="C1256" i="5"/>
  <c r="C161" i="5"/>
  <c r="C360" i="5"/>
  <c r="C1257" i="5"/>
  <c r="C1258" i="5"/>
  <c r="C118" i="5"/>
  <c r="C708" i="5"/>
  <c r="C31" i="5"/>
  <c r="C1039" i="5"/>
  <c r="C1259" i="5"/>
  <c r="C1260" i="5"/>
  <c r="C709" i="5"/>
  <c r="C1040" i="5"/>
  <c r="C1261" i="5"/>
  <c r="C1262" i="5"/>
  <c r="C6" i="5"/>
  <c r="C361" i="5"/>
  <c r="C1041" i="5"/>
  <c r="C556" i="5"/>
  <c r="C1263" i="5"/>
  <c r="C557" i="5"/>
  <c r="C1042" i="5"/>
  <c r="C362" i="5"/>
  <c r="C1264" i="5"/>
  <c r="C119" i="5"/>
  <c r="C444" i="5"/>
  <c r="C279" i="5"/>
  <c r="C710" i="5"/>
  <c r="C1265" i="5"/>
  <c r="C558" i="5"/>
  <c r="C879" i="5"/>
  <c r="C8" i="5"/>
  <c r="C1266" i="5"/>
  <c r="C87" i="5"/>
  <c r="C363" i="5"/>
  <c r="C711" i="5"/>
  <c r="C162" i="5"/>
  <c r="C1267" i="5"/>
  <c r="C712" i="5"/>
  <c r="C1043" i="5"/>
  <c r="C559" i="5"/>
  <c r="C88" i="5"/>
  <c r="C1268" i="5"/>
  <c r="C1044" i="5"/>
  <c r="C120" i="5"/>
  <c r="C1269" i="5"/>
  <c r="C1045" i="5"/>
  <c r="C445" i="5"/>
  <c r="C713" i="5"/>
  <c r="C163" i="5"/>
  <c r="C1046" i="5"/>
  <c r="C714" i="5"/>
  <c r="C1047" i="5"/>
  <c r="C715" i="5"/>
  <c r="C280" i="5"/>
  <c r="C716" i="5"/>
  <c r="C560" i="5"/>
  <c r="C446" i="5"/>
  <c r="C281" i="5"/>
  <c r="C717" i="5"/>
  <c r="C89" i="5"/>
  <c r="C364" i="5"/>
  <c r="C164" i="5"/>
  <c r="C63" i="5"/>
  <c r="C561" i="5"/>
  <c r="C447" i="5"/>
  <c r="C282" i="5"/>
  <c r="C1270" i="5"/>
  <c r="C365" i="5"/>
  <c r="C47" i="5"/>
  <c r="C718" i="5"/>
  <c r="C20" i="5"/>
  <c r="C880" i="5"/>
  <c r="C283" i="5"/>
  <c r="C121" i="5"/>
  <c r="C218" i="5"/>
  <c r="C448" i="5"/>
  <c r="C881" i="5"/>
  <c r="C562" i="5"/>
  <c r="C1048" i="5"/>
  <c r="C165" i="5"/>
  <c r="C284" i="5"/>
  <c r="C1271" i="5"/>
  <c r="C40" i="5"/>
  <c r="C1272" i="5"/>
  <c r="C1273" i="5"/>
  <c r="C449" i="5"/>
  <c r="C563" i="5"/>
  <c r="C1274" i="5"/>
  <c r="C1049" i="5"/>
  <c r="C882" i="5"/>
  <c r="C719" i="5"/>
  <c r="C564" i="5"/>
  <c r="C883" i="5"/>
  <c r="C450" i="5"/>
  <c r="C1050" i="5"/>
  <c r="C90" i="5"/>
  <c r="C1051" i="5"/>
  <c r="C219" i="5"/>
  <c r="C166" i="5"/>
  <c r="C720" i="5"/>
  <c r="C721" i="5"/>
  <c r="C1052" i="5"/>
  <c r="C41" i="5"/>
  <c r="C451" i="5"/>
  <c r="C91" i="5"/>
  <c r="C1275" i="5"/>
  <c r="C452" i="5"/>
  <c r="C92" i="5"/>
  <c r="C884" i="5"/>
  <c r="C285" i="5"/>
  <c r="C1053" i="5"/>
  <c r="C366" i="5"/>
  <c r="C885" i="5"/>
  <c r="C453" i="5"/>
  <c r="C1276" i="5"/>
  <c r="C1054" i="5"/>
  <c r="C886" i="5"/>
  <c r="C722" i="5"/>
  <c r="C1055" i="5"/>
  <c r="C454" i="5"/>
  <c r="C1277" i="5"/>
  <c r="C220" i="5"/>
  <c r="C565" i="5"/>
  <c r="C167" i="5"/>
  <c r="C286" i="5"/>
  <c r="C1278" i="5"/>
  <c r="C723" i="5"/>
  <c r="C566" i="5"/>
  <c r="C367" i="5"/>
  <c r="C368" i="5"/>
  <c r="C724" i="5"/>
  <c r="C1056" i="5"/>
  <c r="C1057" i="5"/>
  <c r="C567" i="5"/>
  <c r="C887" i="5"/>
  <c r="C1279" i="5"/>
  <c r="C1058" i="5"/>
  <c r="C455" i="5"/>
  <c r="C725" i="5"/>
  <c r="C888" i="5"/>
  <c r="C726" i="5"/>
  <c r="C456" i="5"/>
  <c r="C568" i="5"/>
  <c r="C727" i="5"/>
  <c r="C287" i="5"/>
  <c r="C1059" i="5"/>
  <c r="C728" i="5"/>
  <c r="C1280" i="5"/>
  <c r="C288" i="5"/>
  <c r="C21" i="5"/>
  <c r="C1281" i="5"/>
  <c r="C1060" i="5"/>
  <c r="C457" i="5"/>
  <c r="C1282" i="5"/>
  <c r="C1061" i="5"/>
  <c r="C289" i="5"/>
  <c r="C889" i="5"/>
  <c r="C290" i="5"/>
  <c r="C458" i="5"/>
  <c r="C1062" i="5"/>
  <c r="C890" i="5"/>
  <c r="C1283" i="5"/>
  <c r="C729" i="5"/>
  <c r="C730" i="5"/>
  <c r="C64" i="5"/>
  <c r="C1284" i="5"/>
  <c r="C1285" i="5"/>
  <c r="C1286" i="5"/>
  <c r="C569" i="5"/>
  <c r="C459" i="5"/>
  <c r="C1287" i="5"/>
  <c r="C369" i="5"/>
  <c r="C1288" i="5"/>
  <c r="C731" i="5"/>
  <c r="C1289" i="5"/>
  <c r="C65" i="5"/>
  <c r="C732" i="5"/>
  <c r="C570" i="5"/>
  <c r="C1063" i="5"/>
  <c r="C1290" i="5"/>
  <c r="C1291" i="5"/>
  <c r="C733" i="5"/>
  <c r="C1292" i="5"/>
  <c r="C734" i="5"/>
  <c r="C370" i="5"/>
  <c r="C371" i="5"/>
  <c r="C168" i="5"/>
  <c r="C1293" i="5"/>
  <c r="C291" i="5"/>
  <c r="C66" i="5"/>
  <c r="C571" i="5"/>
  <c r="C1064" i="5"/>
  <c r="C372" i="5"/>
  <c r="C1294" i="5"/>
  <c r="C460" i="5"/>
  <c r="C373" i="5"/>
  <c r="C1295" i="5"/>
  <c r="C1296" i="5"/>
  <c r="C735" i="5"/>
  <c r="C22" i="5"/>
  <c r="C1297" i="5"/>
  <c r="C891" i="5"/>
  <c r="C1065" i="5"/>
  <c r="C1066" i="5"/>
  <c r="C169" i="5"/>
  <c r="C572" i="5"/>
  <c r="C23" i="5"/>
  <c r="C1298" i="5"/>
  <c r="C1299" i="5"/>
  <c r="C374" i="5"/>
  <c r="C892" i="5"/>
  <c r="C461" i="5"/>
  <c r="C1067" i="5"/>
  <c r="C573" i="5"/>
  <c r="C93" i="5"/>
  <c r="C170" i="5"/>
  <c r="C1068" i="5"/>
  <c r="C736" i="5"/>
  <c r="C893" i="5"/>
  <c r="C737" i="5"/>
  <c r="C1300" i="5"/>
  <c r="C894" i="5"/>
  <c r="C1069" i="5"/>
  <c r="C221" i="5"/>
  <c r="C895" i="5"/>
  <c r="C574" i="5"/>
  <c r="C375" i="5"/>
  <c r="C376" i="5"/>
  <c r="C1070" i="5"/>
  <c r="C222" i="5"/>
  <c r="C1301" i="5"/>
  <c r="C1071" i="5"/>
  <c r="C292" i="5"/>
  <c r="C1302" i="5"/>
  <c r="C1303" i="5"/>
  <c r="C1304" i="5"/>
  <c r="C1072" i="5"/>
  <c r="C1073" i="5"/>
  <c r="C575" i="5"/>
  <c r="C1305" i="5"/>
  <c r="C223" i="5"/>
  <c r="C896" i="5"/>
  <c r="C122" i="5"/>
  <c r="C42" i="5"/>
  <c r="C1074" i="5"/>
  <c r="C293" i="5"/>
  <c r="C738" i="5"/>
  <c r="C897" i="5"/>
  <c r="C739" i="5"/>
  <c r="C1306" i="5"/>
  <c r="C15" i="5"/>
  <c r="C576" i="5"/>
  <c r="C740" i="5"/>
  <c r="C741" i="5"/>
  <c r="C742" i="5"/>
  <c r="C743" i="5"/>
  <c r="C1307" i="5"/>
  <c r="C1308" i="5"/>
  <c r="C377" i="5"/>
  <c r="C462" i="5"/>
  <c r="C1309" i="5"/>
  <c r="C744" i="5"/>
  <c r="C48" i="5"/>
  <c r="C171" i="5"/>
  <c r="C172" i="5"/>
  <c r="C745" i="5"/>
  <c r="C898" i="5"/>
  <c r="C173" i="5"/>
  <c r="C746" i="5"/>
  <c r="C294" i="5"/>
  <c r="C295" i="5"/>
  <c r="C224" i="5"/>
  <c r="C1075" i="5"/>
  <c r="C747" i="5"/>
  <c r="C174" i="5"/>
  <c r="C1076" i="5"/>
  <c r="C225" i="5"/>
  <c r="C1310" i="5"/>
  <c r="C1077" i="5"/>
  <c r="C1078" i="5"/>
  <c r="C1311" i="5"/>
  <c r="C463" i="5"/>
  <c r="C296" i="5"/>
  <c r="C1312" i="5"/>
  <c r="C577" i="5"/>
  <c r="C297" i="5"/>
  <c r="C1079" i="5"/>
  <c r="C748" i="5"/>
  <c r="C378" i="5"/>
  <c r="C94" i="5"/>
  <c r="C226" i="5"/>
  <c r="C7" i="5"/>
  <c r="C899" i="5"/>
  <c r="C12" i="5"/>
  <c r="C900" i="5"/>
  <c r="C298" i="5"/>
  <c r="C578" i="5"/>
  <c r="C379" i="5"/>
  <c r="C67" i="5"/>
  <c r="C123" i="5"/>
  <c r="C901" i="5"/>
  <c r="C579" i="5"/>
  <c r="C464" i="5"/>
  <c r="C580" i="5"/>
  <c r="C465" i="5"/>
  <c r="C1313" i="5"/>
  <c r="C902" i="5"/>
  <c r="C1080" i="5"/>
  <c r="C1314" i="5"/>
  <c r="C380" i="5"/>
  <c r="C466" i="5"/>
  <c r="C749" i="5"/>
  <c r="C1315" i="5"/>
  <c r="C581" i="5"/>
  <c r="C175" i="5"/>
  <c r="C1316" i="5"/>
  <c r="C1317" i="5"/>
  <c r="C750" i="5"/>
  <c r="C1081" i="5"/>
  <c r="C751" i="5"/>
  <c r="C1318" i="5"/>
  <c r="C582" i="5"/>
  <c r="C49" i="5"/>
  <c r="C1082" i="5"/>
  <c r="C68" i="5"/>
  <c r="C1083" i="5"/>
  <c r="C69" i="5"/>
  <c r="C752" i="5"/>
  <c r="C1084" i="5"/>
  <c r="C753" i="5"/>
  <c r="C583" i="5"/>
  <c r="C1319" i="5"/>
  <c r="C1320" i="5"/>
  <c r="C754" i="5"/>
  <c r="C1321" i="5"/>
  <c r="C227" i="5"/>
  <c r="C381" i="5"/>
  <c r="C1322" i="5"/>
  <c r="C1323" i="5"/>
  <c r="C382" i="5"/>
  <c r="C467" i="5"/>
  <c r="C50" i="5"/>
  <c r="C903" i="5"/>
  <c r="C383" i="5"/>
  <c r="C468" i="5"/>
  <c r="C755" i="5"/>
  <c r="C228" i="5"/>
  <c r="C1324" i="5"/>
  <c r="C299" i="5"/>
  <c r="C584" i="5"/>
  <c r="C1325" i="5"/>
  <c r="C1085" i="5"/>
  <c r="C384" i="5"/>
  <c r="C300" i="5"/>
  <c r="C1086" i="5"/>
  <c r="C904" i="5"/>
  <c r="C756" i="5"/>
  <c r="C1087" i="5"/>
  <c r="C585" i="5"/>
  <c r="C586" i="5"/>
  <c r="C124" i="5"/>
  <c r="C757" i="5"/>
  <c r="C587" i="5"/>
  <c r="C905" i="5"/>
  <c r="C1088" i="5"/>
  <c r="C229" i="5"/>
  <c r="C230" i="5"/>
  <c r="C1089" i="5"/>
  <c r="C1326" i="5"/>
  <c r="C758" i="5"/>
  <c r="C759" i="5"/>
  <c r="C1090" i="5"/>
  <c r="C906" i="5"/>
  <c r="C1091" i="5"/>
  <c r="C1092" i="5"/>
  <c r="C1327" i="5"/>
  <c r="C95" i="5"/>
  <c r="C1328" i="5"/>
  <c r="C301" i="5"/>
  <c r="C588" i="5"/>
  <c r="C125" i="5"/>
  <c r="C1329" i="5"/>
  <c r="C385" i="5"/>
  <c r="C760" i="5"/>
  <c r="C907" i="5"/>
  <c r="C908" i="5"/>
  <c r="C126" i="5"/>
  <c r="C231" i="5"/>
  <c r="C1330" i="5"/>
  <c r="C469" i="5"/>
  <c r="C909" i="5"/>
  <c r="C232" i="5"/>
  <c r="C1331" i="5"/>
  <c r="C761" i="5"/>
  <c r="C70" i="5"/>
  <c r="C24" i="5"/>
  <c r="C762" i="5"/>
  <c r="C910" i="5"/>
  <c r="C1332" i="5"/>
  <c r="C233" i="5"/>
  <c r="C176" i="5"/>
  <c r="C470" i="5"/>
  <c r="C177" i="5"/>
  <c r="C763" i="5"/>
  <c r="C911" i="5"/>
  <c r="C71" i="5"/>
  <c r="C1333" i="5"/>
  <c r="C302" i="5"/>
  <c r="C1334" i="5"/>
  <c r="C589" i="5"/>
  <c r="C471" i="5"/>
  <c r="C1093" i="5"/>
  <c r="C590" i="5"/>
  <c r="C472" i="5"/>
  <c r="C473" i="5"/>
  <c r="C591" i="5"/>
  <c r="C592" i="5"/>
  <c r="C474" i="5"/>
  <c r="C1094" i="5"/>
  <c r="C178" i="5"/>
  <c r="C303" i="5"/>
  <c r="C912" i="5"/>
  <c r="C1335" i="5"/>
  <c r="C1336" i="5"/>
  <c r="C1337" i="5"/>
  <c r="C1338" i="5"/>
  <c r="C179" i="5"/>
  <c r="C1339" i="5"/>
  <c r="C386" i="5"/>
  <c r="C593" i="5"/>
  <c r="C1340" i="5"/>
  <c r="C594" i="5"/>
  <c r="C764" i="5"/>
  <c r="C387" i="5"/>
  <c r="C1341" i="5"/>
  <c r="C1342" i="5"/>
  <c r="C1343" i="5"/>
  <c r="C234" i="5"/>
  <c r="C180" i="5"/>
  <c r="C913" i="5"/>
  <c r="C1095" i="5"/>
  <c r="C595" i="5"/>
  <c r="C304" i="5"/>
  <c r="C1096" i="5"/>
  <c r="C305" i="5"/>
  <c r="C475" i="5"/>
  <c r="C1344" i="5"/>
  <c r="C1345" i="5"/>
  <c r="C1097" i="5"/>
  <c r="C765" i="5"/>
  <c r="C914" i="5"/>
  <c r="C1346" i="5"/>
  <c r="C1098" i="5"/>
  <c r="C915" i="5"/>
  <c r="C306" i="5"/>
  <c r="C596" i="5"/>
  <c r="C476" i="5"/>
  <c r="C307" i="5"/>
  <c r="C1347" i="5"/>
  <c r="C181" i="5"/>
  <c r="C597" i="5"/>
  <c r="C916" i="5"/>
  <c r="C96" i="5"/>
  <c r="C1099" i="5"/>
  <c r="C1348" i="5"/>
  <c r="C1349" i="5"/>
  <c r="C766" i="5"/>
  <c r="C235" i="5"/>
  <c r="C1100" i="5"/>
  <c r="C308" i="5"/>
  <c r="C598" i="5"/>
  <c r="C25" i="5"/>
  <c r="C236" i="5"/>
  <c r="C309" i="5"/>
  <c r="C917" i="5"/>
  <c r="C72" i="5"/>
  <c r="C767" i="5"/>
  <c r="C918" i="5"/>
  <c r="C768" i="5"/>
  <c r="C1101" i="5"/>
  <c r="C97" i="5"/>
  <c r="C1350" i="5"/>
  <c r="C919" i="5"/>
  <c r="C477" i="5"/>
  <c r="C769" i="5"/>
  <c r="C770" i="5"/>
  <c r="C1102" i="5"/>
  <c r="C771" i="5"/>
  <c r="C772" i="5"/>
  <c r="C773" i="5"/>
  <c r="C774" i="5"/>
  <c r="C775" i="5"/>
  <c r="C478" i="5"/>
  <c r="C479" i="5"/>
  <c r="C920" i="5"/>
  <c r="C921" i="5"/>
  <c r="C237" i="5"/>
  <c r="C776" i="5"/>
  <c r="C480" i="5"/>
  <c r="C1103" i="5"/>
  <c r="C1351" i="5"/>
  <c r="C599" i="5"/>
  <c r="C922" i="5"/>
  <c r="C1352" i="5"/>
  <c r="C777" i="5"/>
  <c r="C1104" i="5"/>
  <c r="C600" i="5"/>
  <c r="C238" i="5"/>
  <c r="C310" i="5"/>
  <c r="C1353" i="5"/>
  <c r="C923" i="5"/>
  <c r="C481" i="5"/>
  <c r="C924" i="5"/>
  <c r="C98" i="5"/>
  <c r="C1354" i="5"/>
  <c r="C925" i="5"/>
  <c r="C1355" i="5"/>
  <c r="C482" i="5"/>
  <c r="C182" i="5"/>
  <c r="C926" i="5"/>
  <c r="C483" i="5"/>
  <c r="C127" i="5"/>
  <c r="C778" i="5"/>
  <c r="C1105" i="5"/>
  <c r="C1356" i="5"/>
  <c r="C183" i="5"/>
  <c r="C128" i="5"/>
  <c r="C484" i="5"/>
  <c r="C1357" i="5"/>
  <c r="C26" i="5"/>
  <c r="C1358" i="5"/>
  <c r="C1106" i="5"/>
  <c r="C779" i="5"/>
  <c r="C927" i="5"/>
  <c r="C388" i="5"/>
  <c r="C51" i="5"/>
  <c r="C601" i="5"/>
  <c r="C311" i="5"/>
  <c r="C1359" i="5"/>
  <c r="C312" i="5"/>
  <c r="C1107" i="5"/>
  <c r="C1360" i="5"/>
  <c r="C1108" i="5"/>
  <c r="C1109" i="5"/>
  <c r="C184" i="5"/>
  <c r="C780" i="5"/>
  <c r="C389" i="5"/>
  <c r="C73" i="5"/>
  <c r="C602" i="5"/>
  <c r="C781" i="5"/>
  <c r="C313" i="5"/>
  <c r="C1361" i="5"/>
  <c r="C782" i="5"/>
  <c r="C1362" i="5"/>
  <c r="C1363" i="5"/>
  <c r="C1110" i="5"/>
  <c r="C1111" i="5"/>
  <c r="C928" i="5"/>
  <c r="C929" i="5"/>
  <c r="C603" i="5"/>
  <c r="C1364" i="5"/>
  <c r="C604" i="5"/>
  <c r="C485" i="5"/>
  <c r="C1112" i="5"/>
  <c r="C930" i="5"/>
  <c r="C783" i="5"/>
  <c r="C931" i="5"/>
  <c r="C314" i="5"/>
  <c r="C932" i="5"/>
  <c r="C390" i="5"/>
  <c r="C605" i="5"/>
  <c r="C606" i="5"/>
  <c r="C1365" i="5"/>
  <c r="C1366" i="5"/>
  <c r="C1367" i="5"/>
  <c r="C933" i="5"/>
  <c r="C315" i="5"/>
  <c r="C784" i="5"/>
  <c r="C607" i="5"/>
  <c r="C1368" i="5"/>
  <c r="C1113" i="5"/>
  <c r="C316" i="5"/>
  <c r="C934" i="5"/>
  <c r="C1369" i="5"/>
  <c r="C1370" i="5"/>
  <c r="C935" i="5"/>
  <c r="C99" i="5"/>
  <c r="C785" i="5"/>
  <c r="C936" i="5"/>
  <c r="C608" i="5"/>
  <c r="C609" i="5"/>
  <c r="C610" i="5"/>
  <c r="C1114" i="5"/>
  <c r="C937" i="5"/>
  <c r="C239" i="5"/>
  <c r="C240" i="5"/>
  <c r="C1371" i="5"/>
  <c r="C1372" i="5"/>
  <c r="C185" i="5"/>
  <c r="C938" i="5"/>
  <c r="C1373" i="5"/>
  <c r="C241" i="5"/>
  <c r="C611" i="5"/>
  <c r="C74" i="5"/>
  <c r="C1374" i="5"/>
  <c r="C1375" i="5"/>
  <c r="C786" i="5"/>
  <c r="C391" i="5"/>
  <c r="C939" i="5"/>
  <c r="C1376" i="5"/>
  <c r="C1377" i="5"/>
  <c r="C129" i="5"/>
  <c r="C1378" i="5"/>
  <c r="C940" i="5"/>
  <c r="C1379" i="5"/>
  <c r="C486" i="5"/>
  <c r="C1380" i="5"/>
  <c r="C787" i="5"/>
  <c r="C612" i="5"/>
  <c r="C1381" i="5"/>
  <c r="C1382" i="5"/>
  <c r="C1383" i="5"/>
  <c r="C1115" i="5"/>
  <c r="C487" i="5"/>
  <c r="C1384" i="5"/>
  <c r="C788" i="5"/>
  <c r="C789" i="5"/>
  <c r="C790" i="5"/>
  <c r="C1385" i="5"/>
  <c r="C613" i="5"/>
  <c r="C1386" i="5"/>
  <c r="C941" i="5"/>
  <c r="C488" i="5"/>
  <c r="C1387" i="5"/>
  <c r="C942" i="5"/>
  <c r="C614" i="5"/>
  <c r="C791" i="5"/>
  <c r="C317" i="5"/>
  <c r="C1388" i="5"/>
  <c r="C13" i="5"/>
  <c r="C943" i="5"/>
  <c r="C944" i="5"/>
  <c r="C1116" i="5"/>
  <c r="C392" i="5"/>
  <c r="C75" i="5"/>
  <c r="C1117" i="5"/>
  <c r="C318" i="5"/>
  <c r="C186" i="5"/>
  <c r="C615" i="5"/>
  <c r="C1118" i="5"/>
  <c r="C187" i="5"/>
  <c r="C1389" i="5"/>
  <c r="C489" i="5"/>
  <c r="C945" i="5"/>
  <c r="C1119" i="5"/>
  <c r="C319" i="5"/>
  <c r="C188" i="5"/>
  <c r="C490" i="5"/>
  <c r="C393" i="5"/>
  <c r="C394" i="5"/>
  <c r="C1120" i="5"/>
  <c r="C1121" i="5"/>
  <c r="C1122" i="5"/>
  <c r="C616" i="5"/>
  <c r="C18" i="5"/>
  <c r="C1390" i="5"/>
  <c r="C242" i="5"/>
  <c r="C617" i="5"/>
  <c r="C618" i="5"/>
  <c r="C1391" i="5"/>
  <c r="C491" i="5"/>
  <c r="C1392" i="5"/>
  <c r="C130" i="5"/>
  <c r="C792" i="5"/>
  <c r="C946" i="5"/>
  <c r="C619" i="5"/>
  <c r="C395" i="5"/>
  <c r="C1123" i="5"/>
  <c r="C620" i="5"/>
  <c r="C947" i="5"/>
  <c r="C948" i="5"/>
  <c r="C793" i="5"/>
  <c r="C794" i="5"/>
  <c r="C949" i="5"/>
  <c r="C950" i="5"/>
  <c r="C43" i="5"/>
  <c r="C1124" i="5"/>
  <c r="C621" i="5"/>
  <c r="C396" i="5"/>
  <c r="C795" i="5"/>
  <c r="C1125" i="5"/>
  <c r="C796" i="5"/>
  <c r="C1393" i="5"/>
  <c r="C492" i="5"/>
  <c r="C1394" i="5"/>
  <c r="C1395" i="5"/>
  <c r="C1396" i="5"/>
  <c r="C189" i="5"/>
  <c r="C622" i="5"/>
  <c r="C9" i="5"/>
  <c r="C1126" i="5"/>
  <c r="C797" i="5"/>
  <c r="C397" i="5"/>
  <c r="C243" i="5"/>
  <c r="C100" i="5"/>
  <c r="C1127" i="5"/>
  <c r="C1397" i="5"/>
  <c r="C798" i="5"/>
  <c r="C1128" i="5"/>
  <c r="C799" i="5"/>
  <c r="C398" i="5"/>
  <c r="C101" i="5"/>
  <c r="C1129" i="5"/>
  <c r="C1130" i="5"/>
  <c r="C1131" i="5"/>
  <c r="C320" i="5"/>
  <c r="C800" i="5"/>
  <c r="C1398" i="5"/>
  <c r="C131" i="5"/>
  <c r="C1399" i="5"/>
  <c r="C1132" i="5"/>
  <c r="C1133" i="5"/>
  <c r="C951" i="5"/>
  <c r="C321" i="5"/>
  <c r="C623" i="5"/>
  <c r="C801" i="5"/>
  <c r="C952" i="5"/>
  <c r="C1400" i="5"/>
  <c r="C132" i="5"/>
  <c r="C624" i="5"/>
  <c r="C44" i="5"/>
  <c r="C625" i="5"/>
  <c r="C953" i="5"/>
  <c r="C954" i="5"/>
  <c r="C1401" i="5"/>
  <c r="C1402" i="5"/>
  <c r="C399" i="5"/>
  <c r="C1403" i="5"/>
  <c r="C244" i="5"/>
  <c r="C245" i="5"/>
  <c r="C955" i="5"/>
  <c r="C1404" i="5"/>
  <c r="C802" i="5"/>
  <c r="C400" i="5"/>
  <c r="C1134" i="5"/>
  <c r="C133" i="5"/>
  <c r="C1405" i="5"/>
  <c r="C322" i="5"/>
  <c r="C1135" i="5"/>
  <c r="C1406" i="5"/>
  <c r="C1407" i="5"/>
  <c r="C626" i="5"/>
  <c r="C52" i="5"/>
  <c r="C803" i="5"/>
  <c r="C1408" i="5"/>
  <c r="C956" i="5"/>
  <c r="C401" i="5"/>
  <c r="C190" i="5"/>
  <c r="C402" i="5"/>
  <c r="C53" i="5"/>
  <c r="C493" i="5"/>
  <c r="C627" i="5"/>
  <c r="C403" i="5"/>
  <c r="C494" i="5"/>
  <c r="C1409" i="5"/>
  <c r="C804" i="5"/>
  <c r="C495" i="5"/>
  <c r="C323" i="5"/>
  <c r="C957" i="5"/>
  <c r="C1410" i="5"/>
  <c r="C1136" i="5"/>
  <c r="C958" i="5"/>
  <c r="C1411" i="5"/>
  <c r="C1137" i="5"/>
  <c r="C102" i="5"/>
  <c r="C1412" i="5"/>
  <c r="C1413" i="5"/>
  <c r="C1414" i="5"/>
  <c r="C1138" i="5"/>
  <c r="C496" i="5"/>
  <c r="C54" i="5"/>
  <c r="C1415" i="5"/>
  <c r="C497" i="5"/>
  <c r="C1416" i="5"/>
  <c r="C134" i="5"/>
  <c r="C498" i="5"/>
  <c r="C499" i="5"/>
  <c r="C1139" i="5"/>
  <c r="C500" i="5"/>
  <c r="C805" i="5"/>
  <c r="C628" i="5"/>
  <c r="C1140" i="5"/>
  <c r="C806" i="5"/>
  <c r="C629" i="5"/>
  <c r="C1417" i="5"/>
  <c r="C246" i="5"/>
  <c r="C1418" i="5"/>
  <c r="C1141" i="5"/>
  <c r="C1419" i="5"/>
  <c r="C1420" i="5"/>
  <c r="C247" i="5"/>
  <c r="C404" i="5"/>
  <c r="C405" i="5"/>
  <c r="C406" i="5"/>
  <c r="C959" i="5"/>
  <c r="C630" i="5"/>
  <c r="C10" i="5"/>
  <c r="C807" i="5"/>
  <c r="C631" i="5"/>
  <c r="C632" i="5"/>
  <c r="C1142" i="5"/>
  <c r="C633" i="5"/>
  <c r="C1143" i="5"/>
  <c r="C808" i="5"/>
  <c r="C1421" i="5"/>
  <c r="C27" i="5"/>
  <c r="C248" i="5"/>
  <c r="C1144" i="5"/>
  <c r="C809" i="5"/>
  <c r="C1145" i="5"/>
  <c r="C810" i="5"/>
  <c r="C1422" i="5"/>
  <c r="C501" i="5"/>
  <c r="C135" i="5"/>
  <c r="C811" i="5"/>
  <c r="C1423" i="5"/>
  <c r="C1424" i="5"/>
  <c r="C249" i="5"/>
  <c r="C103" i="5"/>
  <c r="C1425" i="5"/>
  <c r="C812" i="5"/>
  <c r="C502" i="5"/>
  <c r="C191" i="5"/>
  <c r="C503" i="5"/>
  <c r="C407" i="5"/>
  <c r="C28" i="5"/>
  <c r="C1426" i="5"/>
  <c r="C1427" i="5"/>
  <c r="C634" i="5"/>
  <c r="C1428" i="5"/>
  <c r="C635" i="5"/>
  <c r="C324" i="5"/>
  <c r="C960" i="5"/>
  <c r="C136" i="5"/>
  <c r="C32" i="5"/>
  <c r="C813" i="5"/>
  <c r="C814" i="5"/>
  <c r="C1429" i="5"/>
  <c r="C76" i="5"/>
  <c r="C636" i="5"/>
  <c r="C637" i="5"/>
  <c r="C104" i="5"/>
  <c r="C638" i="5"/>
  <c r="C961" i="5"/>
  <c r="C33" i="5"/>
  <c r="C815" i="5"/>
  <c r="C1430" i="5"/>
  <c r="C105" i="5"/>
  <c r="C1146" i="5"/>
  <c r="C504" i="5"/>
  <c r="C55" i="5"/>
  <c r="C962" i="5"/>
  <c r="C639" i="5"/>
  <c r="C192" i="5"/>
  <c r="C505" i="5"/>
  <c r="C640" i="5"/>
  <c r="C1431" i="5"/>
  <c r="C137" i="5"/>
  <c r="C506" i="5"/>
  <c r="C963" i="5"/>
  <c r="C641" i="5"/>
  <c r="C964" i="5"/>
  <c r="C1432" i="5"/>
  <c r="C965" i="5"/>
  <c r="C1433" i="5"/>
  <c r="C507" i="5"/>
  <c r="C816" i="5"/>
  <c r="C508" i="5"/>
  <c r="C1434" i="5"/>
  <c r="C966" i="5"/>
  <c r="C1435" i="5"/>
  <c r="C1147" i="5"/>
  <c r="C408" i="5"/>
  <c r="C1148" i="5"/>
  <c r="C642" i="5"/>
  <c r="C967" i="5"/>
  <c r="C14" i="5"/>
  <c r="C968" i="5"/>
  <c r="C643" i="5"/>
  <c r="C1436" i="5"/>
  <c r="C1437" i="5"/>
  <c r="C509" i="5"/>
  <c r="C1438" i="5"/>
  <c r="C1439" i="5"/>
  <c r="C1440" i="5"/>
  <c r="C644" i="5"/>
  <c r="C969" i="5"/>
  <c r="C645" i="5"/>
  <c r="C1441" i="5"/>
  <c r="C193" i="5"/>
  <c r="C646" i="5"/>
  <c r="C970" i="5"/>
  <c r="C971" i="5"/>
  <c r="C1442" i="5"/>
  <c r="C1443" i="5"/>
  <c r="C817" i="5"/>
  <c r="C1149" i="5"/>
  <c r="C510" i="5"/>
  <c r="C647" i="5"/>
  <c r="C972" i="5"/>
  <c r="C409" i="5"/>
  <c r="C410" i="5"/>
  <c r="C1444" i="5"/>
  <c r="C648" i="5"/>
  <c r="C325" i="5"/>
  <c r="C1445" i="5"/>
  <c r="C138" i="5"/>
  <c r="C250" i="5"/>
  <c r="C1150" i="5"/>
  <c r="C77" i="5"/>
  <c r="C411" i="5"/>
  <c r="C1446" i="5"/>
  <c r="C1447" i="5"/>
  <c r="C1151" i="5"/>
  <c r="C818" i="5"/>
  <c r="C1448" i="5"/>
  <c r="C819" i="5"/>
  <c r="C511" i="5"/>
  <c r="C649" i="5"/>
  <c r="C412" i="5"/>
  <c r="C1152" i="5"/>
  <c r="C1449" i="5"/>
  <c r="C650" i="5"/>
  <c r="C194" i="5"/>
  <c r="C1450" i="5"/>
  <c r="C1451" i="5"/>
  <c r="C106" i="5"/>
  <c r="C512" i="5"/>
  <c r="C1153" i="5"/>
  <c r="C820" i="5"/>
  <c r="C973" i="5"/>
  <c r="C821" i="5"/>
  <c r="C1452" i="5"/>
  <c r="C974" i="5"/>
  <c r="C822" i="5"/>
  <c r="C251" i="5"/>
  <c r="C1154" i="5"/>
  <c r="C1155" i="5"/>
  <c r="C975" i="5"/>
  <c r="C1453" i="5"/>
  <c r="C195" i="5"/>
  <c r="C252" i="5"/>
  <c r="C196" i="5"/>
  <c r="C253" i="5"/>
  <c r="C1156" i="5"/>
  <c r="C1454" i="5"/>
  <c r="C823" i="5"/>
  <c r="C1455" i="5"/>
  <c r="C824" i="5"/>
  <c r="C254" i="5"/>
  <c r="C413" i="5"/>
  <c r="C513" i="5"/>
  <c r="C825" i="5"/>
  <c r="C139" i="5"/>
  <c r="C826" i="5"/>
  <c r="C1456" i="5"/>
  <c r="C827" i="5"/>
  <c r="C414" i="5"/>
  <c r="C1157" i="5"/>
  <c r="C828" i="5"/>
  <c r="C1457" i="5"/>
  <c r="C1458" i="5"/>
  <c r="C1158" i="5"/>
  <c r="C1459" i="5"/>
  <c r="C976" i="5"/>
  <c r="C1460" i="5"/>
  <c r="C107" i="5"/>
  <c r="C255" i="5"/>
  <c r="C829" i="5"/>
  <c r="C1159" i="5"/>
  <c r="C326" i="5"/>
  <c r="C1461" i="5"/>
  <c r="C78" i="5"/>
  <c r="C1462" i="5"/>
  <c r="C108" i="5"/>
  <c r="C830" i="5"/>
  <c r="C415" i="5"/>
  <c r="C1160" i="5"/>
  <c r="C1463" i="5"/>
  <c r="C1464" i="5"/>
  <c r="C514" i="5"/>
  <c r="C1465" i="5"/>
  <c r="C651" i="5"/>
  <c r="C515" i="5"/>
  <c r="C1466" i="5"/>
  <c r="C1467" i="5"/>
  <c r="C831" i="5"/>
  <c r="C516" i="5"/>
  <c r="C977" i="5"/>
  <c r="C256" i="5"/>
  <c r="C517" i="5"/>
  <c r="C327" i="5"/>
  <c r="C1161" i="5"/>
  <c r="C1162" i="5"/>
  <c r="C518" i="5"/>
  <c r="C416" i="5"/>
  <c r="C1468" i="5"/>
  <c r="C1469" i="5"/>
  <c r="C1470" i="5"/>
  <c r="C417" i="5"/>
  <c r="C978" i="5"/>
  <c r="C197" i="5"/>
  <c r="C652" i="5"/>
  <c r="C653" i="5"/>
  <c r="C198" i="5"/>
  <c r="C832" i="5"/>
  <c r="C1163" i="5"/>
  <c r="C257" i="5"/>
  <c r="C833" i="5"/>
  <c r="C1164" i="5"/>
  <c r="C654" i="5"/>
  <c r="C834" i="5"/>
  <c r="C1165" i="5"/>
  <c r="C979" i="5"/>
  <c r="C1471" i="5"/>
  <c r="C1166" i="5"/>
  <c r="C519" i="5"/>
  <c r="C655" i="5"/>
  <c r="C199" i="5"/>
  <c r="C328" i="5"/>
  <c r="C1472" i="5"/>
  <c r="C1473" i="5"/>
  <c r="C56" i="5"/>
  <c r="C1474" i="5"/>
  <c r="C980" i="5"/>
  <c r="C140" i="5"/>
  <c r="C329" i="5"/>
  <c r="C520" i="5"/>
  <c r="C1475" i="5"/>
  <c r="C1476" i="5"/>
  <c r="C981" i="5"/>
  <c r="C200" i="5"/>
  <c r="C1167" i="5"/>
  <c r="C1477" i="5"/>
  <c r="C16" i="5"/>
  <c r="C57" i="5"/>
  <c r="C1478" i="5"/>
  <c r="C109" i="5"/>
  <c r="C330" i="5"/>
  <c r="C982" i="5"/>
  <c r="C983" i="5"/>
  <c r="C141" i="5"/>
  <c r="C835" i="5"/>
  <c r="C79" i="5"/>
  <c r="C836" i="5"/>
  <c r="C58" i="5"/>
  <c r="C418" i="5"/>
  <c r="C331" i="5"/>
  <c r="C1479" i="5"/>
  <c r="C419" i="5"/>
  <c r="C1168" i="5"/>
  <c r="C984" i="5"/>
  <c r="C258" i="5"/>
  <c r="C1480" i="5"/>
  <c r="C1481" i="5"/>
  <c r="C837" i="5"/>
  <c r="C985" i="5"/>
  <c r="C656" i="5"/>
  <c r="C332" i="5"/>
  <c r="C838" i="5"/>
  <c r="C1169" i="5"/>
  <c r="C986" i="5"/>
  <c r="C142" i="5"/>
  <c r="C1482" i="5"/>
  <c r="C1483" i="5"/>
  <c r="C657" i="5"/>
  <c r="C333" i="5"/>
  <c r="C1170" i="5"/>
  <c r="C658" i="5"/>
  <c r="C1171" i="5"/>
  <c r="C1172" i="5"/>
  <c r="C659" i="5"/>
  <c r="C259" i="5"/>
  <c r="C334" i="5"/>
  <c r="C1484" i="5"/>
  <c r="C660" i="5"/>
  <c r="C1485" i="5"/>
  <c r="C11" i="5"/>
  <c r="C1486" i="5"/>
  <c r="C1173" i="5"/>
  <c r="C1487" i="5"/>
  <c r="C521" i="5"/>
  <c r="C1488" i="5"/>
  <c r="C522" i="5"/>
  <c r="C661" i="5"/>
  <c r="C523" i="5"/>
  <c r="C524" i="5"/>
  <c r="C1489" i="5"/>
  <c r="C525" i="5"/>
  <c r="C1174" i="5"/>
  <c r="C839" i="5"/>
  <c r="C1175" i="5"/>
  <c r="C526" i="5"/>
  <c r="C1490" i="5"/>
  <c r="C1491" i="5"/>
  <c r="C840" i="5"/>
  <c r="C662" i="5"/>
  <c r="C260" i="5"/>
  <c r="C1176" i="5"/>
  <c r="C1492" i="5"/>
  <c r="C987" i="5"/>
  <c r="C663" i="5"/>
  <c r="C1177" i="5"/>
  <c r="C988" i="5"/>
  <c r="C261" i="5"/>
  <c r="C335" i="5"/>
  <c r="C1493" i="5"/>
  <c r="C989" i="5"/>
  <c r="C1494" i="5"/>
  <c r="C110" i="5"/>
  <c r="C990" i="5"/>
  <c r="C420" i="5"/>
  <c r="C143" i="5"/>
  <c r="C1178" i="5"/>
  <c r="C201" i="5"/>
  <c r="C1495" i="5"/>
  <c r="C1496" i="5"/>
  <c r="C59" i="5"/>
  <c r="C1497" i="5"/>
  <c r="C421" i="5"/>
  <c r="C664" i="5"/>
  <c r="C665" i="5"/>
  <c r="C1179" i="5"/>
  <c r="C1498" i="5"/>
  <c r="C666" i="5"/>
  <c r="C527" i="5"/>
  <c r="C1499" i="5"/>
  <c r="C841" i="5"/>
  <c r="C528" i="5"/>
  <c r="C1180" i="5"/>
  <c r="C144" i="5"/>
  <c r="C1181" i="5"/>
  <c r="C991" i="5"/>
  <c r="C529" i="5"/>
  <c r="C530" i="5"/>
  <c r="C992" i="5"/>
  <c r="C531" i="5"/>
  <c r="C993" i="5"/>
  <c r="C1182" i="5"/>
  <c r="C336" i="5"/>
  <c r="C1500" i="5"/>
  <c r="C337" i="5"/>
  <c r="C338" i="5"/>
  <c r="C842" i="5"/>
  <c r="C667" i="5"/>
  <c r="C1183" i="5"/>
  <c r="C843" i="5"/>
  <c r="C202" i="5"/>
  <c r="C668" i="5"/>
  <c r="C844" i="5"/>
  <c r="C1184" i="5"/>
  <c r="C422" i="5"/>
  <c r="C845" i="5"/>
  <c r="C423" i="5"/>
  <c r="C1185" i="5"/>
  <c r="C532" i="5"/>
  <c r="C1501" i="5"/>
  <c r="C994" i="5"/>
  <c r="C19" i="5"/>
  <c r="C846" i="5"/>
  <c r="C1502" i="5"/>
  <c r="C669" i="5"/>
  <c r="C533" i="5"/>
  <c r="C995" i="5"/>
  <c r="C670" i="5"/>
  <c r="C1186" i="5"/>
  <c r="C1187" i="5"/>
  <c r="C1188" i="5"/>
  <c r="C424" i="5"/>
  <c r="C1503" i="5"/>
  <c r="C847" i="5"/>
  <c r="C671" i="5"/>
  <c r="C534" i="5"/>
  <c r="C1189" i="5"/>
  <c r="C1190" i="5"/>
  <c r="C1504" i="5"/>
  <c r="C339" i="5"/>
  <c r="C1505" i="5"/>
  <c r="C1506" i="5"/>
  <c r="C1507" i="5"/>
  <c r="C1508" i="5"/>
  <c r="B848" i="5"/>
  <c r="E848" i="5" s="1"/>
  <c r="B849" i="5"/>
  <c r="E849" i="5" s="1"/>
  <c r="B1191" i="5"/>
  <c r="E1191" i="5" s="1"/>
  <c r="B1192" i="5"/>
  <c r="E1192" i="5" s="1"/>
  <c r="B340" i="5"/>
  <c r="E340" i="5" s="1"/>
  <c r="B672" i="5"/>
  <c r="E672" i="5" s="1"/>
  <c r="B673" i="5"/>
  <c r="E673" i="5" s="1"/>
  <c r="B850" i="5"/>
  <c r="E850" i="5" s="1"/>
  <c r="B851" i="5"/>
  <c r="E851" i="5" s="1"/>
  <c r="B852" i="5"/>
  <c r="E852" i="5" s="1"/>
  <c r="B1193" i="5"/>
  <c r="E1193" i="5" s="1"/>
  <c r="B996" i="5"/>
  <c r="E996" i="5" s="1"/>
  <c r="B60" i="5"/>
  <c r="E60" i="5" s="1"/>
  <c r="B111" i="5"/>
  <c r="E111" i="5" s="1"/>
  <c r="B145" i="5"/>
  <c r="E145" i="5" s="1"/>
  <c r="B1194" i="5"/>
  <c r="E1194" i="5" s="1"/>
  <c r="B997" i="5"/>
  <c r="E997" i="5" s="1"/>
  <c r="B1195" i="5"/>
  <c r="E1195" i="5" s="1"/>
  <c r="B341" i="5"/>
  <c r="E341" i="5" s="1"/>
  <c r="B146" i="5"/>
  <c r="E146" i="5" s="1"/>
  <c r="B998" i="5"/>
  <c r="E998" i="5" s="1"/>
  <c r="B203" i="5"/>
  <c r="E203" i="5" s="1"/>
  <c r="B674" i="5"/>
  <c r="E674" i="5" s="1"/>
  <c r="B853" i="5"/>
  <c r="E853" i="5" s="1"/>
  <c r="B1196" i="5"/>
  <c r="E1196" i="5" s="1"/>
  <c r="B112" i="5"/>
  <c r="E112" i="5" s="1"/>
  <c r="B342" i="5"/>
  <c r="E342" i="5" s="1"/>
  <c r="B425" i="5"/>
  <c r="E425" i="5" s="1"/>
  <c r="B426" i="5"/>
  <c r="E426" i="5" s="1"/>
  <c r="B854" i="5"/>
  <c r="E854" i="5" s="1"/>
  <c r="B999" i="5"/>
  <c r="E999" i="5" s="1"/>
  <c r="B113" i="5"/>
  <c r="E113" i="5" s="1"/>
  <c r="B1000" i="5"/>
  <c r="E1000" i="5" s="1"/>
  <c r="B855" i="5"/>
  <c r="E855" i="5" s="1"/>
  <c r="B1197" i="5"/>
  <c r="E1197" i="5" s="1"/>
  <c r="B34" i="5"/>
  <c r="E34" i="5" s="1"/>
  <c r="B343" i="5"/>
  <c r="E343" i="5" s="1"/>
  <c r="B147" i="5"/>
  <c r="E147" i="5" s="1"/>
  <c r="B1198" i="5"/>
  <c r="E1198" i="5" s="1"/>
  <c r="B1199" i="5"/>
  <c r="E1199" i="5" s="1"/>
  <c r="B17" i="5"/>
  <c r="E17" i="5" s="1"/>
  <c r="B35" i="5"/>
  <c r="E35" i="5" s="1"/>
  <c r="B535" i="5"/>
  <c r="E535" i="5" s="1"/>
  <c r="B675" i="5"/>
  <c r="E675" i="5" s="1"/>
  <c r="B536" i="5"/>
  <c r="E536" i="5" s="1"/>
  <c r="B856" i="5"/>
  <c r="E856" i="5" s="1"/>
  <c r="B676" i="5"/>
  <c r="E676" i="5" s="1"/>
  <c r="B677" i="5"/>
  <c r="E677" i="5" s="1"/>
  <c r="B427" i="5"/>
  <c r="E427" i="5" s="1"/>
  <c r="B148" i="5"/>
  <c r="E148" i="5" s="1"/>
  <c r="B80" i="5"/>
  <c r="E80" i="5" s="1"/>
  <c r="B857" i="5"/>
  <c r="E857" i="5" s="1"/>
  <c r="B1001" i="5"/>
  <c r="E1001" i="5" s="1"/>
  <c r="B1200" i="5"/>
  <c r="E1200" i="5" s="1"/>
  <c r="B149" i="5"/>
  <c r="E149" i="5" s="1"/>
  <c r="B262" i="5"/>
  <c r="E262" i="5" s="1"/>
  <c r="B150" i="5"/>
  <c r="E150" i="5" s="1"/>
  <c r="B1002" i="5"/>
  <c r="E1002" i="5" s="1"/>
  <c r="B678" i="5"/>
  <c r="E678" i="5" s="1"/>
  <c r="B36" i="5"/>
  <c r="E36" i="5" s="1"/>
  <c r="B1201" i="5"/>
  <c r="E1201" i="5" s="1"/>
  <c r="B537" i="5"/>
  <c r="E537" i="5" s="1"/>
  <c r="B263" i="5"/>
  <c r="E263" i="5" s="1"/>
  <c r="B1202" i="5"/>
  <c r="E1202" i="5" s="1"/>
  <c r="B204" i="5"/>
  <c r="E204" i="5" s="1"/>
  <c r="B1003" i="5"/>
  <c r="E1003" i="5" s="1"/>
  <c r="B858" i="5"/>
  <c r="E858" i="5" s="1"/>
  <c r="B1203" i="5"/>
  <c r="E1203" i="5" s="1"/>
  <c r="B428" i="5"/>
  <c r="E428" i="5" s="1"/>
  <c r="B344" i="5"/>
  <c r="E344" i="5" s="1"/>
  <c r="B1204" i="5"/>
  <c r="E1204" i="5" s="1"/>
  <c r="B264" i="5"/>
  <c r="E264" i="5" s="1"/>
  <c r="B1205" i="5"/>
  <c r="E1205" i="5" s="1"/>
  <c r="B345" i="5"/>
  <c r="E345" i="5" s="1"/>
  <c r="B205" i="5"/>
  <c r="E205" i="5" s="1"/>
  <c r="B265" i="5"/>
  <c r="E265" i="5" s="1"/>
  <c r="B679" i="5"/>
  <c r="E679" i="5" s="1"/>
  <c r="B859" i="5"/>
  <c r="E859" i="5" s="1"/>
  <c r="B680" i="5"/>
  <c r="E680" i="5" s="1"/>
  <c r="B45" i="5"/>
  <c r="E45" i="5" s="1"/>
  <c r="B1206" i="5"/>
  <c r="E1206" i="5" s="1"/>
  <c r="B1207" i="5"/>
  <c r="E1207" i="5" s="1"/>
  <c r="B266" i="5"/>
  <c r="E266" i="5" s="1"/>
  <c r="B346" i="5"/>
  <c r="E346" i="5" s="1"/>
  <c r="B267" i="5"/>
  <c r="E267" i="5" s="1"/>
  <c r="B681" i="5"/>
  <c r="E681" i="5" s="1"/>
  <c r="B1208" i="5"/>
  <c r="E1208" i="5" s="1"/>
  <c r="B1209" i="5"/>
  <c r="E1209" i="5" s="1"/>
  <c r="B860" i="5"/>
  <c r="E860" i="5" s="1"/>
  <c r="B682" i="5"/>
  <c r="E682" i="5" s="1"/>
  <c r="B206" i="5"/>
  <c r="E206" i="5" s="1"/>
  <c r="B61" i="5"/>
  <c r="E61" i="5" s="1"/>
  <c r="B347" i="5"/>
  <c r="E347" i="5" s="1"/>
  <c r="B1004" i="5"/>
  <c r="E1004" i="5" s="1"/>
  <c r="B1210" i="5"/>
  <c r="E1210" i="5" s="1"/>
  <c r="B538" i="5"/>
  <c r="E538" i="5" s="1"/>
  <c r="B429" i="5"/>
  <c r="E429" i="5" s="1"/>
  <c r="B539" i="5"/>
  <c r="E539" i="5" s="1"/>
  <c r="B268" i="5"/>
  <c r="E268" i="5" s="1"/>
  <c r="B348" i="5"/>
  <c r="E348" i="5" s="1"/>
  <c r="B1211" i="5"/>
  <c r="E1211" i="5" s="1"/>
  <c r="B207" i="5"/>
  <c r="E207" i="5" s="1"/>
  <c r="B1005" i="5"/>
  <c r="E1005" i="5" s="1"/>
  <c r="B269" i="5"/>
  <c r="E269" i="5" s="1"/>
  <c r="B1212" i="5"/>
  <c r="E1212" i="5" s="1"/>
  <c r="B540" i="5"/>
  <c r="E540" i="5" s="1"/>
  <c r="B114" i="5"/>
  <c r="E114" i="5" s="1"/>
  <c r="B208" i="5"/>
  <c r="E208" i="5" s="1"/>
  <c r="B81" i="5"/>
  <c r="E81" i="5" s="1"/>
  <c r="B861" i="5"/>
  <c r="E861" i="5" s="1"/>
  <c r="B82" i="5"/>
  <c r="E82" i="5" s="1"/>
  <c r="B1213" i="5"/>
  <c r="E1213" i="5" s="1"/>
  <c r="B1214" i="5"/>
  <c r="E1214" i="5" s="1"/>
  <c r="B1006" i="5"/>
  <c r="E1006" i="5" s="1"/>
  <c r="B1007" i="5"/>
  <c r="E1007" i="5" s="1"/>
  <c r="B151" i="5"/>
  <c r="E151" i="5" s="1"/>
  <c r="B1008" i="5"/>
  <c r="E1008" i="5" s="1"/>
  <c r="B1009" i="5"/>
  <c r="E1009" i="5" s="1"/>
  <c r="B541" i="5"/>
  <c r="E541" i="5" s="1"/>
  <c r="B1215" i="5"/>
  <c r="E1215" i="5" s="1"/>
  <c r="B683" i="5"/>
  <c r="E683" i="5" s="1"/>
  <c r="B1216" i="5"/>
  <c r="E1216" i="5" s="1"/>
  <c r="B349" i="5"/>
  <c r="E349" i="5" s="1"/>
  <c r="B542" i="5"/>
  <c r="E542" i="5" s="1"/>
  <c r="B862" i="5"/>
  <c r="E862" i="5" s="1"/>
  <c r="B1217" i="5"/>
  <c r="E1217" i="5" s="1"/>
  <c r="B1218" i="5"/>
  <c r="E1218" i="5" s="1"/>
  <c r="B1219" i="5"/>
  <c r="E1219" i="5" s="1"/>
  <c r="B430" i="5"/>
  <c r="E430" i="5" s="1"/>
  <c r="B863" i="5"/>
  <c r="E863" i="5" s="1"/>
  <c r="B431" i="5"/>
  <c r="E431" i="5" s="1"/>
  <c r="B46" i="5"/>
  <c r="E46" i="5" s="1"/>
  <c r="B1220" i="5"/>
  <c r="E1220" i="5" s="1"/>
  <c r="B1221" i="5"/>
  <c r="E1221" i="5" s="1"/>
  <c r="B432" i="5"/>
  <c r="E432" i="5" s="1"/>
  <c r="B684" i="5"/>
  <c r="E684" i="5" s="1"/>
  <c r="B1010" i="5"/>
  <c r="E1010" i="5" s="1"/>
  <c r="B350" i="5"/>
  <c r="E350" i="5" s="1"/>
  <c r="B1011" i="5"/>
  <c r="E1011" i="5" s="1"/>
  <c r="B1012" i="5"/>
  <c r="E1012" i="5" s="1"/>
  <c r="B1222" i="5"/>
  <c r="E1222" i="5" s="1"/>
  <c r="B543" i="5"/>
  <c r="E543" i="5" s="1"/>
  <c r="B351" i="5"/>
  <c r="E351" i="5" s="1"/>
  <c r="B685" i="5"/>
  <c r="E685" i="5" s="1"/>
  <c r="B352" i="5"/>
  <c r="E352" i="5" s="1"/>
  <c r="B433" i="5"/>
  <c r="E433" i="5" s="1"/>
  <c r="B434" i="5"/>
  <c r="E434" i="5" s="1"/>
  <c r="B1223" i="5"/>
  <c r="E1223" i="5" s="1"/>
  <c r="B544" i="5"/>
  <c r="E544" i="5" s="1"/>
  <c r="B435" i="5"/>
  <c r="E435" i="5" s="1"/>
  <c r="B864" i="5"/>
  <c r="E864" i="5" s="1"/>
  <c r="B1224" i="5"/>
  <c r="E1224" i="5" s="1"/>
  <c r="B1225" i="5"/>
  <c r="E1225" i="5" s="1"/>
  <c r="B686" i="5"/>
  <c r="E686" i="5" s="1"/>
  <c r="B1226" i="5"/>
  <c r="E1226" i="5" s="1"/>
  <c r="B687" i="5"/>
  <c r="E687" i="5" s="1"/>
  <c r="B115" i="5"/>
  <c r="E115" i="5" s="1"/>
  <c r="B865" i="5"/>
  <c r="E865" i="5" s="1"/>
  <c r="B4" i="5"/>
  <c r="E4" i="5" s="1"/>
  <c r="B1227" i="5"/>
  <c r="E1227" i="5" s="1"/>
  <c r="B1228" i="5"/>
  <c r="E1228" i="5" s="1"/>
  <c r="B1229" i="5"/>
  <c r="E1229" i="5" s="1"/>
  <c r="B545" i="5"/>
  <c r="E545" i="5" s="1"/>
  <c r="B436" i="5"/>
  <c r="E436" i="5" s="1"/>
  <c r="B688" i="5"/>
  <c r="E688" i="5" s="1"/>
  <c r="B353" i="5"/>
  <c r="E353" i="5" s="1"/>
  <c r="B1013" i="5"/>
  <c r="E1013" i="5" s="1"/>
  <c r="B116" i="5"/>
  <c r="E116" i="5" s="1"/>
  <c r="B689" i="5"/>
  <c r="E689" i="5" s="1"/>
  <c r="B270" i="5"/>
  <c r="E270" i="5" s="1"/>
  <c r="B546" i="5"/>
  <c r="E546" i="5" s="1"/>
  <c r="B437" i="5"/>
  <c r="E437" i="5" s="1"/>
  <c r="B83" i="5"/>
  <c r="E83" i="5" s="1"/>
  <c r="B1230" i="5"/>
  <c r="E1230" i="5" s="1"/>
  <c r="B690" i="5"/>
  <c r="E690" i="5" s="1"/>
  <c r="B866" i="5"/>
  <c r="E866" i="5" s="1"/>
  <c r="B1231" i="5"/>
  <c r="E1231" i="5" s="1"/>
  <c r="B867" i="5"/>
  <c r="E867" i="5" s="1"/>
  <c r="B1014" i="5"/>
  <c r="E1014" i="5" s="1"/>
  <c r="B1015" i="5"/>
  <c r="E1015" i="5" s="1"/>
  <c r="B1232" i="5"/>
  <c r="E1232" i="5" s="1"/>
  <c r="B354" i="5"/>
  <c r="E354" i="5" s="1"/>
  <c r="B117" i="5"/>
  <c r="E117" i="5" s="1"/>
  <c r="B152" i="5"/>
  <c r="E152" i="5" s="1"/>
  <c r="B691" i="5"/>
  <c r="E691" i="5" s="1"/>
  <c r="B1233" i="5"/>
  <c r="E1233" i="5" s="1"/>
  <c r="B692" i="5"/>
  <c r="E692" i="5" s="1"/>
  <c r="B547" i="5"/>
  <c r="E547" i="5" s="1"/>
  <c r="B693" i="5"/>
  <c r="E693" i="5" s="1"/>
  <c r="B1016" i="5"/>
  <c r="E1016" i="5" s="1"/>
  <c r="B355" i="5"/>
  <c r="E355" i="5" s="1"/>
  <c r="B868" i="5"/>
  <c r="E868" i="5" s="1"/>
  <c r="B84" i="5"/>
  <c r="E84" i="5" s="1"/>
  <c r="B1017" i="5"/>
  <c r="E1017" i="5" s="1"/>
  <c r="B694" i="5"/>
  <c r="E694" i="5" s="1"/>
  <c r="B153" i="5"/>
  <c r="E153" i="5" s="1"/>
  <c r="B154" i="5"/>
  <c r="E154" i="5" s="1"/>
  <c r="B869" i="5"/>
  <c r="E869" i="5" s="1"/>
  <c r="B438" i="5"/>
  <c r="E438" i="5" s="1"/>
  <c r="B155" i="5"/>
  <c r="E155" i="5" s="1"/>
  <c r="B271" i="5"/>
  <c r="E271" i="5" s="1"/>
  <c r="B1018" i="5"/>
  <c r="E1018" i="5" s="1"/>
  <c r="B870" i="5"/>
  <c r="E870" i="5" s="1"/>
  <c r="B871" i="5"/>
  <c r="E871" i="5" s="1"/>
  <c r="B695" i="5"/>
  <c r="E695" i="5" s="1"/>
  <c r="B1234" i="5"/>
  <c r="E1234" i="5" s="1"/>
  <c r="B548" i="5"/>
  <c r="E548" i="5" s="1"/>
  <c r="B1019" i="5"/>
  <c r="E1019" i="5" s="1"/>
  <c r="B1020" i="5"/>
  <c r="E1020" i="5" s="1"/>
  <c r="B439" i="5"/>
  <c r="E439" i="5" s="1"/>
  <c r="B549" i="5"/>
  <c r="E549" i="5" s="1"/>
  <c r="B1021" i="5"/>
  <c r="E1021" i="5" s="1"/>
  <c r="B1022" i="5"/>
  <c r="E1022" i="5" s="1"/>
  <c r="B1023" i="5"/>
  <c r="E1023" i="5" s="1"/>
  <c r="B85" i="5"/>
  <c r="E85" i="5" s="1"/>
  <c r="B1235" i="5"/>
  <c r="E1235" i="5" s="1"/>
  <c r="B696" i="5"/>
  <c r="E696" i="5" s="1"/>
  <c r="B697" i="5"/>
  <c r="E697" i="5" s="1"/>
  <c r="B698" i="5"/>
  <c r="E698" i="5" s="1"/>
  <c r="B699" i="5"/>
  <c r="E699" i="5" s="1"/>
  <c r="B440" i="5"/>
  <c r="E440" i="5" s="1"/>
  <c r="B37" i="5"/>
  <c r="E37" i="5" s="1"/>
  <c r="B1236" i="5"/>
  <c r="E1236" i="5" s="1"/>
  <c r="B441" i="5"/>
  <c r="E441" i="5" s="1"/>
  <c r="B872" i="5"/>
  <c r="E872" i="5" s="1"/>
  <c r="B209" i="5"/>
  <c r="E209" i="5" s="1"/>
  <c r="B272" i="5"/>
  <c r="E272" i="5" s="1"/>
  <c r="B700" i="5"/>
  <c r="E700" i="5" s="1"/>
  <c r="B38" i="5"/>
  <c r="E38" i="5" s="1"/>
  <c r="B1024" i="5"/>
  <c r="E1024" i="5" s="1"/>
  <c r="B29" i="5"/>
  <c r="E29" i="5" s="1"/>
  <c r="B1237" i="5"/>
  <c r="E1237" i="5" s="1"/>
  <c r="B1025" i="5"/>
  <c r="E1025" i="5" s="1"/>
  <c r="B550" i="5"/>
  <c r="E550" i="5" s="1"/>
  <c r="B873" i="5"/>
  <c r="E873" i="5" s="1"/>
  <c r="B210" i="5"/>
  <c r="E210" i="5" s="1"/>
  <c r="B551" i="5"/>
  <c r="E551" i="5" s="1"/>
  <c r="B211" i="5"/>
  <c r="E211" i="5" s="1"/>
  <c r="B156" i="5"/>
  <c r="E156" i="5" s="1"/>
  <c r="B874" i="5"/>
  <c r="E874" i="5" s="1"/>
  <c r="B1238" i="5"/>
  <c r="E1238" i="5" s="1"/>
  <c r="B875" i="5"/>
  <c r="E875" i="5" s="1"/>
  <c r="B1026" i="5"/>
  <c r="E1026" i="5" s="1"/>
  <c r="B157" i="5"/>
  <c r="E157" i="5" s="1"/>
  <c r="B1027" i="5"/>
  <c r="E1027" i="5" s="1"/>
  <c r="B212" i="5"/>
  <c r="E212" i="5" s="1"/>
  <c r="B356" i="5"/>
  <c r="E356" i="5" s="1"/>
  <c r="B86" i="5"/>
  <c r="E86" i="5" s="1"/>
  <c r="B1028" i="5"/>
  <c r="E1028" i="5" s="1"/>
  <c r="B1029" i="5"/>
  <c r="E1029" i="5" s="1"/>
  <c r="B1239" i="5"/>
  <c r="E1239" i="5" s="1"/>
  <c r="B1030" i="5"/>
  <c r="E1030" i="5" s="1"/>
  <c r="B1031" i="5"/>
  <c r="E1031" i="5" s="1"/>
  <c r="B213" i="5"/>
  <c r="E213" i="5" s="1"/>
  <c r="B273" i="5"/>
  <c r="E273" i="5" s="1"/>
  <c r="B158" i="5"/>
  <c r="E158" i="5" s="1"/>
  <c r="B701" i="5"/>
  <c r="E701" i="5" s="1"/>
  <c r="B1240" i="5"/>
  <c r="E1240" i="5" s="1"/>
  <c r="B214" i="5"/>
  <c r="E214" i="5" s="1"/>
  <c r="B552" i="5"/>
  <c r="E552" i="5" s="1"/>
  <c r="B159" i="5"/>
  <c r="E159" i="5" s="1"/>
  <c r="B1032" i="5"/>
  <c r="E1032" i="5" s="1"/>
  <c r="B1241" i="5"/>
  <c r="E1241" i="5" s="1"/>
  <c r="B274" i="5"/>
  <c r="E274" i="5" s="1"/>
  <c r="B1242" i="5"/>
  <c r="E1242" i="5" s="1"/>
  <c r="B442" i="5"/>
  <c r="E442" i="5" s="1"/>
  <c r="B357" i="5"/>
  <c r="E357" i="5" s="1"/>
  <c r="B1243" i="5"/>
  <c r="E1243" i="5" s="1"/>
  <c r="B1033" i="5"/>
  <c r="E1033" i="5" s="1"/>
  <c r="B358" i="5"/>
  <c r="E358" i="5" s="1"/>
  <c r="B1034" i="5"/>
  <c r="E1034" i="5" s="1"/>
  <c r="B1035" i="5"/>
  <c r="E1035" i="5" s="1"/>
  <c r="B553" i="5"/>
  <c r="E553" i="5" s="1"/>
  <c r="B1244" i="5"/>
  <c r="E1244" i="5" s="1"/>
  <c r="B275" i="5"/>
  <c r="E275" i="5" s="1"/>
  <c r="B5" i="5"/>
  <c r="E5" i="5" s="1"/>
  <c r="B1036" i="5"/>
  <c r="E1036" i="5" s="1"/>
  <c r="B1037" i="5"/>
  <c r="E1037" i="5" s="1"/>
  <c r="B702" i="5"/>
  <c r="E702" i="5" s="1"/>
  <c r="B703" i="5"/>
  <c r="E703" i="5" s="1"/>
  <c r="B1245" i="5"/>
  <c r="E1245" i="5" s="1"/>
  <c r="B704" i="5"/>
  <c r="E704" i="5" s="1"/>
  <c r="B1246" i="5"/>
  <c r="E1246" i="5" s="1"/>
  <c r="B443" i="5"/>
  <c r="E443" i="5" s="1"/>
  <c r="B876" i="5"/>
  <c r="E876" i="5" s="1"/>
  <c r="B705" i="5"/>
  <c r="E705" i="5" s="1"/>
  <c r="B1038" i="5"/>
  <c r="E1038" i="5" s="1"/>
  <c r="B276" i="5"/>
  <c r="E276" i="5" s="1"/>
  <c r="B277" i="5"/>
  <c r="E277" i="5" s="1"/>
  <c r="B554" i="5"/>
  <c r="E554" i="5" s="1"/>
  <c r="B1247" i="5"/>
  <c r="E1247" i="5" s="1"/>
  <c r="B1248" i="5"/>
  <c r="E1248" i="5" s="1"/>
  <c r="B359" i="5"/>
  <c r="E359" i="5" s="1"/>
  <c r="B39" i="5"/>
  <c r="E39" i="5" s="1"/>
  <c r="B877" i="5"/>
  <c r="E877" i="5" s="1"/>
  <c r="B215" i="5"/>
  <c r="E215" i="5" s="1"/>
  <c r="B1249" i="5"/>
  <c r="E1249" i="5" s="1"/>
  <c r="B1250" i="5"/>
  <c r="E1250" i="5" s="1"/>
  <c r="B706" i="5"/>
  <c r="E706" i="5" s="1"/>
  <c r="B160" i="5"/>
  <c r="E160" i="5" s="1"/>
  <c r="B1251" i="5"/>
  <c r="E1251" i="5" s="1"/>
  <c r="B62" i="5"/>
  <c r="E62" i="5" s="1"/>
  <c r="B707" i="5"/>
  <c r="E707" i="5" s="1"/>
  <c r="B278" i="5"/>
  <c r="E278" i="5" s="1"/>
  <c r="B1252" i="5"/>
  <c r="E1252" i="5" s="1"/>
  <c r="B878" i="5"/>
  <c r="E878" i="5" s="1"/>
  <c r="B1253" i="5"/>
  <c r="E1253" i="5" s="1"/>
  <c r="B30" i="5"/>
  <c r="E30" i="5" s="1"/>
  <c r="B216" i="5"/>
  <c r="E216" i="5" s="1"/>
  <c r="B555" i="5"/>
  <c r="E555" i="5" s="1"/>
  <c r="B217" i="5"/>
  <c r="E217" i="5" s="1"/>
  <c r="B1254" i="5"/>
  <c r="E1254" i="5" s="1"/>
  <c r="B1255" i="5"/>
  <c r="E1255" i="5" s="1"/>
  <c r="B1256" i="5"/>
  <c r="E1256" i="5" s="1"/>
  <c r="B161" i="5"/>
  <c r="E161" i="5" s="1"/>
  <c r="B360" i="5"/>
  <c r="E360" i="5" s="1"/>
  <c r="B1257" i="5"/>
  <c r="E1257" i="5" s="1"/>
  <c r="B1258" i="5"/>
  <c r="E1258" i="5" s="1"/>
  <c r="B118" i="5"/>
  <c r="E118" i="5" s="1"/>
  <c r="B708" i="5"/>
  <c r="E708" i="5" s="1"/>
  <c r="B31" i="5"/>
  <c r="E31" i="5" s="1"/>
  <c r="B1039" i="5"/>
  <c r="E1039" i="5" s="1"/>
  <c r="B1259" i="5"/>
  <c r="E1259" i="5" s="1"/>
  <c r="B1260" i="5"/>
  <c r="E1260" i="5" s="1"/>
  <c r="B709" i="5"/>
  <c r="E709" i="5" s="1"/>
  <c r="B1040" i="5"/>
  <c r="E1040" i="5" s="1"/>
  <c r="B1261" i="5"/>
  <c r="E1261" i="5" s="1"/>
  <c r="B1262" i="5"/>
  <c r="E1262" i="5" s="1"/>
  <c r="B6" i="5"/>
  <c r="E6" i="5" s="1"/>
  <c r="B361" i="5"/>
  <c r="E361" i="5" s="1"/>
  <c r="B1041" i="5"/>
  <c r="E1041" i="5" s="1"/>
  <c r="B556" i="5"/>
  <c r="E556" i="5" s="1"/>
  <c r="B1263" i="5"/>
  <c r="E1263" i="5" s="1"/>
  <c r="B557" i="5"/>
  <c r="E557" i="5" s="1"/>
  <c r="B1042" i="5"/>
  <c r="E1042" i="5" s="1"/>
  <c r="B362" i="5"/>
  <c r="E362" i="5" s="1"/>
  <c r="B1264" i="5"/>
  <c r="E1264" i="5" s="1"/>
  <c r="B119" i="5"/>
  <c r="E119" i="5" s="1"/>
  <c r="B444" i="5"/>
  <c r="E444" i="5" s="1"/>
  <c r="B279" i="5"/>
  <c r="E279" i="5" s="1"/>
  <c r="B710" i="5"/>
  <c r="E710" i="5" s="1"/>
  <c r="B1265" i="5"/>
  <c r="E1265" i="5" s="1"/>
  <c r="B558" i="5"/>
  <c r="E558" i="5" s="1"/>
  <c r="B879" i="5"/>
  <c r="E879" i="5" s="1"/>
  <c r="B8" i="5"/>
  <c r="E8" i="5" s="1"/>
  <c r="B1266" i="5"/>
  <c r="E1266" i="5" s="1"/>
  <c r="B87" i="5"/>
  <c r="E87" i="5" s="1"/>
  <c r="B363" i="5"/>
  <c r="E363" i="5" s="1"/>
  <c r="B711" i="5"/>
  <c r="E711" i="5" s="1"/>
  <c r="B162" i="5"/>
  <c r="E162" i="5" s="1"/>
  <c r="B1267" i="5"/>
  <c r="E1267" i="5" s="1"/>
  <c r="B712" i="5"/>
  <c r="E712" i="5" s="1"/>
  <c r="B1043" i="5"/>
  <c r="E1043" i="5" s="1"/>
  <c r="B559" i="5"/>
  <c r="E559" i="5" s="1"/>
  <c r="B88" i="5"/>
  <c r="E88" i="5" s="1"/>
  <c r="B1268" i="5"/>
  <c r="E1268" i="5" s="1"/>
  <c r="B1044" i="5"/>
  <c r="E1044" i="5" s="1"/>
  <c r="B120" i="5"/>
  <c r="E120" i="5" s="1"/>
  <c r="B1269" i="5"/>
  <c r="E1269" i="5" s="1"/>
  <c r="B1045" i="5"/>
  <c r="E1045" i="5" s="1"/>
  <c r="B445" i="5"/>
  <c r="E445" i="5" s="1"/>
  <c r="B713" i="5"/>
  <c r="E713" i="5" s="1"/>
  <c r="B163" i="5"/>
  <c r="E163" i="5" s="1"/>
  <c r="B1046" i="5"/>
  <c r="E1046" i="5" s="1"/>
  <c r="B714" i="5"/>
  <c r="E714" i="5" s="1"/>
  <c r="B1047" i="5"/>
  <c r="E1047" i="5" s="1"/>
  <c r="B715" i="5"/>
  <c r="E715" i="5" s="1"/>
  <c r="B280" i="5"/>
  <c r="E280" i="5" s="1"/>
  <c r="B716" i="5"/>
  <c r="E716" i="5" s="1"/>
  <c r="B560" i="5"/>
  <c r="E560" i="5" s="1"/>
  <c r="B446" i="5"/>
  <c r="E446" i="5" s="1"/>
  <c r="B281" i="5"/>
  <c r="E281" i="5" s="1"/>
  <c r="B717" i="5"/>
  <c r="E717" i="5" s="1"/>
  <c r="B89" i="5"/>
  <c r="E89" i="5" s="1"/>
  <c r="B364" i="5"/>
  <c r="E364" i="5" s="1"/>
  <c r="B164" i="5"/>
  <c r="E164" i="5" s="1"/>
  <c r="B63" i="5"/>
  <c r="E63" i="5" s="1"/>
  <c r="B561" i="5"/>
  <c r="E561" i="5" s="1"/>
  <c r="B447" i="5"/>
  <c r="E447" i="5" s="1"/>
  <c r="B282" i="5"/>
  <c r="E282" i="5" s="1"/>
  <c r="B1270" i="5"/>
  <c r="E1270" i="5" s="1"/>
  <c r="B365" i="5"/>
  <c r="E365" i="5" s="1"/>
  <c r="B47" i="5"/>
  <c r="E47" i="5" s="1"/>
  <c r="B718" i="5"/>
  <c r="E718" i="5" s="1"/>
  <c r="B20" i="5"/>
  <c r="E20" i="5" s="1"/>
  <c r="B880" i="5"/>
  <c r="E880" i="5" s="1"/>
  <c r="B283" i="5"/>
  <c r="E283" i="5" s="1"/>
  <c r="B121" i="5"/>
  <c r="E121" i="5" s="1"/>
  <c r="B218" i="5"/>
  <c r="E218" i="5" s="1"/>
  <c r="B448" i="5"/>
  <c r="E448" i="5" s="1"/>
  <c r="B881" i="5"/>
  <c r="E881" i="5" s="1"/>
  <c r="B562" i="5"/>
  <c r="E562" i="5" s="1"/>
  <c r="B1048" i="5"/>
  <c r="E1048" i="5" s="1"/>
  <c r="B165" i="5"/>
  <c r="E165" i="5" s="1"/>
  <c r="B284" i="5"/>
  <c r="E284" i="5" s="1"/>
  <c r="B1271" i="5"/>
  <c r="E1271" i="5" s="1"/>
  <c r="B40" i="5"/>
  <c r="E40" i="5" s="1"/>
  <c r="B1272" i="5"/>
  <c r="E1272" i="5" s="1"/>
  <c r="B1273" i="5"/>
  <c r="E1273" i="5" s="1"/>
  <c r="B449" i="5"/>
  <c r="E449" i="5" s="1"/>
  <c r="B563" i="5"/>
  <c r="E563" i="5" s="1"/>
  <c r="B1274" i="5"/>
  <c r="E1274" i="5" s="1"/>
  <c r="B1049" i="5"/>
  <c r="E1049" i="5" s="1"/>
  <c r="B882" i="5"/>
  <c r="E882" i="5" s="1"/>
  <c r="B719" i="5"/>
  <c r="E719" i="5" s="1"/>
  <c r="B564" i="5"/>
  <c r="E564" i="5" s="1"/>
  <c r="B883" i="5"/>
  <c r="E883" i="5" s="1"/>
  <c r="B450" i="5"/>
  <c r="E450" i="5" s="1"/>
  <c r="B1050" i="5"/>
  <c r="E1050" i="5" s="1"/>
  <c r="B90" i="5"/>
  <c r="E90" i="5" s="1"/>
  <c r="B1051" i="5"/>
  <c r="E1051" i="5" s="1"/>
  <c r="B219" i="5"/>
  <c r="E219" i="5" s="1"/>
  <c r="B166" i="5"/>
  <c r="E166" i="5" s="1"/>
  <c r="B720" i="5"/>
  <c r="E720" i="5" s="1"/>
  <c r="B721" i="5"/>
  <c r="E721" i="5" s="1"/>
  <c r="B1052" i="5"/>
  <c r="E1052" i="5" s="1"/>
  <c r="B41" i="5"/>
  <c r="E41" i="5" s="1"/>
  <c r="B451" i="5"/>
  <c r="E451" i="5" s="1"/>
  <c r="B91" i="5"/>
  <c r="E91" i="5" s="1"/>
  <c r="B1275" i="5"/>
  <c r="E1275" i="5" s="1"/>
  <c r="B452" i="5"/>
  <c r="E452" i="5" s="1"/>
  <c r="B92" i="5"/>
  <c r="E92" i="5" s="1"/>
  <c r="B884" i="5"/>
  <c r="E884" i="5" s="1"/>
  <c r="B285" i="5"/>
  <c r="E285" i="5" s="1"/>
  <c r="B1053" i="5"/>
  <c r="E1053" i="5" s="1"/>
  <c r="B366" i="5"/>
  <c r="E366" i="5" s="1"/>
  <c r="B885" i="5"/>
  <c r="E885" i="5" s="1"/>
  <c r="B453" i="5"/>
  <c r="E453" i="5" s="1"/>
  <c r="B1276" i="5"/>
  <c r="E1276" i="5" s="1"/>
  <c r="B1054" i="5"/>
  <c r="E1054" i="5" s="1"/>
  <c r="B886" i="5"/>
  <c r="E886" i="5" s="1"/>
  <c r="B722" i="5"/>
  <c r="E722" i="5" s="1"/>
  <c r="B1055" i="5"/>
  <c r="E1055" i="5" s="1"/>
  <c r="B454" i="5"/>
  <c r="E454" i="5" s="1"/>
  <c r="B1277" i="5"/>
  <c r="E1277" i="5" s="1"/>
  <c r="B220" i="5"/>
  <c r="E220" i="5" s="1"/>
  <c r="B565" i="5"/>
  <c r="E565" i="5" s="1"/>
  <c r="B167" i="5"/>
  <c r="E167" i="5" s="1"/>
  <c r="B286" i="5"/>
  <c r="E286" i="5" s="1"/>
  <c r="B1278" i="5"/>
  <c r="E1278" i="5" s="1"/>
  <c r="B723" i="5"/>
  <c r="E723" i="5" s="1"/>
  <c r="B566" i="5"/>
  <c r="E566" i="5" s="1"/>
  <c r="B367" i="5"/>
  <c r="E367" i="5" s="1"/>
  <c r="B368" i="5"/>
  <c r="E368" i="5" s="1"/>
  <c r="B724" i="5"/>
  <c r="E724" i="5" s="1"/>
  <c r="B1056" i="5"/>
  <c r="E1056" i="5" s="1"/>
  <c r="B1057" i="5"/>
  <c r="E1057" i="5" s="1"/>
  <c r="B567" i="5"/>
  <c r="E567" i="5" s="1"/>
  <c r="B887" i="5"/>
  <c r="E887" i="5" s="1"/>
  <c r="B1279" i="5"/>
  <c r="E1279" i="5" s="1"/>
  <c r="B1058" i="5"/>
  <c r="E1058" i="5" s="1"/>
  <c r="B455" i="5"/>
  <c r="E455" i="5" s="1"/>
  <c r="B725" i="5"/>
  <c r="E725" i="5" s="1"/>
  <c r="B888" i="5"/>
  <c r="E888" i="5" s="1"/>
  <c r="B726" i="5"/>
  <c r="E726" i="5" s="1"/>
  <c r="B456" i="5"/>
  <c r="E456" i="5" s="1"/>
  <c r="B568" i="5"/>
  <c r="E568" i="5" s="1"/>
  <c r="B727" i="5"/>
  <c r="E727" i="5" s="1"/>
  <c r="B287" i="5"/>
  <c r="E287" i="5" s="1"/>
  <c r="B1059" i="5"/>
  <c r="E1059" i="5" s="1"/>
  <c r="B728" i="5"/>
  <c r="E728" i="5" s="1"/>
  <c r="B1280" i="5"/>
  <c r="E1280" i="5" s="1"/>
  <c r="B288" i="5"/>
  <c r="E288" i="5" s="1"/>
  <c r="B21" i="5"/>
  <c r="E21" i="5" s="1"/>
  <c r="B1281" i="5"/>
  <c r="E1281" i="5" s="1"/>
  <c r="B1060" i="5"/>
  <c r="E1060" i="5" s="1"/>
  <c r="B457" i="5"/>
  <c r="E457" i="5" s="1"/>
  <c r="B1282" i="5"/>
  <c r="E1282" i="5" s="1"/>
  <c r="B1061" i="5"/>
  <c r="E1061" i="5" s="1"/>
  <c r="B289" i="5"/>
  <c r="E289" i="5" s="1"/>
  <c r="B889" i="5"/>
  <c r="E889" i="5" s="1"/>
  <c r="B290" i="5"/>
  <c r="E290" i="5" s="1"/>
  <c r="B458" i="5"/>
  <c r="E458" i="5" s="1"/>
  <c r="B1062" i="5"/>
  <c r="E1062" i="5" s="1"/>
  <c r="B890" i="5"/>
  <c r="E890" i="5" s="1"/>
  <c r="B1283" i="5"/>
  <c r="E1283" i="5" s="1"/>
  <c r="B729" i="5"/>
  <c r="E729" i="5" s="1"/>
  <c r="B730" i="5"/>
  <c r="E730" i="5" s="1"/>
  <c r="B64" i="5"/>
  <c r="E64" i="5" s="1"/>
  <c r="B1284" i="5"/>
  <c r="E1284" i="5" s="1"/>
  <c r="B1285" i="5"/>
  <c r="E1285" i="5" s="1"/>
  <c r="B1286" i="5"/>
  <c r="E1286" i="5" s="1"/>
  <c r="B569" i="5"/>
  <c r="E569" i="5" s="1"/>
  <c r="B459" i="5"/>
  <c r="E459" i="5" s="1"/>
  <c r="B1287" i="5"/>
  <c r="E1287" i="5" s="1"/>
  <c r="B369" i="5"/>
  <c r="E369" i="5" s="1"/>
  <c r="B1288" i="5"/>
  <c r="E1288" i="5" s="1"/>
  <c r="B731" i="5"/>
  <c r="E731" i="5" s="1"/>
  <c r="B1289" i="5"/>
  <c r="E1289" i="5" s="1"/>
  <c r="B65" i="5"/>
  <c r="E65" i="5" s="1"/>
  <c r="B732" i="5"/>
  <c r="E732" i="5" s="1"/>
  <c r="B570" i="5"/>
  <c r="E570" i="5" s="1"/>
  <c r="B1063" i="5"/>
  <c r="E1063" i="5" s="1"/>
  <c r="B1290" i="5"/>
  <c r="E1290" i="5" s="1"/>
  <c r="B1291" i="5"/>
  <c r="E1291" i="5" s="1"/>
  <c r="B733" i="5"/>
  <c r="E733" i="5" s="1"/>
  <c r="B1292" i="5"/>
  <c r="E1292" i="5" s="1"/>
  <c r="B734" i="5"/>
  <c r="E734" i="5" s="1"/>
  <c r="B370" i="5"/>
  <c r="E370" i="5" s="1"/>
  <c r="B371" i="5"/>
  <c r="E371" i="5" s="1"/>
  <c r="B168" i="5"/>
  <c r="E168" i="5" s="1"/>
  <c r="B1293" i="5"/>
  <c r="E1293" i="5" s="1"/>
  <c r="B291" i="5"/>
  <c r="E291" i="5" s="1"/>
  <c r="B66" i="5"/>
  <c r="E66" i="5" s="1"/>
  <c r="B571" i="5"/>
  <c r="E571" i="5" s="1"/>
  <c r="B1064" i="5"/>
  <c r="E1064" i="5" s="1"/>
  <c r="B372" i="5"/>
  <c r="E372" i="5" s="1"/>
  <c r="B1294" i="5"/>
  <c r="E1294" i="5" s="1"/>
  <c r="B460" i="5"/>
  <c r="E460" i="5" s="1"/>
  <c r="B373" i="5"/>
  <c r="E373" i="5" s="1"/>
  <c r="B1295" i="5"/>
  <c r="E1295" i="5" s="1"/>
  <c r="B1296" i="5"/>
  <c r="E1296" i="5" s="1"/>
  <c r="B735" i="5"/>
  <c r="E735" i="5" s="1"/>
  <c r="B22" i="5"/>
  <c r="E22" i="5" s="1"/>
  <c r="B1297" i="5"/>
  <c r="E1297" i="5" s="1"/>
  <c r="B891" i="5"/>
  <c r="E891" i="5" s="1"/>
  <c r="B1065" i="5"/>
  <c r="E1065" i="5" s="1"/>
  <c r="B1066" i="5"/>
  <c r="E1066" i="5" s="1"/>
  <c r="B169" i="5"/>
  <c r="E169" i="5" s="1"/>
  <c r="B572" i="5"/>
  <c r="E572" i="5" s="1"/>
  <c r="B23" i="5"/>
  <c r="E23" i="5" s="1"/>
  <c r="B1298" i="5"/>
  <c r="E1298" i="5" s="1"/>
  <c r="B1299" i="5"/>
  <c r="E1299" i="5" s="1"/>
  <c r="B374" i="5"/>
  <c r="E374" i="5" s="1"/>
  <c r="B892" i="5"/>
  <c r="E892" i="5" s="1"/>
  <c r="B461" i="5"/>
  <c r="E461" i="5" s="1"/>
  <c r="B1067" i="5"/>
  <c r="E1067" i="5" s="1"/>
  <c r="B573" i="5"/>
  <c r="E573" i="5" s="1"/>
  <c r="B93" i="5"/>
  <c r="E93" i="5" s="1"/>
  <c r="B170" i="5"/>
  <c r="E170" i="5" s="1"/>
  <c r="B1068" i="5"/>
  <c r="E1068" i="5" s="1"/>
  <c r="B736" i="5"/>
  <c r="E736" i="5" s="1"/>
  <c r="B893" i="5"/>
  <c r="E893" i="5" s="1"/>
  <c r="B737" i="5"/>
  <c r="E737" i="5" s="1"/>
  <c r="B1300" i="5"/>
  <c r="E1300" i="5" s="1"/>
  <c r="B894" i="5"/>
  <c r="E894" i="5" s="1"/>
  <c r="B1069" i="5"/>
  <c r="E1069" i="5" s="1"/>
  <c r="B221" i="5"/>
  <c r="E221" i="5" s="1"/>
  <c r="B895" i="5"/>
  <c r="E895" i="5" s="1"/>
  <c r="B574" i="5"/>
  <c r="E574" i="5" s="1"/>
  <c r="B375" i="5"/>
  <c r="E375" i="5" s="1"/>
  <c r="B376" i="5"/>
  <c r="E376" i="5" s="1"/>
  <c r="B1070" i="5"/>
  <c r="E1070" i="5" s="1"/>
  <c r="B222" i="5"/>
  <c r="E222" i="5" s="1"/>
  <c r="B1301" i="5"/>
  <c r="E1301" i="5" s="1"/>
  <c r="B1071" i="5"/>
  <c r="E1071" i="5" s="1"/>
  <c r="B292" i="5"/>
  <c r="E292" i="5" s="1"/>
  <c r="B1302" i="5"/>
  <c r="E1302" i="5" s="1"/>
  <c r="B1303" i="5"/>
  <c r="E1303" i="5" s="1"/>
  <c r="B1304" i="5"/>
  <c r="E1304" i="5" s="1"/>
  <c r="B1072" i="5"/>
  <c r="E1072" i="5" s="1"/>
  <c r="B1073" i="5"/>
  <c r="E1073" i="5" s="1"/>
  <c r="B575" i="5"/>
  <c r="E575" i="5" s="1"/>
  <c r="B1305" i="5"/>
  <c r="E1305" i="5" s="1"/>
  <c r="B223" i="5"/>
  <c r="E223" i="5" s="1"/>
  <c r="B896" i="5"/>
  <c r="E896" i="5" s="1"/>
  <c r="B122" i="5"/>
  <c r="E122" i="5" s="1"/>
  <c r="B42" i="5"/>
  <c r="E42" i="5" s="1"/>
  <c r="B1074" i="5"/>
  <c r="E1074" i="5" s="1"/>
  <c r="B293" i="5"/>
  <c r="E293" i="5" s="1"/>
  <c r="B738" i="5"/>
  <c r="E738" i="5" s="1"/>
  <c r="B897" i="5"/>
  <c r="E897" i="5" s="1"/>
  <c r="B739" i="5"/>
  <c r="E739" i="5" s="1"/>
  <c r="B1306" i="5"/>
  <c r="E1306" i="5" s="1"/>
  <c r="B15" i="5"/>
  <c r="E15" i="5" s="1"/>
  <c r="B576" i="5"/>
  <c r="E576" i="5" s="1"/>
  <c r="B740" i="5"/>
  <c r="E740" i="5" s="1"/>
  <c r="B741" i="5"/>
  <c r="E741" i="5" s="1"/>
  <c r="B742" i="5"/>
  <c r="E742" i="5" s="1"/>
  <c r="B743" i="5"/>
  <c r="E743" i="5" s="1"/>
  <c r="B1307" i="5"/>
  <c r="E1307" i="5" s="1"/>
  <c r="B1308" i="5"/>
  <c r="E1308" i="5" s="1"/>
  <c r="B377" i="5"/>
  <c r="E377" i="5" s="1"/>
  <c r="B462" i="5"/>
  <c r="E462" i="5" s="1"/>
  <c r="B1309" i="5"/>
  <c r="E1309" i="5" s="1"/>
  <c r="B744" i="5"/>
  <c r="E744" i="5" s="1"/>
  <c r="B48" i="5"/>
  <c r="E48" i="5" s="1"/>
  <c r="B171" i="5"/>
  <c r="E171" i="5" s="1"/>
  <c r="B172" i="5"/>
  <c r="E172" i="5" s="1"/>
  <c r="B745" i="5"/>
  <c r="E745" i="5" s="1"/>
  <c r="B898" i="5"/>
  <c r="E898" i="5" s="1"/>
  <c r="B173" i="5"/>
  <c r="E173" i="5" s="1"/>
  <c r="B746" i="5"/>
  <c r="E746" i="5" s="1"/>
  <c r="B294" i="5"/>
  <c r="E294" i="5" s="1"/>
  <c r="B295" i="5"/>
  <c r="E295" i="5" s="1"/>
  <c r="B224" i="5"/>
  <c r="E224" i="5" s="1"/>
  <c r="B1075" i="5"/>
  <c r="E1075" i="5" s="1"/>
  <c r="B747" i="5"/>
  <c r="E747" i="5" s="1"/>
  <c r="B174" i="5"/>
  <c r="E174" i="5" s="1"/>
  <c r="B1076" i="5"/>
  <c r="E1076" i="5" s="1"/>
  <c r="B225" i="5"/>
  <c r="E225" i="5" s="1"/>
  <c r="B1310" i="5"/>
  <c r="E1310" i="5" s="1"/>
  <c r="B1077" i="5"/>
  <c r="E1077" i="5" s="1"/>
  <c r="B1078" i="5"/>
  <c r="E1078" i="5" s="1"/>
  <c r="B1311" i="5"/>
  <c r="E1311" i="5" s="1"/>
  <c r="B463" i="5"/>
  <c r="E463" i="5" s="1"/>
  <c r="B296" i="5"/>
  <c r="E296" i="5" s="1"/>
  <c r="B1312" i="5"/>
  <c r="E1312" i="5" s="1"/>
  <c r="B577" i="5"/>
  <c r="E577" i="5" s="1"/>
  <c r="B297" i="5"/>
  <c r="E297" i="5" s="1"/>
  <c r="B1079" i="5"/>
  <c r="E1079" i="5" s="1"/>
  <c r="B748" i="5"/>
  <c r="E748" i="5" s="1"/>
  <c r="B378" i="5"/>
  <c r="E378" i="5" s="1"/>
  <c r="B94" i="5"/>
  <c r="E94" i="5" s="1"/>
  <c r="B226" i="5"/>
  <c r="E226" i="5" s="1"/>
  <c r="B7" i="5"/>
  <c r="E7" i="5" s="1"/>
  <c r="B899" i="5"/>
  <c r="E899" i="5" s="1"/>
  <c r="B12" i="5"/>
  <c r="E12" i="5" s="1"/>
  <c r="B900" i="5"/>
  <c r="E900" i="5" s="1"/>
  <c r="B298" i="5"/>
  <c r="E298" i="5" s="1"/>
  <c r="B578" i="5"/>
  <c r="E578" i="5" s="1"/>
  <c r="B379" i="5"/>
  <c r="E379" i="5" s="1"/>
  <c r="B67" i="5"/>
  <c r="E67" i="5" s="1"/>
  <c r="B123" i="5"/>
  <c r="E123" i="5" s="1"/>
  <c r="B901" i="5"/>
  <c r="E901" i="5" s="1"/>
  <c r="B579" i="5"/>
  <c r="E579" i="5" s="1"/>
  <c r="B464" i="5"/>
  <c r="E464" i="5" s="1"/>
  <c r="B580" i="5"/>
  <c r="E580" i="5" s="1"/>
  <c r="B465" i="5"/>
  <c r="E465" i="5" s="1"/>
  <c r="B1313" i="5"/>
  <c r="E1313" i="5" s="1"/>
  <c r="B902" i="5"/>
  <c r="E902" i="5" s="1"/>
  <c r="B1080" i="5"/>
  <c r="E1080" i="5" s="1"/>
  <c r="B1314" i="5"/>
  <c r="E1314" i="5" s="1"/>
  <c r="B380" i="5"/>
  <c r="E380" i="5" s="1"/>
  <c r="B466" i="5"/>
  <c r="E466" i="5" s="1"/>
  <c r="B749" i="5"/>
  <c r="E749" i="5" s="1"/>
  <c r="B1315" i="5"/>
  <c r="E1315" i="5" s="1"/>
  <c r="B581" i="5"/>
  <c r="E581" i="5" s="1"/>
  <c r="B175" i="5"/>
  <c r="E175" i="5" s="1"/>
  <c r="B1316" i="5"/>
  <c r="E1316" i="5" s="1"/>
  <c r="B1317" i="5"/>
  <c r="E1317" i="5" s="1"/>
  <c r="B750" i="5"/>
  <c r="E750" i="5" s="1"/>
  <c r="B1081" i="5"/>
  <c r="E1081" i="5" s="1"/>
  <c r="B751" i="5"/>
  <c r="E751" i="5" s="1"/>
  <c r="B1318" i="5"/>
  <c r="E1318" i="5" s="1"/>
  <c r="B582" i="5"/>
  <c r="E582" i="5" s="1"/>
  <c r="B49" i="5"/>
  <c r="E49" i="5" s="1"/>
  <c r="B1082" i="5"/>
  <c r="E1082" i="5" s="1"/>
  <c r="B68" i="5"/>
  <c r="E68" i="5" s="1"/>
  <c r="B1083" i="5"/>
  <c r="E1083" i="5" s="1"/>
  <c r="B69" i="5"/>
  <c r="E69" i="5" s="1"/>
  <c r="B752" i="5"/>
  <c r="E752" i="5" s="1"/>
  <c r="B1084" i="5"/>
  <c r="E1084" i="5" s="1"/>
  <c r="B753" i="5"/>
  <c r="E753" i="5" s="1"/>
  <c r="B583" i="5"/>
  <c r="E583" i="5" s="1"/>
  <c r="B1319" i="5"/>
  <c r="E1319" i="5" s="1"/>
  <c r="B1320" i="5"/>
  <c r="E1320" i="5" s="1"/>
  <c r="B754" i="5"/>
  <c r="E754" i="5" s="1"/>
  <c r="B1321" i="5"/>
  <c r="E1321" i="5" s="1"/>
  <c r="B227" i="5"/>
  <c r="E227" i="5" s="1"/>
  <c r="B381" i="5"/>
  <c r="E381" i="5" s="1"/>
  <c r="B1322" i="5"/>
  <c r="E1322" i="5" s="1"/>
  <c r="B1323" i="5"/>
  <c r="E1323" i="5" s="1"/>
  <c r="B382" i="5"/>
  <c r="E382" i="5" s="1"/>
  <c r="B467" i="5"/>
  <c r="E467" i="5" s="1"/>
  <c r="B50" i="5"/>
  <c r="E50" i="5" s="1"/>
  <c r="B903" i="5"/>
  <c r="E903" i="5" s="1"/>
  <c r="B383" i="5"/>
  <c r="E383" i="5" s="1"/>
  <c r="B468" i="5"/>
  <c r="E468" i="5" s="1"/>
  <c r="B755" i="5"/>
  <c r="E755" i="5" s="1"/>
  <c r="B228" i="5"/>
  <c r="E228" i="5" s="1"/>
  <c r="B1324" i="5"/>
  <c r="E1324" i="5" s="1"/>
  <c r="B299" i="5"/>
  <c r="E299" i="5" s="1"/>
  <c r="B584" i="5"/>
  <c r="E584" i="5" s="1"/>
  <c r="B1325" i="5"/>
  <c r="E1325" i="5" s="1"/>
  <c r="B1085" i="5"/>
  <c r="E1085" i="5" s="1"/>
  <c r="B384" i="5"/>
  <c r="E384" i="5" s="1"/>
  <c r="B300" i="5"/>
  <c r="E300" i="5" s="1"/>
  <c r="B1086" i="5"/>
  <c r="E1086" i="5" s="1"/>
  <c r="B904" i="5"/>
  <c r="E904" i="5" s="1"/>
  <c r="B756" i="5"/>
  <c r="E756" i="5" s="1"/>
  <c r="B1087" i="5"/>
  <c r="E1087" i="5" s="1"/>
  <c r="B585" i="5"/>
  <c r="E585" i="5" s="1"/>
  <c r="B586" i="5"/>
  <c r="E586" i="5" s="1"/>
  <c r="B124" i="5"/>
  <c r="E124" i="5" s="1"/>
  <c r="B757" i="5"/>
  <c r="E757" i="5" s="1"/>
  <c r="B587" i="5"/>
  <c r="E587" i="5" s="1"/>
  <c r="B905" i="5"/>
  <c r="E905" i="5" s="1"/>
  <c r="B1088" i="5"/>
  <c r="E1088" i="5" s="1"/>
  <c r="B229" i="5"/>
  <c r="E229" i="5" s="1"/>
  <c r="B230" i="5"/>
  <c r="E230" i="5" s="1"/>
  <c r="B1089" i="5"/>
  <c r="E1089" i="5" s="1"/>
  <c r="B1326" i="5"/>
  <c r="E1326" i="5" s="1"/>
  <c r="B758" i="5"/>
  <c r="E758" i="5" s="1"/>
  <c r="B759" i="5"/>
  <c r="E759" i="5" s="1"/>
  <c r="B1090" i="5"/>
  <c r="E1090" i="5" s="1"/>
  <c r="B906" i="5"/>
  <c r="E906" i="5" s="1"/>
  <c r="B1091" i="5"/>
  <c r="E1091" i="5" s="1"/>
  <c r="B1092" i="5"/>
  <c r="E1092" i="5" s="1"/>
  <c r="B1327" i="5"/>
  <c r="E1327" i="5" s="1"/>
  <c r="B95" i="5"/>
  <c r="E95" i="5" s="1"/>
  <c r="B1328" i="5"/>
  <c r="E1328" i="5" s="1"/>
  <c r="B301" i="5"/>
  <c r="E301" i="5" s="1"/>
  <c r="B588" i="5"/>
  <c r="E588" i="5" s="1"/>
  <c r="B125" i="5"/>
  <c r="E125" i="5" s="1"/>
  <c r="B1329" i="5"/>
  <c r="E1329" i="5" s="1"/>
  <c r="B385" i="5"/>
  <c r="E385" i="5" s="1"/>
  <c r="B760" i="5"/>
  <c r="E760" i="5" s="1"/>
  <c r="B907" i="5"/>
  <c r="E907" i="5" s="1"/>
  <c r="B908" i="5"/>
  <c r="E908" i="5" s="1"/>
  <c r="B126" i="5"/>
  <c r="E126" i="5" s="1"/>
  <c r="B231" i="5"/>
  <c r="E231" i="5" s="1"/>
  <c r="B1330" i="5"/>
  <c r="E1330" i="5" s="1"/>
  <c r="B469" i="5"/>
  <c r="E469" i="5" s="1"/>
  <c r="B909" i="5"/>
  <c r="E909" i="5" s="1"/>
  <c r="B232" i="5"/>
  <c r="E232" i="5" s="1"/>
  <c r="B1331" i="5"/>
  <c r="E1331" i="5" s="1"/>
  <c r="B761" i="5"/>
  <c r="E761" i="5" s="1"/>
  <c r="B70" i="5"/>
  <c r="E70" i="5" s="1"/>
  <c r="B24" i="5"/>
  <c r="E24" i="5" s="1"/>
  <c r="B762" i="5"/>
  <c r="E762" i="5" s="1"/>
  <c r="B910" i="5"/>
  <c r="E910" i="5" s="1"/>
  <c r="B1332" i="5"/>
  <c r="E1332" i="5" s="1"/>
  <c r="B233" i="5"/>
  <c r="E233" i="5" s="1"/>
  <c r="B176" i="5"/>
  <c r="E176" i="5" s="1"/>
  <c r="B470" i="5"/>
  <c r="E470" i="5" s="1"/>
  <c r="B177" i="5"/>
  <c r="E177" i="5" s="1"/>
  <c r="B763" i="5"/>
  <c r="E763" i="5" s="1"/>
  <c r="B911" i="5"/>
  <c r="E911" i="5" s="1"/>
  <c r="B71" i="5"/>
  <c r="E71" i="5" s="1"/>
  <c r="B1333" i="5"/>
  <c r="E1333" i="5" s="1"/>
  <c r="B302" i="5"/>
  <c r="E302" i="5" s="1"/>
  <c r="B1334" i="5"/>
  <c r="E1334" i="5" s="1"/>
  <c r="B589" i="5"/>
  <c r="E589" i="5" s="1"/>
  <c r="B471" i="5"/>
  <c r="E471" i="5" s="1"/>
  <c r="B1093" i="5"/>
  <c r="E1093" i="5" s="1"/>
  <c r="B590" i="5"/>
  <c r="E590" i="5" s="1"/>
  <c r="B472" i="5"/>
  <c r="E472" i="5" s="1"/>
  <c r="B473" i="5"/>
  <c r="E473" i="5" s="1"/>
  <c r="B591" i="5"/>
  <c r="E591" i="5" s="1"/>
  <c r="B592" i="5"/>
  <c r="E592" i="5" s="1"/>
  <c r="B474" i="5"/>
  <c r="E474" i="5" s="1"/>
  <c r="B1094" i="5"/>
  <c r="E1094" i="5" s="1"/>
  <c r="B178" i="5"/>
  <c r="E178" i="5" s="1"/>
  <c r="B303" i="5"/>
  <c r="E303" i="5" s="1"/>
  <c r="B912" i="5"/>
  <c r="E912" i="5" s="1"/>
  <c r="B1335" i="5"/>
  <c r="E1335" i="5" s="1"/>
  <c r="B1336" i="5"/>
  <c r="E1336" i="5" s="1"/>
  <c r="B1337" i="5"/>
  <c r="E1337" i="5" s="1"/>
  <c r="B1338" i="5"/>
  <c r="E1338" i="5" s="1"/>
  <c r="B179" i="5"/>
  <c r="E179" i="5" s="1"/>
  <c r="B1339" i="5"/>
  <c r="E1339" i="5" s="1"/>
  <c r="B386" i="5"/>
  <c r="E386" i="5" s="1"/>
  <c r="B593" i="5"/>
  <c r="E593" i="5" s="1"/>
  <c r="B1340" i="5"/>
  <c r="E1340" i="5" s="1"/>
  <c r="B594" i="5"/>
  <c r="E594" i="5" s="1"/>
  <c r="B764" i="5"/>
  <c r="E764" i="5" s="1"/>
  <c r="B387" i="5"/>
  <c r="E387" i="5" s="1"/>
  <c r="B1341" i="5"/>
  <c r="E1341" i="5" s="1"/>
  <c r="B1342" i="5"/>
  <c r="E1342" i="5" s="1"/>
  <c r="B1343" i="5"/>
  <c r="E1343" i="5" s="1"/>
  <c r="B234" i="5"/>
  <c r="E234" i="5" s="1"/>
  <c r="B180" i="5"/>
  <c r="E180" i="5" s="1"/>
  <c r="B913" i="5"/>
  <c r="E913" i="5" s="1"/>
  <c r="B1095" i="5"/>
  <c r="E1095" i="5" s="1"/>
  <c r="B595" i="5"/>
  <c r="E595" i="5" s="1"/>
  <c r="B304" i="5"/>
  <c r="E304" i="5" s="1"/>
  <c r="B1096" i="5"/>
  <c r="E1096" i="5" s="1"/>
  <c r="B305" i="5"/>
  <c r="E305" i="5" s="1"/>
  <c r="B475" i="5"/>
  <c r="E475" i="5" s="1"/>
  <c r="B1344" i="5"/>
  <c r="E1344" i="5" s="1"/>
  <c r="B1345" i="5"/>
  <c r="E1345" i="5" s="1"/>
  <c r="B1097" i="5"/>
  <c r="E1097" i="5" s="1"/>
  <c r="B765" i="5"/>
  <c r="E765" i="5" s="1"/>
  <c r="B914" i="5"/>
  <c r="E914" i="5" s="1"/>
  <c r="B1346" i="5"/>
  <c r="E1346" i="5" s="1"/>
  <c r="B1098" i="5"/>
  <c r="E1098" i="5" s="1"/>
  <c r="B915" i="5"/>
  <c r="E915" i="5" s="1"/>
  <c r="B306" i="5"/>
  <c r="E306" i="5" s="1"/>
  <c r="B596" i="5"/>
  <c r="E596" i="5" s="1"/>
  <c r="B476" i="5"/>
  <c r="E476" i="5" s="1"/>
  <c r="B307" i="5"/>
  <c r="E307" i="5" s="1"/>
  <c r="B1347" i="5"/>
  <c r="E1347" i="5" s="1"/>
  <c r="B181" i="5"/>
  <c r="E181" i="5" s="1"/>
  <c r="B597" i="5"/>
  <c r="E597" i="5" s="1"/>
  <c r="B916" i="5"/>
  <c r="E916" i="5" s="1"/>
  <c r="B96" i="5"/>
  <c r="E96" i="5" s="1"/>
  <c r="B1099" i="5"/>
  <c r="E1099" i="5" s="1"/>
  <c r="B1348" i="5"/>
  <c r="E1348" i="5" s="1"/>
  <c r="B1349" i="5"/>
  <c r="E1349" i="5" s="1"/>
  <c r="B766" i="5"/>
  <c r="E766" i="5" s="1"/>
  <c r="B235" i="5"/>
  <c r="E235" i="5" s="1"/>
  <c r="B1100" i="5"/>
  <c r="E1100" i="5" s="1"/>
  <c r="B308" i="5"/>
  <c r="E308" i="5" s="1"/>
  <c r="B598" i="5"/>
  <c r="E598" i="5" s="1"/>
  <c r="B25" i="5"/>
  <c r="E25" i="5" s="1"/>
  <c r="B236" i="5"/>
  <c r="E236" i="5" s="1"/>
  <c r="B309" i="5"/>
  <c r="E309" i="5" s="1"/>
  <c r="B917" i="5"/>
  <c r="E917" i="5" s="1"/>
  <c r="B72" i="5"/>
  <c r="E72" i="5" s="1"/>
  <c r="B767" i="5"/>
  <c r="E767" i="5" s="1"/>
  <c r="B918" i="5"/>
  <c r="E918" i="5" s="1"/>
  <c r="B768" i="5"/>
  <c r="E768" i="5" s="1"/>
  <c r="B1101" i="5"/>
  <c r="E1101" i="5" s="1"/>
  <c r="B97" i="5"/>
  <c r="E97" i="5" s="1"/>
  <c r="B1350" i="5"/>
  <c r="E1350" i="5" s="1"/>
  <c r="B919" i="5"/>
  <c r="E919" i="5" s="1"/>
  <c r="B477" i="5"/>
  <c r="E477" i="5" s="1"/>
  <c r="B769" i="5"/>
  <c r="E769" i="5" s="1"/>
  <c r="B770" i="5"/>
  <c r="E770" i="5" s="1"/>
  <c r="B1102" i="5"/>
  <c r="E1102" i="5" s="1"/>
  <c r="B771" i="5"/>
  <c r="E771" i="5" s="1"/>
  <c r="B772" i="5"/>
  <c r="E772" i="5" s="1"/>
  <c r="B773" i="5"/>
  <c r="E773" i="5" s="1"/>
  <c r="B774" i="5"/>
  <c r="E774" i="5" s="1"/>
  <c r="B775" i="5"/>
  <c r="E775" i="5" s="1"/>
  <c r="B478" i="5"/>
  <c r="E478" i="5" s="1"/>
  <c r="B479" i="5"/>
  <c r="E479" i="5" s="1"/>
  <c r="B920" i="5"/>
  <c r="E920" i="5" s="1"/>
  <c r="B921" i="5"/>
  <c r="E921" i="5" s="1"/>
  <c r="B237" i="5"/>
  <c r="E237" i="5" s="1"/>
  <c r="B776" i="5"/>
  <c r="E776" i="5" s="1"/>
  <c r="B480" i="5"/>
  <c r="E480" i="5" s="1"/>
  <c r="B1103" i="5"/>
  <c r="E1103" i="5" s="1"/>
  <c r="B1351" i="5"/>
  <c r="E1351" i="5" s="1"/>
  <c r="B599" i="5"/>
  <c r="E599" i="5" s="1"/>
  <c r="B922" i="5"/>
  <c r="E922" i="5" s="1"/>
  <c r="B1352" i="5"/>
  <c r="E1352" i="5" s="1"/>
  <c r="B777" i="5"/>
  <c r="E777" i="5" s="1"/>
  <c r="B1104" i="5"/>
  <c r="E1104" i="5" s="1"/>
  <c r="B600" i="5"/>
  <c r="E600" i="5" s="1"/>
  <c r="B238" i="5"/>
  <c r="E238" i="5" s="1"/>
  <c r="B310" i="5"/>
  <c r="E310" i="5" s="1"/>
  <c r="B1353" i="5"/>
  <c r="E1353" i="5" s="1"/>
  <c r="B923" i="5"/>
  <c r="E923" i="5" s="1"/>
  <c r="B481" i="5"/>
  <c r="E481" i="5" s="1"/>
  <c r="B924" i="5"/>
  <c r="E924" i="5" s="1"/>
  <c r="B98" i="5"/>
  <c r="E98" i="5" s="1"/>
  <c r="B1354" i="5"/>
  <c r="E1354" i="5" s="1"/>
  <c r="B925" i="5"/>
  <c r="E925" i="5" s="1"/>
  <c r="B1355" i="5"/>
  <c r="E1355" i="5" s="1"/>
  <c r="B482" i="5"/>
  <c r="E482" i="5" s="1"/>
  <c r="B182" i="5"/>
  <c r="E182" i="5" s="1"/>
  <c r="B926" i="5"/>
  <c r="E926" i="5" s="1"/>
  <c r="B483" i="5"/>
  <c r="E483" i="5" s="1"/>
  <c r="B127" i="5"/>
  <c r="E127" i="5" s="1"/>
  <c r="B778" i="5"/>
  <c r="E778" i="5" s="1"/>
  <c r="B1105" i="5"/>
  <c r="E1105" i="5" s="1"/>
  <c r="B1356" i="5"/>
  <c r="E1356" i="5" s="1"/>
  <c r="B183" i="5"/>
  <c r="E183" i="5" s="1"/>
  <c r="B128" i="5"/>
  <c r="E128" i="5" s="1"/>
  <c r="B484" i="5"/>
  <c r="E484" i="5" s="1"/>
  <c r="B1357" i="5"/>
  <c r="E1357" i="5" s="1"/>
  <c r="B26" i="5"/>
  <c r="E26" i="5" s="1"/>
  <c r="B1358" i="5"/>
  <c r="E1358" i="5" s="1"/>
  <c r="B1106" i="5"/>
  <c r="E1106" i="5" s="1"/>
  <c r="B779" i="5"/>
  <c r="E779" i="5" s="1"/>
  <c r="B927" i="5"/>
  <c r="E927" i="5" s="1"/>
  <c r="B388" i="5"/>
  <c r="E388" i="5" s="1"/>
  <c r="B51" i="5"/>
  <c r="E51" i="5" s="1"/>
  <c r="B601" i="5"/>
  <c r="E601" i="5" s="1"/>
  <c r="B311" i="5"/>
  <c r="E311" i="5" s="1"/>
  <c r="B1359" i="5"/>
  <c r="E1359" i="5" s="1"/>
  <c r="B312" i="5"/>
  <c r="E312" i="5" s="1"/>
  <c r="B1107" i="5"/>
  <c r="E1107" i="5" s="1"/>
  <c r="B1360" i="5"/>
  <c r="E1360" i="5" s="1"/>
  <c r="B1108" i="5"/>
  <c r="E1108" i="5" s="1"/>
  <c r="B1109" i="5"/>
  <c r="E1109" i="5" s="1"/>
  <c r="B184" i="5"/>
  <c r="E184" i="5" s="1"/>
  <c r="B780" i="5"/>
  <c r="E780" i="5" s="1"/>
  <c r="B389" i="5"/>
  <c r="E389" i="5" s="1"/>
  <c r="B73" i="5"/>
  <c r="E73" i="5" s="1"/>
  <c r="B602" i="5"/>
  <c r="E602" i="5" s="1"/>
  <c r="B781" i="5"/>
  <c r="E781" i="5" s="1"/>
  <c r="B313" i="5"/>
  <c r="E313" i="5" s="1"/>
  <c r="B1361" i="5"/>
  <c r="E1361" i="5" s="1"/>
  <c r="B782" i="5"/>
  <c r="E782" i="5" s="1"/>
  <c r="B1362" i="5"/>
  <c r="E1362" i="5" s="1"/>
  <c r="B1363" i="5"/>
  <c r="E1363" i="5" s="1"/>
  <c r="B1110" i="5"/>
  <c r="E1110" i="5" s="1"/>
  <c r="B1111" i="5"/>
  <c r="E1111" i="5" s="1"/>
  <c r="B928" i="5"/>
  <c r="E928" i="5" s="1"/>
  <c r="B929" i="5"/>
  <c r="E929" i="5" s="1"/>
  <c r="B603" i="5"/>
  <c r="E603" i="5" s="1"/>
  <c r="B1364" i="5"/>
  <c r="E1364" i="5" s="1"/>
  <c r="B604" i="5"/>
  <c r="E604" i="5" s="1"/>
  <c r="B485" i="5"/>
  <c r="E485" i="5" s="1"/>
  <c r="B1112" i="5"/>
  <c r="E1112" i="5" s="1"/>
  <c r="B930" i="5"/>
  <c r="E930" i="5" s="1"/>
  <c r="B783" i="5"/>
  <c r="E783" i="5" s="1"/>
  <c r="B931" i="5"/>
  <c r="E931" i="5" s="1"/>
  <c r="B314" i="5"/>
  <c r="E314" i="5" s="1"/>
  <c r="B932" i="5"/>
  <c r="E932" i="5" s="1"/>
  <c r="B390" i="5"/>
  <c r="E390" i="5" s="1"/>
  <c r="B605" i="5"/>
  <c r="E605" i="5" s="1"/>
  <c r="B606" i="5"/>
  <c r="E606" i="5" s="1"/>
  <c r="B1365" i="5"/>
  <c r="E1365" i="5" s="1"/>
  <c r="B1366" i="5"/>
  <c r="E1366" i="5" s="1"/>
  <c r="B1367" i="5"/>
  <c r="E1367" i="5" s="1"/>
  <c r="B933" i="5"/>
  <c r="E933" i="5" s="1"/>
  <c r="B315" i="5"/>
  <c r="E315" i="5" s="1"/>
  <c r="B784" i="5"/>
  <c r="E784" i="5" s="1"/>
  <c r="B607" i="5"/>
  <c r="E607" i="5" s="1"/>
  <c r="B1368" i="5"/>
  <c r="E1368" i="5" s="1"/>
  <c r="B1113" i="5"/>
  <c r="E1113" i="5" s="1"/>
  <c r="B316" i="5"/>
  <c r="E316" i="5" s="1"/>
  <c r="B934" i="5"/>
  <c r="E934" i="5" s="1"/>
  <c r="B1369" i="5"/>
  <c r="E1369" i="5" s="1"/>
  <c r="B1370" i="5"/>
  <c r="E1370" i="5" s="1"/>
  <c r="B935" i="5"/>
  <c r="E935" i="5" s="1"/>
  <c r="B99" i="5"/>
  <c r="E99" i="5" s="1"/>
  <c r="B785" i="5"/>
  <c r="E785" i="5" s="1"/>
  <c r="B936" i="5"/>
  <c r="E936" i="5" s="1"/>
  <c r="B608" i="5"/>
  <c r="E608" i="5" s="1"/>
  <c r="B609" i="5"/>
  <c r="E609" i="5" s="1"/>
  <c r="B610" i="5"/>
  <c r="E610" i="5" s="1"/>
  <c r="B1114" i="5"/>
  <c r="E1114" i="5" s="1"/>
  <c r="B937" i="5"/>
  <c r="E937" i="5" s="1"/>
  <c r="B239" i="5"/>
  <c r="E239" i="5" s="1"/>
  <c r="B240" i="5"/>
  <c r="E240" i="5" s="1"/>
  <c r="B1371" i="5"/>
  <c r="E1371" i="5" s="1"/>
  <c r="B1372" i="5"/>
  <c r="E1372" i="5" s="1"/>
  <c r="B185" i="5"/>
  <c r="E185" i="5" s="1"/>
  <c r="B938" i="5"/>
  <c r="E938" i="5" s="1"/>
  <c r="B1373" i="5"/>
  <c r="E1373" i="5" s="1"/>
  <c r="B241" i="5"/>
  <c r="E241" i="5" s="1"/>
  <c r="B611" i="5"/>
  <c r="E611" i="5" s="1"/>
  <c r="B74" i="5"/>
  <c r="E74" i="5" s="1"/>
  <c r="B1374" i="5"/>
  <c r="E1374" i="5" s="1"/>
  <c r="B1375" i="5"/>
  <c r="E1375" i="5" s="1"/>
  <c r="B786" i="5"/>
  <c r="E786" i="5" s="1"/>
  <c r="B391" i="5"/>
  <c r="E391" i="5" s="1"/>
  <c r="B939" i="5"/>
  <c r="E939" i="5" s="1"/>
  <c r="B1376" i="5"/>
  <c r="E1376" i="5" s="1"/>
  <c r="B1377" i="5"/>
  <c r="E1377" i="5" s="1"/>
  <c r="B129" i="5"/>
  <c r="E129" i="5" s="1"/>
  <c r="B1378" i="5"/>
  <c r="E1378" i="5" s="1"/>
  <c r="B940" i="5"/>
  <c r="E940" i="5" s="1"/>
  <c r="B1379" i="5"/>
  <c r="E1379" i="5" s="1"/>
  <c r="B486" i="5"/>
  <c r="E486" i="5" s="1"/>
  <c r="B1380" i="5"/>
  <c r="E1380" i="5" s="1"/>
  <c r="B787" i="5"/>
  <c r="E787" i="5" s="1"/>
  <c r="B612" i="5"/>
  <c r="E612" i="5" s="1"/>
  <c r="B1381" i="5"/>
  <c r="E1381" i="5" s="1"/>
  <c r="B1382" i="5"/>
  <c r="E1382" i="5" s="1"/>
  <c r="B1383" i="5"/>
  <c r="E1383" i="5" s="1"/>
  <c r="B1115" i="5"/>
  <c r="E1115" i="5" s="1"/>
  <c r="B487" i="5"/>
  <c r="E487" i="5" s="1"/>
  <c r="B1384" i="5"/>
  <c r="E1384" i="5" s="1"/>
  <c r="B788" i="5"/>
  <c r="E788" i="5" s="1"/>
  <c r="B789" i="5"/>
  <c r="E789" i="5" s="1"/>
  <c r="B790" i="5"/>
  <c r="E790" i="5" s="1"/>
  <c r="B1385" i="5"/>
  <c r="E1385" i="5" s="1"/>
  <c r="B613" i="5"/>
  <c r="E613" i="5" s="1"/>
  <c r="B1386" i="5"/>
  <c r="E1386" i="5" s="1"/>
  <c r="B941" i="5"/>
  <c r="E941" i="5" s="1"/>
  <c r="B488" i="5"/>
  <c r="E488" i="5" s="1"/>
  <c r="B1387" i="5"/>
  <c r="E1387" i="5" s="1"/>
  <c r="B942" i="5"/>
  <c r="E942" i="5" s="1"/>
  <c r="B614" i="5"/>
  <c r="E614" i="5" s="1"/>
  <c r="B791" i="5"/>
  <c r="E791" i="5" s="1"/>
  <c r="B317" i="5"/>
  <c r="E317" i="5" s="1"/>
  <c r="B1388" i="5"/>
  <c r="E1388" i="5" s="1"/>
  <c r="B13" i="5"/>
  <c r="E13" i="5" s="1"/>
  <c r="B943" i="5"/>
  <c r="E943" i="5" s="1"/>
  <c r="B944" i="5"/>
  <c r="E944" i="5" s="1"/>
  <c r="B1116" i="5"/>
  <c r="E1116" i="5" s="1"/>
  <c r="B392" i="5"/>
  <c r="E392" i="5" s="1"/>
  <c r="B75" i="5"/>
  <c r="E75" i="5" s="1"/>
  <c r="B1117" i="5"/>
  <c r="E1117" i="5" s="1"/>
  <c r="B318" i="5"/>
  <c r="E318" i="5" s="1"/>
  <c r="B186" i="5"/>
  <c r="E186" i="5" s="1"/>
  <c r="B615" i="5"/>
  <c r="E615" i="5" s="1"/>
  <c r="B1118" i="5"/>
  <c r="E1118" i="5" s="1"/>
  <c r="B187" i="5"/>
  <c r="E187" i="5" s="1"/>
  <c r="B1389" i="5"/>
  <c r="E1389" i="5" s="1"/>
  <c r="B489" i="5"/>
  <c r="E489" i="5" s="1"/>
  <c r="B945" i="5"/>
  <c r="E945" i="5" s="1"/>
  <c r="B1119" i="5"/>
  <c r="E1119" i="5" s="1"/>
  <c r="B319" i="5"/>
  <c r="E319" i="5" s="1"/>
  <c r="B188" i="5"/>
  <c r="E188" i="5" s="1"/>
  <c r="B490" i="5"/>
  <c r="E490" i="5" s="1"/>
  <c r="B393" i="5"/>
  <c r="E393" i="5" s="1"/>
  <c r="B394" i="5"/>
  <c r="E394" i="5" s="1"/>
  <c r="B1120" i="5"/>
  <c r="E1120" i="5" s="1"/>
  <c r="B1121" i="5"/>
  <c r="E1121" i="5" s="1"/>
  <c r="B1122" i="5"/>
  <c r="E1122" i="5" s="1"/>
  <c r="B616" i="5"/>
  <c r="E616" i="5" s="1"/>
  <c r="B18" i="5"/>
  <c r="E18" i="5" s="1"/>
  <c r="B1390" i="5"/>
  <c r="E1390" i="5" s="1"/>
  <c r="B242" i="5"/>
  <c r="E242" i="5" s="1"/>
  <c r="B617" i="5"/>
  <c r="E617" i="5" s="1"/>
  <c r="B618" i="5"/>
  <c r="E618" i="5" s="1"/>
  <c r="B1391" i="5"/>
  <c r="E1391" i="5" s="1"/>
  <c r="B491" i="5"/>
  <c r="E491" i="5" s="1"/>
  <c r="B1392" i="5"/>
  <c r="E1392" i="5" s="1"/>
  <c r="B130" i="5"/>
  <c r="E130" i="5" s="1"/>
  <c r="B792" i="5"/>
  <c r="E792" i="5" s="1"/>
  <c r="B946" i="5"/>
  <c r="E946" i="5" s="1"/>
  <c r="B619" i="5"/>
  <c r="E619" i="5" s="1"/>
  <c r="B395" i="5"/>
  <c r="E395" i="5" s="1"/>
  <c r="B1123" i="5"/>
  <c r="E1123" i="5" s="1"/>
  <c r="B620" i="5"/>
  <c r="E620" i="5" s="1"/>
  <c r="B947" i="5"/>
  <c r="E947" i="5" s="1"/>
  <c r="B948" i="5"/>
  <c r="E948" i="5" s="1"/>
  <c r="B793" i="5"/>
  <c r="E793" i="5" s="1"/>
  <c r="B794" i="5"/>
  <c r="E794" i="5" s="1"/>
  <c r="B949" i="5"/>
  <c r="E949" i="5" s="1"/>
  <c r="B950" i="5"/>
  <c r="E950" i="5" s="1"/>
  <c r="B43" i="5"/>
  <c r="E43" i="5" s="1"/>
  <c r="B1124" i="5"/>
  <c r="E1124" i="5" s="1"/>
  <c r="B621" i="5"/>
  <c r="E621" i="5" s="1"/>
  <c r="B396" i="5"/>
  <c r="E396" i="5" s="1"/>
  <c r="B795" i="5"/>
  <c r="E795" i="5" s="1"/>
  <c r="B1125" i="5"/>
  <c r="E1125" i="5" s="1"/>
  <c r="B796" i="5"/>
  <c r="E796" i="5" s="1"/>
  <c r="B1393" i="5"/>
  <c r="E1393" i="5" s="1"/>
  <c r="B492" i="5"/>
  <c r="E492" i="5" s="1"/>
  <c r="B1394" i="5"/>
  <c r="E1394" i="5" s="1"/>
  <c r="B1395" i="5"/>
  <c r="E1395" i="5" s="1"/>
  <c r="B1396" i="5"/>
  <c r="E1396" i="5" s="1"/>
  <c r="B189" i="5"/>
  <c r="E189" i="5" s="1"/>
  <c r="B622" i="5"/>
  <c r="E622" i="5" s="1"/>
  <c r="B9" i="5"/>
  <c r="E9" i="5" s="1"/>
  <c r="B1126" i="5"/>
  <c r="E1126" i="5" s="1"/>
  <c r="B797" i="5"/>
  <c r="E797" i="5" s="1"/>
  <c r="B397" i="5"/>
  <c r="E397" i="5" s="1"/>
  <c r="B243" i="5"/>
  <c r="E243" i="5" s="1"/>
  <c r="B100" i="5"/>
  <c r="E100" i="5" s="1"/>
  <c r="B1127" i="5"/>
  <c r="E1127" i="5" s="1"/>
  <c r="B1397" i="5"/>
  <c r="E1397" i="5" s="1"/>
  <c r="B798" i="5"/>
  <c r="E798" i="5" s="1"/>
  <c r="B1128" i="5"/>
  <c r="E1128" i="5" s="1"/>
  <c r="B799" i="5"/>
  <c r="E799" i="5" s="1"/>
  <c r="B398" i="5"/>
  <c r="E398" i="5" s="1"/>
  <c r="B101" i="5"/>
  <c r="E101" i="5" s="1"/>
  <c r="B1129" i="5"/>
  <c r="E1129" i="5" s="1"/>
  <c r="B1130" i="5"/>
  <c r="E1130" i="5" s="1"/>
  <c r="B1131" i="5"/>
  <c r="E1131" i="5" s="1"/>
  <c r="B320" i="5"/>
  <c r="E320" i="5" s="1"/>
  <c r="B800" i="5"/>
  <c r="E800" i="5" s="1"/>
  <c r="B1398" i="5"/>
  <c r="E1398" i="5" s="1"/>
  <c r="B131" i="5"/>
  <c r="E131" i="5" s="1"/>
  <c r="B1399" i="5"/>
  <c r="E1399" i="5" s="1"/>
  <c r="B1132" i="5"/>
  <c r="E1132" i="5" s="1"/>
  <c r="B1133" i="5"/>
  <c r="E1133" i="5" s="1"/>
  <c r="B951" i="5"/>
  <c r="E951" i="5" s="1"/>
  <c r="B321" i="5"/>
  <c r="E321" i="5" s="1"/>
  <c r="B623" i="5"/>
  <c r="E623" i="5" s="1"/>
  <c r="B801" i="5"/>
  <c r="E801" i="5" s="1"/>
  <c r="B952" i="5"/>
  <c r="E952" i="5" s="1"/>
  <c r="B1400" i="5"/>
  <c r="E1400" i="5" s="1"/>
  <c r="B132" i="5"/>
  <c r="E132" i="5" s="1"/>
  <c r="B624" i="5"/>
  <c r="E624" i="5" s="1"/>
  <c r="B44" i="5"/>
  <c r="E44" i="5" s="1"/>
  <c r="B625" i="5"/>
  <c r="E625" i="5" s="1"/>
  <c r="B953" i="5"/>
  <c r="E953" i="5" s="1"/>
  <c r="B954" i="5"/>
  <c r="E954" i="5" s="1"/>
  <c r="B1401" i="5"/>
  <c r="E1401" i="5" s="1"/>
  <c r="B1402" i="5"/>
  <c r="E1402" i="5" s="1"/>
  <c r="B399" i="5"/>
  <c r="E399" i="5" s="1"/>
  <c r="B1403" i="5"/>
  <c r="E1403" i="5" s="1"/>
  <c r="B244" i="5"/>
  <c r="E244" i="5" s="1"/>
  <c r="B245" i="5"/>
  <c r="E245" i="5" s="1"/>
  <c r="B955" i="5"/>
  <c r="E955" i="5" s="1"/>
  <c r="B1404" i="5"/>
  <c r="E1404" i="5" s="1"/>
  <c r="B802" i="5"/>
  <c r="E802" i="5" s="1"/>
  <c r="B400" i="5"/>
  <c r="E400" i="5" s="1"/>
  <c r="B1134" i="5"/>
  <c r="E1134" i="5" s="1"/>
  <c r="B133" i="5"/>
  <c r="E133" i="5" s="1"/>
  <c r="B1405" i="5"/>
  <c r="E1405" i="5" s="1"/>
  <c r="B322" i="5"/>
  <c r="E322" i="5" s="1"/>
  <c r="B1135" i="5"/>
  <c r="E1135" i="5" s="1"/>
  <c r="B1406" i="5"/>
  <c r="E1406" i="5" s="1"/>
  <c r="B1407" i="5"/>
  <c r="E1407" i="5" s="1"/>
  <c r="B626" i="5"/>
  <c r="E626" i="5" s="1"/>
  <c r="B52" i="5"/>
  <c r="E52" i="5" s="1"/>
  <c r="B803" i="5"/>
  <c r="E803" i="5" s="1"/>
  <c r="B1408" i="5"/>
  <c r="E1408" i="5" s="1"/>
  <c r="B956" i="5"/>
  <c r="E956" i="5" s="1"/>
  <c r="B401" i="5"/>
  <c r="E401" i="5" s="1"/>
  <c r="B190" i="5"/>
  <c r="E190" i="5" s="1"/>
  <c r="B402" i="5"/>
  <c r="E402" i="5" s="1"/>
  <c r="B53" i="5"/>
  <c r="E53" i="5" s="1"/>
  <c r="B493" i="5"/>
  <c r="E493" i="5" s="1"/>
  <c r="B627" i="5"/>
  <c r="E627" i="5" s="1"/>
  <c r="B403" i="5"/>
  <c r="E403" i="5" s="1"/>
  <c r="B494" i="5"/>
  <c r="E494" i="5" s="1"/>
  <c r="B1409" i="5"/>
  <c r="E1409" i="5" s="1"/>
  <c r="B804" i="5"/>
  <c r="E804" i="5" s="1"/>
  <c r="B495" i="5"/>
  <c r="E495" i="5" s="1"/>
  <c r="B323" i="5"/>
  <c r="E323" i="5" s="1"/>
  <c r="B957" i="5"/>
  <c r="E957" i="5" s="1"/>
  <c r="B1410" i="5"/>
  <c r="E1410" i="5" s="1"/>
  <c r="B1136" i="5"/>
  <c r="E1136" i="5" s="1"/>
  <c r="B958" i="5"/>
  <c r="E958" i="5" s="1"/>
  <c r="B1411" i="5"/>
  <c r="E1411" i="5" s="1"/>
  <c r="B1137" i="5"/>
  <c r="E1137" i="5" s="1"/>
  <c r="B102" i="5"/>
  <c r="E102" i="5" s="1"/>
  <c r="B1412" i="5"/>
  <c r="E1412" i="5" s="1"/>
  <c r="B1413" i="5"/>
  <c r="E1413" i="5" s="1"/>
  <c r="B1414" i="5"/>
  <c r="E1414" i="5" s="1"/>
  <c r="B1138" i="5"/>
  <c r="E1138" i="5" s="1"/>
  <c r="B496" i="5"/>
  <c r="E496" i="5" s="1"/>
  <c r="B54" i="5"/>
  <c r="E54" i="5" s="1"/>
  <c r="B1415" i="5"/>
  <c r="E1415" i="5" s="1"/>
  <c r="B497" i="5"/>
  <c r="E497" i="5" s="1"/>
  <c r="B1416" i="5"/>
  <c r="E1416" i="5" s="1"/>
  <c r="B134" i="5"/>
  <c r="E134" i="5" s="1"/>
  <c r="B498" i="5"/>
  <c r="E498" i="5" s="1"/>
  <c r="B499" i="5"/>
  <c r="E499" i="5" s="1"/>
  <c r="B1139" i="5"/>
  <c r="E1139" i="5" s="1"/>
  <c r="B500" i="5"/>
  <c r="E500" i="5" s="1"/>
  <c r="B805" i="5"/>
  <c r="E805" i="5" s="1"/>
  <c r="B628" i="5"/>
  <c r="E628" i="5" s="1"/>
  <c r="B1140" i="5"/>
  <c r="E1140" i="5" s="1"/>
  <c r="B806" i="5"/>
  <c r="E806" i="5" s="1"/>
  <c r="B629" i="5"/>
  <c r="E629" i="5" s="1"/>
  <c r="B1417" i="5"/>
  <c r="E1417" i="5" s="1"/>
  <c r="B246" i="5"/>
  <c r="E246" i="5" s="1"/>
  <c r="B1418" i="5"/>
  <c r="E1418" i="5" s="1"/>
  <c r="B1141" i="5"/>
  <c r="E1141" i="5" s="1"/>
  <c r="B1419" i="5"/>
  <c r="E1419" i="5" s="1"/>
  <c r="B1420" i="5"/>
  <c r="E1420" i="5" s="1"/>
  <c r="B247" i="5"/>
  <c r="E247" i="5" s="1"/>
  <c r="B404" i="5"/>
  <c r="E404" i="5" s="1"/>
  <c r="B405" i="5"/>
  <c r="E405" i="5" s="1"/>
  <c r="B406" i="5"/>
  <c r="E406" i="5" s="1"/>
  <c r="B959" i="5"/>
  <c r="E959" i="5" s="1"/>
  <c r="B630" i="5"/>
  <c r="E630" i="5" s="1"/>
  <c r="B10" i="5"/>
  <c r="E10" i="5" s="1"/>
  <c r="B807" i="5"/>
  <c r="E807" i="5" s="1"/>
  <c r="B631" i="5"/>
  <c r="E631" i="5" s="1"/>
  <c r="B632" i="5"/>
  <c r="E632" i="5" s="1"/>
  <c r="B1142" i="5"/>
  <c r="E1142" i="5" s="1"/>
  <c r="B633" i="5"/>
  <c r="E633" i="5" s="1"/>
  <c r="B1143" i="5"/>
  <c r="E1143" i="5" s="1"/>
  <c r="B808" i="5"/>
  <c r="E808" i="5" s="1"/>
  <c r="B1421" i="5"/>
  <c r="E1421" i="5" s="1"/>
  <c r="B27" i="5"/>
  <c r="E27" i="5" s="1"/>
  <c r="B248" i="5"/>
  <c r="E248" i="5" s="1"/>
  <c r="B1144" i="5"/>
  <c r="E1144" i="5" s="1"/>
  <c r="B809" i="5"/>
  <c r="E809" i="5" s="1"/>
  <c r="B1145" i="5"/>
  <c r="E1145" i="5" s="1"/>
  <c r="B810" i="5"/>
  <c r="E810" i="5" s="1"/>
  <c r="B1422" i="5"/>
  <c r="E1422" i="5" s="1"/>
  <c r="B501" i="5"/>
  <c r="E501" i="5" s="1"/>
  <c r="B135" i="5"/>
  <c r="E135" i="5" s="1"/>
  <c r="B811" i="5"/>
  <c r="E811" i="5" s="1"/>
  <c r="B1423" i="5"/>
  <c r="E1423" i="5" s="1"/>
  <c r="B1424" i="5"/>
  <c r="E1424" i="5" s="1"/>
  <c r="B249" i="5"/>
  <c r="E249" i="5" s="1"/>
  <c r="B103" i="5"/>
  <c r="E103" i="5" s="1"/>
  <c r="B1425" i="5"/>
  <c r="E1425" i="5" s="1"/>
  <c r="B812" i="5"/>
  <c r="E812" i="5" s="1"/>
  <c r="B502" i="5"/>
  <c r="E502" i="5" s="1"/>
  <c r="B191" i="5"/>
  <c r="E191" i="5" s="1"/>
  <c r="B503" i="5"/>
  <c r="E503" i="5" s="1"/>
  <c r="B407" i="5"/>
  <c r="E407" i="5" s="1"/>
  <c r="B28" i="5"/>
  <c r="E28" i="5" s="1"/>
  <c r="B1426" i="5"/>
  <c r="E1426" i="5" s="1"/>
  <c r="B1427" i="5"/>
  <c r="E1427" i="5" s="1"/>
  <c r="B634" i="5"/>
  <c r="E634" i="5" s="1"/>
  <c r="B1428" i="5"/>
  <c r="E1428" i="5" s="1"/>
  <c r="B635" i="5"/>
  <c r="E635" i="5" s="1"/>
  <c r="B324" i="5"/>
  <c r="E324" i="5" s="1"/>
  <c r="B960" i="5"/>
  <c r="E960" i="5" s="1"/>
  <c r="B136" i="5"/>
  <c r="E136" i="5" s="1"/>
  <c r="B32" i="5"/>
  <c r="E32" i="5" s="1"/>
  <c r="B813" i="5"/>
  <c r="E813" i="5" s="1"/>
  <c r="B814" i="5"/>
  <c r="E814" i="5" s="1"/>
  <c r="B1429" i="5"/>
  <c r="E1429" i="5" s="1"/>
  <c r="B76" i="5"/>
  <c r="E76" i="5" s="1"/>
  <c r="B636" i="5"/>
  <c r="E636" i="5" s="1"/>
  <c r="B637" i="5"/>
  <c r="E637" i="5" s="1"/>
  <c r="B104" i="5"/>
  <c r="E104" i="5" s="1"/>
  <c r="B638" i="5"/>
  <c r="E638" i="5" s="1"/>
  <c r="B961" i="5"/>
  <c r="E961" i="5" s="1"/>
  <c r="B33" i="5"/>
  <c r="E33" i="5" s="1"/>
  <c r="B815" i="5"/>
  <c r="E815" i="5" s="1"/>
  <c r="B1430" i="5"/>
  <c r="E1430" i="5" s="1"/>
  <c r="B105" i="5"/>
  <c r="E105" i="5" s="1"/>
  <c r="B1146" i="5"/>
  <c r="E1146" i="5" s="1"/>
  <c r="B504" i="5"/>
  <c r="E504" i="5" s="1"/>
  <c r="B55" i="5"/>
  <c r="E55" i="5" s="1"/>
  <c r="B962" i="5"/>
  <c r="E962" i="5" s="1"/>
  <c r="B639" i="5"/>
  <c r="E639" i="5" s="1"/>
  <c r="B192" i="5"/>
  <c r="E192" i="5" s="1"/>
  <c r="B505" i="5"/>
  <c r="E505" i="5" s="1"/>
  <c r="B640" i="5"/>
  <c r="E640" i="5" s="1"/>
  <c r="B1431" i="5"/>
  <c r="E1431" i="5" s="1"/>
  <c r="B137" i="5"/>
  <c r="E137" i="5" s="1"/>
  <c r="B506" i="5"/>
  <c r="E506" i="5" s="1"/>
  <c r="B963" i="5"/>
  <c r="E963" i="5" s="1"/>
  <c r="B641" i="5"/>
  <c r="E641" i="5" s="1"/>
  <c r="B964" i="5"/>
  <c r="E964" i="5" s="1"/>
  <c r="B1432" i="5"/>
  <c r="E1432" i="5" s="1"/>
  <c r="B965" i="5"/>
  <c r="E965" i="5" s="1"/>
  <c r="B1433" i="5"/>
  <c r="E1433" i="5" s="1"/>
  <c r="B507" i="5"/>
  <c r="E507" i="5" s="1"/>
  <c r="B816" i="5"/>
  <c r="E816" i="5" s="1"/>
  <c r="B508" i="5"/>
  <c r="E508" i="5" s="1"/>
  <c r="B1434" i="5"/>
  <c r="E1434" i="5" s="1"/>
  <c r="B966" i="5"/>
  <c r="E966" i="5" s="1"/>
  <c r="B1435" i="5"/>
  <c r="E1435" i="5" s="1"/>
  <c r="B1147" i="5"/>
  <c r="E1147" i="5" s="1"/>
  <c r="B408" i="5"/>
  <c r="E408" i="5" s="1"/>
  <c r="B1148" i="5"/>
  <c r="E1148" i="5" s="1"/>
  <c r="B642" i="5"/>
  <c r="E642" i="5" s="1"/>
  <c r="B967" i="5"/>
  <c r="E967" i="5" s="1"/>
  <c r="B14" i="5"/>
  <c r="E14" i="5" s="1"/>
  <c r="B968" i="5"/>
  <c r="E968" i="5" s="1"/>
  <c r="B643" i="5"/>
  <c r="E643" i="5" s="1"/>
  <c r="B1436" i="5"/>
  <c r="E1436" i="5" s="1"/>
  <c r="B1437" i="5"/>
  <c r="E1437" i="5" s="1"/>
  <c r="B509" i="5"/>
  <c r="E509" i="5" s="1"/>
  <c r="B1438" i="5"/>
  <c r="E1438" i="5" s="1"/>
  <c r="B1439" i="5"/>
  <c r="E1439" i="5" s="1"/>
  <c r="B1440" i="5"/>
  <c r="E1440" i="5" s="1"/>
  <c r="B644" i="5"/>
  <c r="E644" i="5" s="1"/>
  <c r="B969" i="5"/>
  <c r="E969" i="5" s="1"/>
  <c r="B645" i="5"/>
  <c r="E645" i="5" s="1"/>
  <c r="B1441" i="5"/>
  <c r="E1441" i="5" s="1"/>
  <c r="B193" i="5"/>
  <c r="E193" i="5" s="1"/>
  <c r="B646" i="5"/>
  <c r="E646" i="5" s="1"/>
  <c r="B970" i="5"/>
  <c r="E970" i="5" s="1"/>
  <c r="B971" i="5"/>
  <c r="E971" i="5" s="1"/>
  <c r="B1442" i="5"/>
  <c r="E1442" i="5" s="1"/>
  <c r="B1443" i="5"/>
  <c r="E1443" i="5" s="1"/>
  <c r="B817" i="5"/>
  <c r="E817" i="5" s="1"/>
  <c r="B1149" i="5"/>
  <c r="E1149" i="5" s="1"/>
  <c r="B510" i="5"/>
  <c r="E510" i="5" s="1"/>
  <c r="B647" i="5"/>
  <c r="E647" i="5" s="1"/>
  <c r="B972" i="5"/>
  <c r="E972" i="5" s="1"/>
  <c r="B409" i="5"/>
  <c r="E409" i="5" s="1"/>
  <c r="B410" i="5"/>
  <c r="E410" i="5" s="1"/>
  <c r="B1444" i="5"/>
  <c r="E1444" i="5" s="1"/>
  <c r="B648" i="5"/>
  <c r="E648" i="5" s="1"/>
  <c r="B325" i="5"/>
  <c r="E325" i="5" s="1"/>
  <c r="B1445" i="5"/>
  <c r="E1445" i="5" s="1"/>
  <c r="B138" i="5"/>
  <c r="E138" i="5" s="1"/>
  <c r="B250" i="5"/>
  <c r="E250" i="5" s="1"/>
  <c r="B1150" i="5"/>
  <c r="E1150" i="5" s="1"/>
  <c r="B77" i="5"/>
  <c r="E77" i="5" s="1"/>
  <c r="B411" i="5"/>
  <c r="E411" i="5" s="1"/>
  <c r="B1446" i="5"/>
  <c r="E1446" i="5" s="1"/>
  <c r="B1447" i="5"/>
  <c r="E1447" i="5" s="1"/>
  <c r="B1151" i="5"/>
  <c r="E1151" i="5" s="1"/>
  <c r="B818" i="5"/>
  <c r="E818" i="5" s="1"/>
  <c r="B1448" i="5"/>
  <c r="E1448" i="5" s="1"/>
  <c r="B819" i="5"/>
  <c r="E819" i="5" s="1"/>
  <c r="B511" i="5"/>
  <c r="E511" i="5" s="1"/>
  <c r="B649" i="5"/>
  <c r="E649" i="5" s="1"/>
  <c r="B412" i="5"/>
  <c r="E412" i="5" s="1"/>
  <c r="B1152" i="5"/>
  <c r="E1152" i="5" s="1"/>
  <c r="B1449" i="5"/>
  <c r="E1449" i="5" s="1"/>
  <c r="B650" i="5"/>
  <c r="E650" i="5" s="1"/>
  <c r="B194" i="5"/>
  <c r="E194" i="5" s="1"/>
  <c r="B1450" i="5"/>
  <c r="E1450" i="5" s="1"/>
  <c r="B1451" i="5"/>
  <c r="E1451" i="5" s="1"/>
  <c r="B106" i="5"/>
  <c r="E106" i="5" s="1"/>
  <c r="B512" i="5"/>
  <c r="E512" i="5" s="1"/>
  <c r="B1153" i="5"/>
  <c r="E1153" i="5" s="1"/>
  <c r="B820" i="5"/>
  <c r="E820" i="5" s="1"/>
  <c r="B973" i="5"/>
  <c r="E973" i="5" s="1"/>
  <c r="B821" i="5"/>
  <c r="E821" i="5" s="1"/>
  <c r="B1452" i="5"/>
  <c r="E1452" i="5" s="1"/>
  <c r="B974" i="5"/>
  <c r="E974" i="5" s="1"/>
  <c r="B822" i="5"/>
  <c r="E822" i="5" s="1"/>
  <c r="B251" i="5"/>
  <c r="E251" i="5" s="1"/>
  <c r="B1154" i="5"/>
  <c r="E1154" i="5" s="1"/>
  <c r="B1155" i="5"/>
  <c r="E1155" i="5" s="1"/>
  <c r="B975" i="5"/>
  <c r="E975" i="5" s="1"/>
  <c r="B1453" i="5"/>
  <c r="E1453" i="5" s="1"/>
  <c r="B195" i="5"/>
  <c r="E195" i="5" s="1"/>
  <c r="B252" i="5"/>
  <c r="E252" i="5" s="1"/>
  <c r="B196" i="5"/>
  <c r="E196" i="5" s="1"/>
  <c r="B253" i="5"/>
  <c r="E253" i="5" s="1"/>
  <c r="B1156" i="5"/>
  <c r="E1156" i="5" s="1"/>
  <c r="B1454" i="5"/>
  <c r="E1454" i="5" s="1"/>
  <c r="B823" i="5"/>
  <c r="E823" i="5" s="1"/>
  <c r="B1455" i="5"/>
  <c r="E1455" i="5" s="1"/>
  <c r="B824" i="5"/>
  <c r="E824" i="5" s="1"/>
  <c r="B254" i="5"/>
  <c r="E254" i="5" s="1"/>
  <c r="B413" i="5"/>
  <c r="E413" i="5" s="1"/>
  <c r="B513" i="5"/>
  <c r="E513" i="5" s="1"/>
  <c r="B825" i="5"/>
  <c r="E825" i="5" s="1"/>
  <c r="B139" i="5"/>
  <c r="E139" i="5" s="1"/>
  <c r="B826" i="5"/>
  <c r="E826" i="5" s="1"/>
  <c r="B1456" i="5"/>
  <c r="E1456" i="5" s="1"/>
  <c r="B827" i="5"/>
  <c r="E827" i="5" s="1"/>
  <c r="B414" i="5"/>
  <c r="E414" i="5" s="1"/>
  <c r="B1157" i="5"/>
  <c r="E1157" i="5" s="1"/>
  <c r="B828" i="5"/>
  <c r="E828" i="5" s="1"/>
  <c r="B1457" i="5"/>
  <c r="E1457" i="5" s="1"/>
  <c r="B1458" i="5"/>
  <c r="E1458" i="5" s="1"/>
  <c r="B1158" i="5"/>
  <c r="E1158" i="5" s="1"/>
  <c r="B1459" i="5"/>
  <c r="E1459" i="5" s="1"/>
  <c r="B976" i="5"/>
  <c r="E976" i="5" s="1"/>
  <c r="B1460" i="5"/>
  <c r="E1460" i="5" s="1"/>
  <c r="B107" i="5"/>
  <c r="E107" i="5" s="1"/>
  <c r="B255" i="5"/>
  <c r="E255" i="5" s="1"/>
  <c r="B829" i="5"/>
  <c r="E829" i="5" s="1"/>
  <c r="B1159" i="5"/>
  <c r="E1159" i="5" s="1"/>
  <c r="B326" i="5"/>
  <c r="E326" i="5" s="1"/>
  <c r="B1461" i="5"/>
  <c r="E1461" i="5" s="1"/>
  <c r="B78" i="5"/>
  <c r="E78" i="5" s="1"/>
  <c r="B1462" i="5"/>
  <c r="E1462" i="5" s="1"/>
  <c r="B108" i="5"/>
  <c r="E108" i="5" s="1"/>
  <c r="B830" i="5"/>
  <c r="E830" i="5" s="1"/>
  <c r="B415" i="5"/>
  <c r="E415" i="5" s="1"/>
  <c r="B1160" i="5"/>
  <c r="E1160" i="5" s="1"/>
  <c r="B1463" i="5"/>
  <c r="E1463" i="5" s="1"/>
  <c r="B1464" i="5"/>
  <c r="E1464" i="5" s="1"/>
  <c r="B514" i="5"/>
  <c r="E514" i="5" s="1"/>
  <c r="B1465" i="5"/>
  <c r="E1465" i="5" s="1"/>
  <c r="B651" i="5"/>
  <c r="E651" i="5" s="1"/>
  <c r="B515" i="5"/>
  <c r="E515" i="5" s="1"/>
  <c r="B1466" i="5"/>
  <c r="E1466" i="5" s="1"/>
  <c r="B1467" i="5"/>
  <c r="E1467" i="5" s="1"/>
  <c r="B831" i="5"/>
  <c r="E831" i="5" s="1"/>
  <c r="B516" i="5"/>
  <c r="E516" i="5" s="1"/>
  <c r="B977" i="5"/>
  <c r="E977" i="5" s="1"/>
  <c r="B256" i="5"/>
  <c r="E256" i="5" s="1"/>
  <c r="B517" i="5"/>
  <c r="E517" i="5" s="1"/>
  <c r="B327" i="5"/>
  <c r="E327" i="5" s="1"/>
  <c r="B1161" i="5"/>
  <c r="E1161" i="5" s="1"/>
  <c r="B1162" i="5"/>
  <c r="E1162" i="5" s="1"/>
  <c r="B518" i="5"/>
  <c r="E518" i="5" s="1"/>
  <c r="B416" i="5"/>
  <c r="E416" i="5" s="1"/>
  <c r="B1468" i="5"/>
  <c r="E1468" i="5" s="1"/>
  <c r="B1469" i="5"/>
  <c r="E1469" i="5" s="1"/>
  <c r="B1470" i="5"/>
  <c r="E1470" i="5" s="1"/>
  <c r="B417" i="5"/>
  <c r="E417" i="5" s="1"/>
  <c r="B978" i="5"/>
  <c r="E978" i="5" s="1"/>
  <c r="B197" i="5"/>
  <c r="E197" i="5" s="1"/>
  <c r="B652" i="5"/>
  <c r="E652" i="5" s="1"/>
  <c r="B653" i="5"/>
  <c r="E653" i="5" s="1"/>
  <c r="B198" i="5"/>
  <c r="E198" i="5" s="1"/>
  <c r="B832" i="5"/>
  <c r="E832" i="5" s="1"/>
  <c r="B1163" i="5"/>
  <c r="E1163" i="5" s="1"/>
  <c r="B257" i="5"/>
  <c r="E257" i="5" s="1"/>
  <c r="B833" i="5"/>
  <c r="E833" i="5" s="1"/>
  <c r="B1164" i="5"/>
  <c r="E1164" i="5" s="1"/>
  <c r="B654" i="5"/>
  <c r="E654" i="5" s="1"/>
  <c r="B834" i="5"/>
  <c r="E834" i="5" s="1"/>
  <c r="B1165" i="5"/>
  <c r="E1165" i="5" s="1"/>
  <c r="B979" i="5"/>
  <c r="E979" i="5" s="1"/>
  <c r="B1471" i="5"/>
  <c r="E1471" i="5" s="1"/>
  <c r="B1166" i="5"/>
  <c r="E1166" i="5" s="1"/>
  <c r="B519" i="5"/>
  <c r="E519" i="5" s="1"/>
  <c r="B655" i="5"/>
  <c r="E655" i="5" s="1"/>
  <c r="B199" i="5"/>
  <c r="E199" i="5" s="1"/>
  <c r="B328" i="5"/>
  <c r="E328" i="5" s="1"/>
  <c r="B1472" i="5"/>
  <c r="E1472" i="5" s="1"/>
  <c r="B1473" i="5"/>
  <c r="E1473" i="5" s="1"/>
  <c r="B56" i="5"/>
  <c r="E56" i="5" s="1"/>
  <c r="B1474" i="5"/>
  <c r="E1474" i="5" s="1"/>
  <c r="B980" i="5"/>
  <c r="E980" i="5" s="1"/>
  <c r="B140" i="5"/>
  <c r="E140" i="5" s="1"/>
  <c r="B329" i="5"/>
  <c r="E329" i="5" s="1"/>
  <c r="B520" i="5"/>
  <c r="E520" i="5" s="1"/>
  <c r="B1475" i="5"/>
  <c r="E1475" i="5" s="1"/>
  <c r="B1476" i="5"/>
  <c r="E1476" i="5" s="1"/>
  <c r="B981" i="5"/>
  <c r="E981" i="5" s="1"/>
  <c r="B200" i="5"/>
  <c r="E200" i="5" s="1"/>
  <c r="B1167" i="5"/>
  <c r="E1167" i="5" s="1"/>
  <c r="B1477" i="5"/>
  <c r="E1477" i="5" s="1"/>
  <c r="B16" i="5"/>
  <c r="E16" i="5" s="1"/>
  <c r="B57" i="5"/>
  <c r="E57" i="5" s="1"/>
  <c r="B1478" i="5"/>
  <c r="E1478" i="5" s="1"/>
  <c r="B109" i="5"/>
  <c r="E109" i="5" s="1"/>
  <c r="B330" i="5"/>
  <c r="E330" i="5" s="1"/>
  <c r="B982" i="5"/>
  <c r="E982" i="5" s="1"/>
  <c r="B983" i="5"/>
  <c r="E983" i="5" s="1"/>
  <c r="B141" i="5"/>
  <c r="E141" i="5" s="1"/>
  <c r="B835" i="5"/>
  <c r="E835" i="5" s="1"/>
  <c r="B79" i="5"/>
  <c r="E79" i="5" s="1"/>
  <c r="B836" i="5"/>
  <c r="E836" i="5" s="1"/>
  <c r="B58" i="5"/>
  <c r="E58" i="5" s="1"/>
  <c r="B418" i="5"/>
  <c r="E418" i="5" s="1"/>
  <c r="B331" i="5"/>
  <c r="E331" i="5" s="1"/>
  <c r="B1479" i="5"/>
  <c r="E1479" i="5" s="1"/>
  <c r="B419" i="5"/>
  <c r="E419" i="5" s="1"/>
  <c r="B1168" i="5"/>
  <c r="E1168" i="5" s="1"/>
  <c r="B984" i="5"/>
  <c r="E984" i="5" s="1"/>
  <c r="B258" i="5"/>
  <c r="E258" i="5" s="1"/>
  <c r="B1480" i="5"/>
  <c r="E1480" i="5" s="1"/>
  <c r="B1481" i="5"/>
  <c r="E1481" i="5" s="1"/>
  <c r="B837" i="5"/>
  <c r="E837" i="5" s="1"/>
  <c r="B985" i="5"/>
  <c r="E985" i="5" s="1"/>
  <c r="B656" i="5"/>
  <c r="E656" i="5" s="1"/>
  <c r="B332" i="5"/>
  <c r="E332" i="5" s="1"/>
  <c r="B838" i="5"/>
  <c r="E838" i="5" s="1"/>
  <c r="B1169" i="5"/>
  <c r="E1169" i="5" s="1"/>
  <c r="B986" i="5"/>
  <c r="E986" i="5" s="1"/>
  <c r="B142" i="5"/>
  <c r="E142" i="5" s="1"/>
  <c r="B1482" i="5"/>
  <c r="E1482" i="5" s="1"/>
  <c r="B1483" i="5"/>
  <c r="E1483" i="5" s="1"/>
  <c r="B657" i="5"/>
  <c r="E657" i="5" s="1"/>
  <c r="B333" i="5"/>
  <c r="E333" i="5" s="1"/>
  <c r="B1170" i="5"/>
  <c r="E1170" i="5" s="1"/>
  <c r="B658" i="5"/>
  <c r="E658" i="5" s="1"/>
  <c r="B1171" i="5"/>
  <c r="E1171" i="5" s="1"/>
  <c r="B1172" i="5"/>
  <c r="E1172" i="5" s="1"/>
  <c r="B659" i="5"/>
  <c r="E659" i="5" s="1"/>
  <c r="B259" i="5"/>
  <c r="E259" i="5" s="1"/>
  <c r="B334" i="5"/>
  <c r="E334" i="5" s="1"/>
  <c r="B1484" i="5"/>
  <c r="E1484" i="5" s="1"/>
  <c r="B660" i="5"/>
  <c r="E660" i="5" s="1"/>
  <c r="B1485" i="5"/>
  <c r="E1485" i="5" s="1"/>
  <c r="B11" i="5"/>
  <c r="E11" i="5" s="1"/>
  <c r="B1486" i="5"/>
  <c r="E1486" i="5" s="1"/>
  <c r="B1173" i="5"/>
  <c r="E1173" i="5" s="1"/>
  <c r="B1487" i="5"/>
  <c r="E1487" i="5" s="1"/>
  <c r="B521" i="5"/>
  <c r="E521" i="5" s="1"/>
  <c r="B1488" i="5"/>
  <c r="E1488" i="5" s="1"/>
  <c r="B522" i="5"/>
  <c r="E522" i="5" s="1"/>
  <c r="B661" i="5"/>
  <c r="E661" i="5" s="1"/>
  <c r="B523" i="5"/>
  <c r="E523" i="5" s="1"/>
  <c r="B524" i="5"/>
  <c r="E524" i="5" s="1"/>
  <c r="B1489" i="5"/>
  <c r="E1489" i="5" s="1"/>
  <c r="B525" i="5"/>
  <c r="E525" i="5" s="1"/>
  <c r="B1174" i="5"/>
  <c r="E1174" i="5" s="1"/>
  <c r="B839" i="5"/>
  <c r="E839" i="5" s="1"/>
  <c r="B1175" i="5"/>
  <c r="E1175" i="5" s="1"/>
  <c r="B526" i="5"/>
  <c r="E526" i="5" s="1"/>
  <c r="B1490" i="5"/>
  <c r="E1490" i="5" s="1"/>
  <c r="B1491" i="5"/>
  <c r="E1491" i="5" s="1"/>
  <c r="B840" i="5"/>
  <c r="E840" i="5" s="1"/>
  <c r="B662" i="5"/>
  <c r="E662" i="5" s="1"/>
  <c r="B260" i="5"/>
  <c r="E260" i="5" s="1"/>
  <c r="B1176" i="5"/>
  <c r="E1176" i="5" s="1"/>
  <c r="B1492" i="5"/>
  <c r="E1492" i="5" s="1"/>
  <c r="B987" i="5"/>
  <c r="E987" i="5" s="1"/>
  <c r="B663" i="5"/>
  <c r="E663" i="5" s="1"/>
  <c r="B1177" i="5"/>
  <c r="E1177" i="5" s="1"/>
  <c r="B988" i="5"/>
  <c r="E988" i="5" s="1"/>
  <c r="B261" i="5"/>
  <c r="E261" i="5" s="1"/>
  <c r="B335" i="5"/>
  <c r="E335" i="5" s="1"/>
  <c r="B1493" i="5"/>
  <c r="E1493" i="5" s="1"/>
  <c r="B989" i="5"/>
  <c r="E989" i="5" s="1"/>
  <c r="B1494" i="5"/>
  <c r="E1494" i="5" s="1"/>
  <c r="B110" i="5"/>
  <c r="E110" i="5" s="1"/>
  <c r="B990" i="5"/>
  <c r="E990" i="5" s="1"/>
  <c r="B420" i="5"/>
  <c r="E420" i="5" s="1"/>
  <c r="B143" i="5"/>
  <c r="E143" i="5" s="1"/>
  <c r="B1178" i="5"/>
  <c r="E1178" i="5" s="1"/>
  <c r="B201" i="5"/>
  <c r="E201" i="5" s="1"/>
  <c r="B1495" i="5"/>
  <c r="E1495" i="5" s="1"/>
  <c r="B1496" i="5"/>
  <c r="E1496" i="5" s="1"/>
  <c r="B59" i="5"/>
  <c r="E59" i="5" s="1"/>
  <c r="B1497" i="5"/>
  <c r="E1497" i="5" s="1"/>
  <c r="B421" i="5"/>
  <c r="E421" i="5" s="1"/>
  <c r="B664" i="5"/>
  <c r="E664" i="5" s="1"/>
  <c r="B665" i="5"/>
  <c r="E665" i="5" s="1"/>
  <c r="B1179" i="5"/>
  <c r="E1179" i="5" s="1"/>
  <c r="B1498" i="5"/>
  <c r="E1498" i="5" s="1"/>
  <c r="B666" i="5"/>
  <c r="E666" i="5" s="1"/>
  <c r="B527" i="5"/>
  <c r="E527" i="5" s="1"/>
  <c r="B1499" i="5"/>
  <c r="E1499" i="5" s="1"/>
  <c r="B841" i="5"/>
  <c r="E841" i="5" s="1"/>
  <c r="B528" i="5"/>
  <c r="E528" i="5" s="1"/>
  <c r="B1180" i="5"/>
  <c r="E1180" i="5" s="1"/>
  <c r="B144" i="5"/>
  <c r="E144" i="5" s="1"/>
  <c r="B1181" i="5"/>
  <c r="E1181" i="5" s="1"/>
  <c r="B991" i="5"/>
  <c r="E991" i="5" s="1"/>
  <c r="B529" i="5"/>
  <c r="E529" i="5" s="1"/>
  <c r="B530" i="5"/>
  <c r="E530" i="5" s="1"/>
  <c r="B992" i="5"/>
  <c r="E992" i="5" s="1"/>
  <c r="B531" i="5"/>
  <c r="E531" i="5" s="1"/>
  <c r="B993" i="5"/>
  <c r="E993" i="5" s="1"/>
  <c r="B1182" i="5"/>
  <c r="E1182" i="5" s="1"/>
  <c r="B336" i="5"/>
  <c r="E336" i="5" s="1"/>
  <c r="B1500" i="5"/>
  <c r="E1500" i="5" s="1"/>
  <c r="B337" i="5"/>
  <c r="E337" i="5" s="1"/>
  <c r="B338" i="5"/>
  <c r="E338" i="5" s="1"/>
  <c r="B842" i="5"/>
  <c r="E842" i="5" s="1"/>
  <c r="B667" i="5"/>
  <c r="E667" i="5" s="1"/>
  <c r="B1183" i="5"/>
  <c r="E1183" i="5" s="1"/>
  <c r="B843" i="5"/>
  <c r="E843" i="5" s="1"/>
  <c r="B202" i="5"/>
  <c r="E202" i="5" s="1"/>
  <c r="B668" i="5"/>
  <c r="E668" i="5" s="1"/>
  <c r="B844" i="5"/>
  <c r="E844" i="5" s="1"/>
  <c r="B1184" i="5"/>
  <c r="E1184" i="5" s="1"/>
  <c r="B422" i="5"/>
  <c r="E422" i="5" s="1"/>
  <c r="B845" i="5"/>
  <c r="E845" i="5" s="1"/>
  <c r="B423" i="5"/>
  <c r="E423" i="5" s="1"/>
  <c r="B1185" i="5"/>
  <c r="E1185" i="5" s="1"/>
  <c r="B532" i="5"/>
  <c r="E532" i="5" s="1"/>
  <c r="B1501" i="5"/>
  <c r="E1501" i="5" s="1"/>
  <c r="B994" i="5"/>
  <c r="E994" i="5" s="1"/>
  <c r="B19" i="5"/>
  <c r="E19" i="5" s="1"/>
  <c r="B846" i="5"/>
  <c r="E846" i="5" s="1"/>
  <c r="B1502" i="5"/>
  <c r="E1502" i="5" s="1"/>
  <c r="B669" i="5"/>
  <c r="E669" i="5" s="1"/>
  <c r="B533" i="5"/>
  <c r="E533" i="5" s="1"/>
  <c r="B995" i="5"/>
  <c r="E995" i="5" s="1"/>
  <c r="B670" i="5"/>
  <c r="E670" i="5" s="1"/>
  <c r="B1186" i="5"/>
  <c r="E1186" i="5" s="1"/>
  <c r="B1187" i="5"/>
  <c r="E1187" i="5" s="1"/>
  <c r="B1188" i="5"/>
  <c r="E1188" i="5" s="1"/>
  <c r="B424" i="5"/>
  <c r="E424" i="5" s="1"/>
  <c r="B1503" i="5"/>
  <c r="E1503" i="5" s="1"/>
  <c r="B847" i="5"/>
  <c r="E847" i="5" s="1"/>
  <c r="B671" i="5"/>
  <c r="E671" i="5" s="1"/>
  <c r="B534" i="5"/>
  <c r="E534" i="5" s="1"/>
  <c r="B1189" i="5"/>
  <c r="E1189" i="5" s="1"/>
  <c r="B1190" i="5"/>
  <c r="E1190" i="5" s="1"/>
  <c r="B1504" i="5"/>
  <c r="E1504" i="5" s="1"/>
  <c r="B339" i="5"/>
  <c r="E339" i="5" s="1"/>
  <c r="B1505" i="5"/>
  <c r="E1505" i="5" s="1"/>
  <c r="B1506" i="5"/>
  <c r="E1506" i="5" s="1"/>
  <c r="B1507" i="5"/>
  <c r="E1507" i="5" s="1"/>
  <c r="B1508" i="5"/>
  <c r="E1508" i="5" s="1"/>
  <c r="M1508" i="5"/>
  <c r="A1508" i="5"/>
  <c r="M1507" i="5"/>
  <c r="A1507" i="5"/>
  <c r="M1506" i="5"/>
  <c r="A1506" i="5"/>
  <c r="M1505" i="5"/>
  <c r="A1505" i="5"/>
  <c r="M339" i="5"/>
  <c r="A339" i="5"/>
  <c r="I339" i="5"/>
  <c r="M1504" i="5"/>
  <c r="A1504" i="5"/>
  <c r="M1190" i="5"/>
  <c r="A1190" i="5"/>
  <c r="M1189" i="5"/>
  <c r="A1189" i="5"/>
  <c r="M534" i="5"/>
  <c r="A534" i="5"/>
  <c r="I534" i="5"/>
  <c r="M671" i="5"/>
  <c r="A671" i="5"/>
  <c r="M847" i="5"/>
  <c r="A847" i="5"/>
  <c r="M1503" i="5"/>
  <c r="A1503" i="5"/>
  <c r="M424" i="5"/>
  <c r="A424" i="5"/>
  <c r="M1188" i="5"/>
  <c r="A1188" i="5"/>
  <c r="M1187" i="5"/>
  <c r="A1187" i="5"/>
  <c r="M1186" i="5"/>
  <c r="A1186" i="5"/>
  <c r="M670" i="5"/>
  <c r="A670" i="5"/>
  <c r="M995" i="5"/>
  <c r="A995" i="5"/>
  <c r="M533" i="5"/>
  <c r="A533" i="5"/>
  <c r="M669" i="5"/>
  <c r="A669" i="5"/>
  <c r="M1502" i="5"/>
  <c r="A1502" i="5"/>
  <c r="I1502" i="5"/>
  <c r="M846" i="5"/>
  <c r="A846" i="5"/>
  <c r="M19" i="5"/>
  <c r="A19" i="5"/>
  <c r="M994" i="5"/>
  <c r="A994" i="5"/>
  <c r="M1501" i="5"/>
  <c r="A1501" i="5"/>
  <c r="M532" i="5"/>
  <c r="A532" i="5"/>
  <c r="M1185" i="5"/>
  <c r="A1185" i="5"/>
  <c r="M423" i="5"/>
  <c r="A423" i="5"/>
  <c r="M845" i="5"/>
  <c r="A845" i="5"/>
  <c r="M422" i="5"/>
  <c r="A422" i="5"/>
  <c r="M1184" i="5"/>
  <c r="A1184" i="5"/>
  <c r="M844" i="5"/>
  <c r="A844" i="5"/>
  <c r="M668" i="5"/>
  <c r="A668" i="5"/>
  <c r="M202" i="5"/>
  <c r="A202" i="5"/>
  <c r="M843" i="5"/>
  <c r="A843" i="5"/>
  <c r="M1183" i="5"/>
  <c r="A1183" i="5"/>
  <c r="M667" i="5"/>
  <c r="A667" i="5"/>
  <c r="M842" i="5"/>
  <c r="A842" i="5"/>
  <c r="M338" i="5"/>
  <c r="A338" i="5"/>
  <c r="M337" i="5"/>
  <c r="A337" i="5"/>
  <c r="M1500" i="5"/>
  <c r="A1500" i="5"/>
  <c r="M336" i="5"/>
  <c r="A336" i="5"/>
  <c r="I336" i="5"/>
  <c r="M1182" i="5"/>
  <c r="A1182" i="5"/>
  <c r="M993" i="5"/>
  <c r="A993" i="5"/>
  <c r="M531" i="5"/>
  <c r="A531" i="5"/>
  <c r="M992" i="5"/>
  <c r="A992" i="5"/>
  <c r="M530" i="5"/>
  <c r="A530" i="5"/>
  <c r="M529" i="5"/>
  <c r="A529" i="5"/>
  <c r="M991" i="5"/>
  <c r="A991" i="5"/>
  <c r="M1181" i="5"/>
  <c r="A1181" i="5"/>
  <c r="M144" i="5"/>
  <c r="A144" i="5"/>
  <c r="M1180" i="5"/>
  <c r="A1180" i="5"/>
  <c r="M528" i="5"/>
  <c r="A528" i="5"/>
  <c r="M841" i="5"/>
  <c r="A841" i="5"/>
  <c r="I841" i="5"/>
  <c r="M1499" i="5"/>
  <c r="A1499" i="5"/>
  <c r="M527" i="5"/>
  <c r="A527" i="5"/>
  <c r="M666" i="5"/>
  <c r="A666" i="5"/>
  <c r="M1498" i="5"/>
  <c r="A1498" i="5"/>
  <c r="M1179" i="5"/>
  <c r="A1179" i="5"/>
  <c r="M665" i="5"/>
  <c r="A665" i="5"/>
  <c r="M664" i="5"/>
  <c r="A664" i="5"/>
  <c r="M421" i="5"/>
  <c r="A421" i="5"/>
  <c r="M1497" i="5"/>
  <c r="A1497" i="5"/>
  <c r="M59" i="5"/>
  <c r="A59" i="5"/>
  <c r="M1496" i="5"/>
  <c r="A1496" i="5"/>
  <c r="M1495" i="5"/>
  <c r="A1495" i="5"/>
  <c r="M201" i="5"/>
  <c r="A201" i="5"/>
  <c r="M1178" i="5"/>
  <c r="A1178" i="5"/>
  <c r="M143" i="5"/>
  <c r="A143" i="5"/>
  <c r="M420" i="5"/>
  <c r="A420" i="5"/>
  <c r="M990" i="5"/>
  <c r="A990" i="5"/>
  <c r="M110" i="5"/>
  <c r="A110" i="5"/>
  <c r="M1494" i="5"/>
  <c r="A1494" i="5"/>
  <c r="M989" i="5"/>
  <c r="A989" i="5"/>
  <c r="M1493" i="5"/>
  <c r="A1493" i="5"/>
  <c r="M335" i="5"/>
  <c r="A335" i="5"/>
  <c r="M261" i="5"/>
  <c r="A261" i="5"/>
  <c r="M988" i="5"/>
  <c r="A988" i="5"/>
  <c r="M1177" i="5"/>
  <c r="A1177" i="5"/>
  <c r="M663" i="5"/>
  <c r="A663" i="5"/>
  <c r="M987" i="5"/>
  <c r="A987" i="5"/>
  <c r="M1492" i="5"/>
  <c r="A1492" i="5"/>
  <c r="M1176" i="5"/>
  <c r="A1176" i="5"/>
  <c r="M260" i="5"/>
  <c r="A260" i="5"/>
  <c r="M662" i="5"/>
  <c r="A662" i="5"/>
  <c r="M840" i="5"/>
  <c r="A840" i="5"/>
  <c r="M1491" i="5"/>
  <c r="A1491" i="5"/>
  <c r="M1490" i="5"/>
  <c r="A1490" i="5"/>
  <c r="M526" i="5"/>
  <c r="A526" i="5"/>
  <c r="M1175" i="5"/>
  <c r="A1175" i="5"/>
  <c r="M839" i="5"/>
  <c r="A839" i="5"/>
  <c r="M1174" i="5"/>
  <c r="A1174" i="5"/>
  <c r="M525" i="5"/>
  <c r="A525" i="5"/>
  <c r="M1489" i="5"/>
  <c r="A1489" i="5"/>
  <c r="M524" i="5"/>
  <c r="A524" i="5"/>
  <c r="M523" i="5"/>
  <c r="A523" i="5"/>
  <c r="M661" i="5"/>
  <c r="A661" i="5"/>
  <c r="M522" i="5"/>
  <c r="A522" i="5"/>
  <c r="M1488" i="5"/>
  <c r="A1488" i="5"/>
  <c r="M521" i="5"/>
  <c r="A521" i="5"/>
  <c r="M1487" i="5"/>
  <c r="A1487" i="5"/>
  <c r="M1173" i="5"/>
  <c r="A1173" i="5"/>
  <c r="M1486" i="5"/>
  <c r="A1486" i="5"/>
  <c r="M11" i="5"/>
  <c r="A11" i="5"/>
  <c r="M1485" i="5"/>
  <c r="A1485" i="5"/>
  <c r="M660" i="5"/>
  <c r="A660" i="5"/>
  <c r="M1484" i="5"/>
  <c r="A1484" i="5"/>
  <c r="M334" i="5"/>
  <c r="A334" i="5"/>
  <c r="M259" i="5"/>
  <c r="A259" i="5"/>
  <c r="M659" i="5"/>
  <c r="A659" i="5"/>
  <c r="M1172" i="5"/>
  <c r="A1172" i="5"/>
  <c r="M1171" i="5"/>
  <c r="A1171" i="5"/>
  <c r="M658" i="5"/>
  <c r="A658" i="5"/>
  <c r="M1170" i="5"/>
  <c r="A1170" i="5"/>
  <c r="M333" i="5"/>
  <c r="A333" i="5"/>
  <c r="M657" i="5"/>
  <c r="A657" i="5"/>
  <c r="M1483" i="5"/>
  <c r="A1483" i="5"/>
  <c r="M1482" i="5"/>
  <c r="A1482" i="5"/>
  <c r="M142" i="5"/>
  <c r="A142" i="5"/>
  <c r="M986" i="5"/>
  <c r="A986" i="5"/>
  <c r="M1169" i="5"/>
  <c r="A1169" i="5"/>
  <c r="M838" i="5"/>
  <c r="A838" i="5"/>
  <c r="M332" i="5"/>
  <c r="A332" i="5"/>
  <c r="M656" i="5"/>
  <c r="A656" i="5"/>
  <c r="M985" i="5"/>
  <c r="A985" i="5"/>
  <c r="M837" i="5"/>
  <c r="A837" i="5"/>
  <c r="M1481" i="5"/>
  <c r="A1481" i="5"/>
  <c r="M1480" i="5"/>
  <c r="A1480" i="5"/>
  <c r="M258" i="5"/>
  <c r="A258" i="5"/>
  <c r="M984" i="5"/>
  <c r="A984" i="5"/>
  <c r="M1168" i="5"/>
  <c r="A1168" i="5"/>
  <c r="M419" i="5"/>
  <c r="A419" i="5"/>
  <c r="M1479" i="5"/>
  <c r="A1479" i="5"/>
  <c r="M331" i="5"/>
  <c r="A331" i="5"/>
  <c r="M418" i="5"/>
  <c r="A418" i="5"/>
  <c r="M58" i="5"/>
  <c r="A58" i="5"/>
  <c r="M836" i="5"/>
  <c r="A836" i="5"/>
  <c r="M79" i="5"/>
  <c r="A79" i="5"/>
  <c r="M835" i="5"/>
  <c r="A835" i="5"/>
  <c r="M141" i="5"/>
  <c r="A141" i="5"/>
  <c r="M983" i="5"/>
  <c r="A983" i="5"/>
  <c r="M982" i="5"/>
  <c r="A982" i="5"/>
  <c r="M330" i="5"/>
  <c r="A330" i="5"/>
  <c r="M109" i="5"/>
  <c r="A109" i="5"/>
  <c r="M1478" i="5"/>
  <c r="A1478" i="5"/>
  <c r="M57" i="5"/>
  <c r="A57" i="5"/>
  <c r="M16" i="5"/>
  <c r="A16" i="5"/>
  <c r="M1477" i="5"/>
  <c r="A1477" i="5"/>
  <c r="M1167" i="5"/>
  <c r="A1167" i="5"/>
  <c r="M200" i="5"/>
  <c r="A200" i="5"/>
  <c r="M981" i="5"/>
  <c r="A981" i="5"/>
  <c r="M1476" i="5"/>
  <c r="A1476" i="5"/>
  <c r="M1475" i="5"/>
  <c r="A1475" i="5"/>
  <c r="M520" i="5"/>
  <c r="A520" i="5"/>
  <c r="M329" i="5"/>
  <c r="A329" i="5"/>
  <c r="M140" i="5"/>
  <c r="A140" i="5"/>
  <c r="M980" i="5"/>
  <c r="A980" i="5"/>
  <c r="M1474" i="5"/>
  <c r="A1474" i="5"/>
  <c r="M56" i="5"/>
  <c r="A56" i="5"/>
  <c r="M1473" i="5"/>
  <c r="A1473" i="5"/>
  <c r="M1472" i="5"/>
  <c r="A1472" i="5"/>
  <c r="M328" i="5"/>
  <c r="A328" i="5"/>
  <c r="M199" i="5"/>
  <c r="A199" i="5"/>
  <c r="M655" i="5"/>
  <c r="A655" i="5"/>
  <c r="M519" i="5"/>
  <c r="A519" i="5"/>
  <c r="M1166" i="5"/>
  <c r="A1166" i="5"/>
  <c r="M1471" i="5"/>
  <c r="A1471" i="5"/>
  <c r="M979" i="5"/>
  <c r="A979" i="5"/>
  <c r="M1165" i="5"/>
  <c r="A1165" i="5"/>
  <c r="M834" i="5"/>
  <c r="A834" i="5"/>
  <c r="M654" i="5"/>
  <c r="A654" i="5"/>
  <c r="M1164" i="5"/>
  <c r="A1164" i="5"/>
  <c r="M833" i="5"/>
  <c r="A833" i="5"/>
  <c r="M257" i="5"/>
  <c r="A257" i="5"/>
  <c r="I257" i="5"/>
  <c r="M1163" i="5"/>
  <c r="A1163" i="5"/>
  <c r="M832" i="5"/>
  <c r="A832" i="5"/>
  <c r="M198" i="5"/>
  <c r="A198" i="5"/>
  <c r="M653" i="5"/>
  <c r="A653" i="5"/>
  <c r="M652" i="5"/>
  <c r="A652" i="5"/>
  <c r="M197" i="5"/>
  <c r="A197" i="5"/>
  <c r="M978" i="5"/>
  <c r="A978" i="5"/>
  <c r="M417" i="5"/>
  <c r="A417" i="5"/>
  <c r="M1470" i="5"/>
  <c r="A1470" i="5"/>
  <c r="M1469" i="5"/>
  <c r="A1469" i="5"/>
  <c r="M1468" i="5"/>
  <c r="A1468" i="5"/>
  <c r="M416" i="5"/>
  <c r="A416" i="5"/>
  <c r="M518" i="5"/>
  <c r="A518" i="5"/>
  <c r="M1162" i="5"/>
  <c r="A1162" i="5"/>
  <c r="M1161" i="5"/>
  <c r="A1161" i="5"/>
  <c r="M327" i="5"/>
  <c r="A327" i="5"/>
  <c r="M517" i="5"/>
  <c r="A517" i="5"/>
  <c r="M256" i="5"/>
  <c r="A256" i="5"/>
  <c r="M977" i="5"/>
  <c r="A977" i="5"/>
  <c r="M516" i="5"/>
  <c r="A516" i="5"/>
  <c r="M831" i="5"/>
  <c r="A831" i="5"/>
  <c r="M1467" i="5"/>
  <c r="A1467" i="5"/>
  <c r="M1466" i="5"/>
  <c r="A1466" i="5"/>
  <c r="M515" i="5"/>
  <c r="A515" i="5"/>
  <c r="M651" i="5"/>
  <c r="A651" i="5"/>
  <c r="M1465" i="5"/>
  <c r="A1465" i="5"/>
  <c r="M514" i="5"/>
  <c r="A514" i="5"/>
  <c r="M1464" i="5"/>
  <c r="A1464" i="5"/>
  <c r="M1463" i="5"/>
  <c r="A1463" i="5"/>
  <c r="M1160" i="5"/>
  <c r="A1160" i="5"/>
  <c r="M415" i="5"/>
  <c r="A415" i="5"/>
  <c r="M830" i="5"/>
  <c r="A830" i="5"/>
  <c r="M108" i="5"/>
  <c r="A108" i="5"/>
  <c r="M1462" i="5"/>
  <c r="A1462" i="5"/>
  <c r="M78" i="5"/>
  <c r="A78" i="5"/>
  <c r="M1461" i="5"/>
  <c r="A1461" i="5"/>
  <c r="M326" i="5"/>
  <c r="A326" i="5"/>
  <c r="M1159" i="5"/>
  <c r="A1159" i="5"/>
  <c r="M829" i="5"/>
  <c r="A829" i="5"/>
  <c r="M255" i="5"/>
  <c r="A255" i="5"/>
  <c r="M107" i="5"/>
  <c r="A107" i="5"/>
  <c r="M1460" i="5"/>
  <c r="A1460" i="5"/>
  <c r="M976" i="5"/>
  <c r="A976" i="5"/>
  <c r="M1459" i="5"/>
  <c r="A1459" i="5"/>
  <c r="M1158" i="5"/>
  <c r="A1158" i="5"/>
  <c r="M1458" i="5"/>
  <c r="A1458" i="5"/>
  <c r="M1457" i="5"/>
  <c r="A1457" i="5"/>
  <c r="I1457" i="5"/>
  <c r="M828" i="5"/>
  <c r="A828" i="5"/>
  <c r="M1157" i="5"/>
  <c r="A1157" i="5"/>
  <c r="M414" i="5"/>
  <c r="A414" i="5"/>
  <c r="M827" i="5"/>
  <c r="A827" i="5"/>
  <c r="M1456" i="5"/>
  <c r="A1456" i="5"/>
  <c r="M826" i="5"/>
  <c r="A826" i="5"/>
  <c r="M139" i="5"/>
  <c r="A139" i="5"/>
  <c r="M825" i="5"/>
  <c r="A825" i="5"/>
  <c r="M513" i="5"/>
  <c r="A513" i="5"/>
  <c r="M413" i="5"/>
  <c r="A413" i="5"/>
  <c r="M254" i="5"/>
  <c r="A254" i="5"/>
  <c r="M824" i="5"/>
  <c r="A824" i="5"/>
  <c r="M1455" i="5"/>
  <c r="A1455" i="5"/>
  <c r="M823" i="5"/>
  <c r="A823" i="5"/>
  <c r="M1454" i="5"/>
  <c r="A1454" i="5"/>
  <c r="M1156" i="5"/>
  <c r="A1156" i="5"/>
  <c r="M253" i="5"/>
  <c r="A253" i="5"/>
  <c r="M196" i="5"/>
  <c r="A196" i="5"/>
  <c r="M252" i="5"/>
  <c r="A252" i="5"/>
  <c r="M195" i="5"/>
  <c r="A195" i="5"/>
  <c r="M1453" i="5"/>
  <c r="A1453" i="5"/>
  <c r="M975" i="5"/>
  <c r="A975" i="5"/>
  <c r="M1155" i="5"/>
  <c r="A1155" i="5"/>
  <c r="M1154" i="5"/>
  <c r="A1154" i="5"/>
  <c r="M251" i="5"/>
  <c r="A251" i="5"/>
  <c r="M822" i="5"/>
  <c r="A822" i="5"/>
  <c r="I822" i="5"/>
  <c r="M974" i="5"/>
  <c r="A974" i="5"/>
  <c r="M1452" i="5"/>
  <c r="A1452" i="5"/>
  <c r="M821" i="5"/>
  <c r="A821" i="5"/>
  <c r="M973" i="5"/>
  <c r="A973" i="5"/>
  <c r="M820" i="5"/>
  <c r="A820" i="5"/>
  <c r="M1153" i="5"/>
  <c r="A1153" i="5"/>
  <c r="M512" i="5"/>
  <c r="A512" i="5"/>
  <c r="M106" i="5"/>
  <c r="A106" i="5"/>
  <c r="M1451" i="5"/>
  <c r="A1451" i="5"/>
  <c r="M1450" i="5"/>
  <c r="A1450" i="5"/>
  <c r="M194" i="5"/>
  <c r="A194" i="5"/>
  <c r="M650" i="5"/>
  <c r="A650" i="5"/>
  <c r="M1449" i="5"/>
  <c r="A1449" i="5"/>
  <c r="M1152" i="5"/>
  <c r="A1152" i="5"/>
  <c r="M412" i="5"/>
  <c r="A412" i="5"/>
  <c r="M649" i="5"/>
  <c r="A649" i="5"/>
  <c r="M511" i="5"/>
  <c r="A511" i="5"/>
  <c r="M819" i="5"/>
  <c r="A819" i="5"/>
  <c r="M1448" i="5"/>
  <c r="A1448" i="5"/>
  <c r="M818" i="5"/>
  <c r="A818" i="5"/>
  <c r="M1151" i="5"/>
  <c r="A1151" i="5"/>
  <c r="M1447" i="5"/>
  <c r="A1447" i="5"/>
  <c r="M1446" i="5"/>
  <c r="A1446" i="5"/>
  <c r="M411" i="5"/>
  <c r="A411" i="5"/>
  <c r="M77" i="5"/>
  <c r="A77" i="5"/>
  <c r="M1150" i="5"/>
  <c r="A1150" i="5"/>
  <c r="M250" i="5"/>
  <c r="A250" i="5"/>
  <c r="M138" i="5"/>
  <c r="A138" i="5"/>
  <c r="M1445" i="5"/>
  <c r="A1445" i="5"/>
  <c r="M325" i="5"/>
  <c r="A325" i="5"/>
  <c r="M648" i="5"/>
  <c r="A648" i="5"/>
  <c r="I648" i="5"/>
  <c r="M1444" i="5"/>
  <c r="A1444" i="5"/>
  <c r="M410" i="5"/>
  <c r="A410" i="5"/>
  <c r="M409" i="5"/>
  <c r="A409" i="5"/>
  <c r="M972" i="5"/>
  <c r="A972" i="5"/>
  <c r="M647" i="5"/>
  <c r="A647" i="5"/>
  <c r="M510" i="5"/>
  <c r="A510" i="5"/>
  <c r="M1149" i="5"/>
  <c r="A1149" i="5"/>
  <c r="M817" i="5"/>
  <c r="A817" i="5"/>
  <c r="M1443" i="5"/>
  <c r="A1443" i="5"/>
  <c r="M1442" i="5"/>
  <c r="A1442" i="5"/>
  <c r="M971" i="5"/>
  <c r="A971" i="5"/>
  <c r="M970" i="5"/>
  <c r="A970" i="5"/>
  <c r="M646" i="5"/>
  <c r="A646" i="5"/>
  <c r="M193" i="5"/>
  <c r="A193" i="5"/>
  <c r="M1441" i="5"/>
  <c r="A1441" i="5"/>
  <c r="M645" i="5"/>
  <c r="A645" i="5"/>
  <c r="M969" i="5"/>
  <c r="A969" i="5"/>
  <c r="M644" i="5"/>
  <c r="A644" i="5"/>
  <c r="M1440" i="5"/>
  <c r="A1440" i="5"/>
  <c r="M1439" i="5"/>
  <c r="A1439" i="5"/>
  <c r="M1438" i="5"/>
  <c r="A1438" i="5"/>
  <c r="M509" i="5"/>
  <c r="A509" i="5"/>
  <c r="M1437" i="5"/>
  <c r="A1437" i="5"/>
  <c r="I1437" i="5"/>
  <c r="M1436" i="5"/>
  <c r="A1436" i="5"/>
  <c r="M643" i="5"/>
  <c r="A643" i="5"/>
  <c r="M968" i="5"/>
  <c r="A968" i="5"/>
  <c r="M14" i="5"/>
  <c r="A14" i="5"/>
  <c r="M967" i="5"/>
  <c r="A967" i="5"/>
  <c r="M642" i="5"/>
  <c r="A642" i="5"/>
  <c r="M1148" i="5"/>
  <c r="A1148" i="5"/>
  <c r="M408" i="5"/>
  <c r="A408" i="5"/>
  <c r="M1147" i="5"/>
  <c r="A1147" i="5"/>
  <c r="M1435" i="5"/>
  <c r="A1435" i="5"/>
  <c r="M966" i="5"/>
  <c r="A966" i="5"/>
  <c r="M1434" i="5"/>
  <c r="A1434" i="5"/>
  <c r="M508" i="5"/>
  <c r="A508" i="5"/>
  <c r="M816" i="5"/>
  <c r="A816" i="5"/>
  <c r="M507" i="5"/>
  <c r="A507" i="5"/>
  <c r="M1433" i="5"/>
  <c r="A1433" i="5"/>
  <c r="M965" i="5"/>
  <c r="A965" i="5"/>
  <c r="M1432" i="5"/>
  <c r="A1432" i="5"/>
  <c r="M964" i="5"/>
  <c r="A964" i="5"/>
  <c r="M641" i="5"/>
  <c r="A641" i="5"/>
  <c r="M963" i="5"/>
  <c r="A963" i="5"/>
  <c r="M506" i="5"/>
  <c r="A506" i="5"/>
  <c r="M137" i="5"/>
  <c r="A137" i="5"/>
  <c r="M1431" i="5"/>
  <c r="A1431" i="5"/>
  <c r="M640" i="5"/>
  <c r="A640" i="5"/>
  <c r="M505" i="5"/>
  <c r="A505" i="5"/>
  <c r="M192" i="5"/>
  <c r="A192" i="5"/>
  <c r="M639" i="5"/>
  <c r="A639" i="5"/>
  <c r="M962" i="5"/>
  <c r="A962" i="5"/>
  <c r="M55" i="5"/>
  <c r="A55" i="5"/>
  <c r="I55" i="5"/>
  <c r="M504" i="5"/>
  <c r="A504" i="5"/>
  <c r="M1146" i="5"/>
  <c r="A1146" i="5"/>
  <c r="M105" i="5"/>
  <c r="A105" i="5"/>
  <c r="M1430" i="5"/>
  <c r="A1430" i="5"/>
  <c r="M815" i="5"/>
  <c r="A815" i="5"/>
  <c r="M33" i="5"/>
  <c r="A33" i="5"/>
  <c r="M961" i="5"/>
  <c r="A961" i="5"/>
  <c r="M638" i="5"/>
  <c r="A638" i="5"/>
  <c r="M104" i="5"/>
  <c r="A104" i="5"/>
  <c r="M637" i="5"/>
  <c r="A637" i="5"/>
  <c r="M636" i="5"/>
  <c r="A636" i="5"/>
  <c r="M76" i="5"/>
  <c r="A76" i="5"/>
  <c r="M1429" i="5"/>
  <c r="A1429" i="5"/>
  <c r="M814" i="5"/>
  <c r="A814" i="5"/>
  <c r="M813" i="5"/>
  <c r="A813" i="5"/>
  <c r="M32" i="5"/>
  <c r="A32" i="5"/>
  <c r="M136" i="5"/>
  <c r="A136" i="5"/>
  <c r="I136" i="5"/>
  <c r="M960" i="5"/>
  <c r="A960" i="5"/>
  <c r="M324" i="5"/>
  <c r="A324" i="5"/>
  <c r="I324" i="5"/>
  <c r="M635" i="5"/>
  <c r="A635" i="5"/>
  <c r="M1428" i="5"/>
  <c r="A1428" i="5"/>
  <c r="M634" i="5"/>
  <c r="A634" i="5"/>
  <c r="M1427" i="5"/>
  <c r="A1427" i="5"/>
  <c r="M1426" i="5"/>
  <c r="A1426" i="5"/>
  <c r="M28" i="5"/>
  <c r="A28" i="5"/>
  <c r="M407" i="5"/>
  <c r="A407" i="5"/>
  <c r="M503" i="5"/>
  <c r="A503" i="5"/>
  <c r="M191" i="5"/>
  <c r="A191" i="5"/>
  <c r="M502" i="5"/>
  <c r="A502" i="5"/>
  <c r="M812" i="5"/>
  <c r="A812" i="5"/>
  <c r="M1425" i="5"/>
  <c r="A1425" i="5"/>
  <c r="I1425" i="5"/>
  <c r="M103" i="5"/>
  <c r="A103" i="5"/>
  <c r="M249" i="5"/>
  <c r="A249" i="5"/>
  <c r="M1424" i="5"/>
  <c r="A1424" i="5"/>
  <c r="M1423" i="5"/>
  <c r="A1423" i="5"/>
  <c r="M811" i="5"/>
  <c r="A811" i="5"/>
  <c r="I811" i="5"/>
  <c r="M135" i="5"/>
  <c r="A135" i="5"/>
  <c r="M501" i="5"/>
  <c r="A501" i="5"/>
  <c r="M1422" i="5"/>
  <c r="A1422" i="5"/>
  <c r="M810" i="5"/>
  <c r="A810" i="5"/>
  <c r="M1145" i="5"/>
  <c r="A1145" i="5"/>
  <c r="M809" i="5"/>
  <c r="A809" i="5"/>
  <c r="M1144" i="5"/>
  <c r="A1144" i="5"/>
  <c r="M248" i="5"/>
  <c r="A248" i="5"/>
  <c r="M27" i="5"/>
  <c r="A27" i="5"/>
  <c r="M1421" i="5"/>
  <c r="A1421" i="5"/>
  <c r="M808" i="5"/>
  <c r="A808" i="5"/>
  <c r="M1143" i="5"/>
  <c r="A1143" i="5"/>
  <c r="M633" i="5"/>
  <c r="A633" i="5"/>
  <c r="M1142" i="5"/>
  <c r="A1142" i="5"/>
  <c r="I1142" i="5"/>
  <c r="M632" i="5"/>
  <c r="A632" i="5"/>
  <c r="M631" i="5"/>
  <c r="A631" i="5"/>
  <c r="M807" i="5"/>
  <c r="A807" i="5"/>
  <c r="M10" i="5"/>
  <c r="A10" i="5"/>
  <c r="M630" i="5"/>
  <c r="A630" i="5"/>
  <c r="M959" i="5"/>
  <c r="A959" i="5"/>
  <c r="M406" i="5"/>
  <c r="A406" i="5"/>
  <c r="M405" i="5"/>
  <c r="A405" i="5"/>
  <c r="M404" i="5"/>
  <c r="A404" i="5"/>
  <c r="M247" i="5"/>
  <c r="A247" i="5"/>
  <c r="M1420" i="5"/>
  <c r="A1420" i="5"/>
  <c r="M1419" i="5"/>
  <c r="A1419" i="5"/>
  <c r="M1141" i="5"/>
  <c r="A1141" i="5"/>
  <c r="M1418" i="5"/>
  <c r="A1418" i="5"/>
  <c r="M246" i="5"/>
  <c r="A246" i="5"/>
  <c r="M1417" i="5"/>
  <c r="A1417" i="5"/>
  <c r="M629" i="5"/>
  <c r="A629" i="5"/>
  <c r="I629" i="5"/>
  <c r="M806" i="5"/>
  <c r="A806" i="5"/>
  <c r="I806" i="5"/>
  <c r="M1140" i="5"/>
  <c r="A1140" i="5"/>
  <c r="M628" i="5"/>
  <c r="A628" i="5"/>
  <c r="M805" i="5"/>
  <c r="A805" i="5"/>
  <c r="I805" i="5"/>
  <c r="M500" i="5"/>
  <c r="A500" i="5"/>
  <c r="M1139" i="5"/>
  <c r="A1139" i="5"/>
  <c r="M499" i="5"/>
  <c r="A499" i="5"/>
  <c r="M498" i="5"/>
  <c r="A498" i="5"/>
  <c r="M134" i="5"/>
  <c r="A134" i="5"/>
  <c r="M1416" i="5"/>
  <c r="A1416" i="5"/>
  <c r="M497" i="5"/>
  <c r="A497" i="5"/>
  <c r="M1415" i="5"/>
  <c r="A1415" i="5"/>
  <c r="M54" i="5"/>
  <c r="A54" i="5"/>
  <c r="M496" i="5"/>
  <c r="A496" i="5"/>
  <c r="M1138" i="5"/>
  <c r="A1138" i="5"/>
  <c r="M1414" i="5"/>
  <c r="A1414" i="5"/>
  <c r="I1414" i="5"/>
  <c r="M1413" i="5"/>
  <c r="A1413" i="5"/>
  <c r="M1412" i="5"/>
  <c r="A1412" i="5"/>
  <c r="M102" i="5"/>
  <c r="A102" i="5"/>
  <c r="M1137" i="5"/>
  <c r="A1137" i="5"/>
  <c r="M1411" i="5"/>
  <c r="A1411" i="5"/>
  <c r="M958" i="5"/>
  <c r="A958" i="5"/>
  <c r="M1136" i="5"/>
  <c r="A1136" i="5"/>
  <c r="M1410" i="5"/>
  <c r="A1410" i="5"/>
  <c r="I1410" i="5"/>
  <c r="M957" i="5"/>
  <c r="A957" i="5"/>
  <c r="M323" i="5"/>
  <c r="A323" i="5"/>
  <c r="M495" i="5"/>
  <c r="A495" i="5"/>
  <c r="M804" i="5"/>
  <c r="A804" i="5"/>
  <c r="M1409" i="5"/>
  <c r="A1409" i="5"/>
  <c r="I1409" i="5"/>
  <c r="M494" i="5"/>
  <c r="A494" i="5"/>
  <c r="I494" i="5"/>
  <c r="M403" i="5"/>
  <c r="A403" i="5"/>
  <c r="I403" i="5"/>
  <c r="M627" i="5"/>
  <c r="A627" i="5"/>
  <c r="M493" i="5"/>
  <c r="A493" i="5"/>
  <c r="M53" i="5"/>
  <c r="A53" i="5"/>
  <c r="M402" i="5"/>
  <c r="A402" i="5"/>
  <c r="M190" i="5"/>
  <c r="A190" i="5"/>
  <c r="M401" i="5"/>
  <c r="A401" i="5"/>
  <c r="M956" i="5"/>
  <c r="A956" i="5"/>
  <c r="M1408" i="5"/>
  <c r="A1408" i="5"/>
  <c r="M803" i="5"/>
  <c r="A803" i="5"/>
  <c r="M52" i="5"/>
  <c r="A52" i="5"/>
  <c r="M626" i="5"/>
  <c r="A626" i="5"/>
  <c r="M1407" i="5"/>
  <c r="A1407" i="5"/>
  <c r="M1406" i="5"/>
  <c r="A1406" i="5"/>
  <c r="M1135" i="5"/>
  <c r="A1135" i="5"/>
  <c r="M322" i="5"/>
  <c r="A322" i="5"/>
  <c r="M1405" i="5"/>
  <c r="A1405" i="5"/>
  <c r="M133" i="5"/>
  <c r="A133" i="5"/>
  <c r="I133" i="5"/>
  <c r="M1134" i="5"/>
  <c r="A1134" i="5"/>
  <c r="M400" i="5"/>
  <c r="A400" i="5"/>
  <c r="M802" i="5"/>
  <c r="A802" i="5"/>
  <c r="M1404" i="5"/>
  <c r="A1404" i="5"/>
  <c r="M955" i="5"/>
  <c r="A955" i="5"/>
  <c r="M245" i="5"/>
  <c r="A245" i="5"/>
  <c r="I245" i="5"/>
  <c r="M244" i="5"/>
  <c r="A244" i="5"/>
  <c r="M1403" i="5"/>
  <c r="A1403" i="5"/>
  <c r="M399" i="5"/>
  <c r="A399" i="5"/>
  <c r="M1402" i="5"/>
  <c r="A1402" i="5"/>
  <c r="M1401" i="5"/>
  <c r="A1401" i="5"/>
  <c r="I1401" i="5"/>
  <c r="M954" i="5"/>
  <c r="A954" i="5"/>
  <c r="M953" i="5"/>
  <c r="A953" i="5"/>
  <c r="M625" i="5"/>
  <c r="A625" i="5"/>
  <c r="M44" i="5"/>
  <c r="A44" i="5"/>
  <c r="M624" i="5"/>
  <c r="A624" i="5"/>
  <c r="M132" i="5"/>
  <c r="A132" i="5"/>
  <c r="M1400" i="5"/>
  <c r="A1400" i="5"/>
  <c r="M952" i="5"/>
  <c r="A952" i="5"/>
  <c r="M801" i="5"/>
  <c r="A801" i="5"/>
  <c r="M623" i="5"/>
  <c r="A623" i="5"/>
  <c r="M321" i="5"/>
  <c r="A321" i="5"/>
  <c r="M951" i="5"/>
  <c r="A951" i="5"/>
  <c r="M1133" i="5"/>
  <c r="A1133" i="5"/>
  <c r="M1132" i="5"/>
  <c r="A1132" i="5"/>
  <c r="M1399" i="5"/>
  <c r="A1399" i="5"/>
  <c r="M131" i="5"/>
  <c r="A131" i="5"/>
  <c r="M1398" i="5"/>
  <c r="A1398" i="5"/>
  <c r="M800" i="5"/>
  <c r="A800" i="5"/>
  <c r="M320" i="5"/>
  <c r="A320" i="5"/>
  <c r="M1131" i="5"/>
  <c r="A1131" i="5"/>
  <c r="M1130" i="5"/>
  <c r="A1130" i="5"/>
  <c r="M1129" i="5"/>
  <c r="A1129" i="5"/>
  <c r="M101" i="5"/>
  <c r="A101" i="5"/>
  <c r="M398" i="5"/>
  <c r="A398" i="5"/>
  <c r="M799" i="5"/>
  <c r="A799" i="5"/>
  <c r="M1128" i="5"/>
  <c r="A1128" i="5"/>
  <c r="M798" i="5"/>
  <c r="A798" i="5"/>
  <c r="M1397" i="5"/>
  <c r="A1397" i="5"/>
  <c r="M1127" i="5"/>
  <c r="A1127" i="5"/>
  <c r="M100" i="5"/>
  <c r="A100" i="5"/>
  <c r="M243" i="5"/>
  <c r="A243" i="5"/>
  <c r="M397" i="5"/>
  <c r="A397" i="5"/>
  <c r="M797" i="5"/>
  <c r="A797" i="5"/>
  <c r="M1126" i="5"/>
  <c r="A1126" i="5"/>
  <c r="M9" i="5"/>
  <c r="A9" i="5"/>
  <c r="M622" i="5"/>
  <c r="A622" i="5"/>
  <c r="M189" i="5"/>
  <c r="A189" i="5"/>
  <c r="M1396" i="5"/>
  <c r="A1396" i="5"/>
  <c r="M1395" i="5"/>
  <c r="A1395" i="5"/>
  <c r="M1394" i="5"/>
  <c r="A1394" i="5"/>
  <c r="M492" i="5"/>
  <c r="A492" i="5"/>
  <c r="M1393" i="5"/>
  <c r="A1393" i="5"/>
  <c r="M796" i="5"/>
  <c r="A796" i="5"/>
  <c r="M1125" i="5"/>
  <c r="A1125" i="5"/>
  <c r="M795" i="5"/>
  <c r="A795" i="5"/>
  <c r="M396" i="5"/>
  <c r="A396" i="5"/>
  <c r="I396" i="5"/>
  <c r="M621" i="5"/>
  <c r="A621" i="5"/>
  <c r="M1124" i="5"/>
  <c r="A1124" i="5"/>
  <c r="M43" i="5"/>
  <c r="A43" i="5"/>
  <c r="M950" i="5"/>
  <c r="A950" i="5"/>
  <c r="M949" i="5"/>
  <c r="A949" i="5"/>
  <c r="M794" i="5"/>
  <c r="A794" i="5"/>
  <c r="M793" i="5"/>
  <c r="A793" i="5"/>
  <c r="M948" i="5"/>
  <c r="A948" i="5"/>
  <c r="M947" i="5"/>
  <c r="A947" i="5"/>
  <c r="M620" i="5"/>
  <c r="A620" i="5"/>
  <c r="M1123" i="5"/>
  <c r="A1123" i="5"/>
  <c r="M395" i="5"/>
  <c r="A395" i="5"/>
  <c r="M619" i="5"/>
  <c r="A619" i="5"/>
  <c r="M946" i="5"/>
  <c r="A946" i="5"/>
  <c r="M792" i="5"/>
  <c r="A792" i="5"/>
  <c r="M130" i="5"/>
  <c r="A130" i="5"/>
  <c r="M1392" i="5"/>
  <c r="A1392" i="5"/>
  <c r="M491" i="5"/>
  <c r="A491" i="5"/>
  <c r="M1391" i="5"/>
  <c r="A1391" i="5"/>
  <c r="M618" i="5"/>
  <c r="A618" i="5"/>
  <c r="M617" i="5"/>
  <c r="A617" i="5"/>
  <c r="M242" i="5"/>
  <c r="A242" i="5"/>
  <c r="I242" i="5"/>
  <c r="M1390" i="5"/>
  <c r="A1390" i="5"/>
  <c r="M18" i="5"/>
  <c r="A18" i="5"/>
  <c r="M616" i="5"/>
  <c r="A616" i="5"/>
  <c r="M1122" i="5"/>
  <c r="A1122" i="5"/>
  <c r="I1122" i="5"/>
  <c r="M1121" i="5"/>
  <c r="A1121" i="5"/>
  <c r="M1120" i="5"/>
  <c r="A1120" i="5"/>
  <c r="M394" i="5"/>
  <c r="A394" i="5"/>
  <c r="M393" i="5"/>
  <c r="A393" i="5"/>
  <c r="I393" i="5"/>
  <c r="M490" i="5"/>
  <c r="A490" i="5"/>
  <c r="I490" i="5"/>
  <c r="M188" i="5"/>
  <c r="A188" i="5"/>
  <c r="M319" i="5"/>
  <c r="A319" i="5"/>
  <c r="M1119" i="5"/>
  <c r="A1119" i="5"/>
  <c r="I1119" i="5"/>
  <c r="M945" i="5"/>
  <c r="A945" i="5"/>
  <c r="M489" i="5"/>
  <c r="A489" i="5"/>
  <c r="M1389" i="5"/>
  <c r="A1389" i="5"/>
  <c r="M187" i="5"/>
  <c r="A187" i="5"/>
  <c r="M1118" i="5"/>
  <c r="A1118" i="5"/>
  <c r="M615" i="5"/>
  <c r="A615" i="5"/>
  <c r="M186" i="5"/>
  <c r="A186" i="5"/>
  <c r="M318" i="5"/>
  <c r="A318" i="5"/>
  <c r="M1117" i="5"/>
  <c r="A1117" i="5"/>
  <c r="M75" i="5"/>
  <c r="A75" i="5"/>
  <c r="M392" i="5"/>
  <c r="A392" i="5"/>
  <c r="M1116" i="5"/>
  <c r="A1116" i="5"/>
  <c r="M944" i="5"/>
  <c r="A944" i="5"/>
  <c r="M943" i="5"/>
  <c r="A943" i="5"/>
  <c r="I943" i="5"/>
  <c r="M13" i="5"/>
  <c r="A13" i="5"/>
  <c r="M1388" i="5"/>
  <c r="A1388" i="5"/>
  <c r="I1388" i="5"/>
  <c r="M317" i="5"/>
  <c r="A317" i="5"/>
  <c r="M791" i="5"/>
  <c r="A791" i="5"/>
  <c r="I791" i="5"/>
  <c r="M614" i="5"/>
  <c r="A614" i="5"/>
  <c r="M942" i="5"/>
  <c r="A942" i="5"/>
  <c r="M1387" i="5"/>
  <c r="A1387" i="5"/>
  <c r="M488" i="5"/>
  <c r="A488" i="5"/>
  <c r="M941" i="5"/>
  <c r="A941" i="5"/>
  <c r="M1386" i="5"/>
  <c r="A1386" i="5"/>
  <c r="M613" i="5"/>
  <c r="A613" i="5"/>
  <c r="I613" i="5"/>
  <c r="M1385" i="5"/>
  <c r="A1385" i="5"/>
  <c r="M790" i="5"/>
  <c r="A790" i="5"/>
  <c r="M789" i="5"/>
  <c r="A789" i="5"/>
  <c r="M788" i="5"/>
  <c r="A788" i="5"/>
  <c r="M1384" i="5"/>
  <c r="A1384" i="5"/>
  <c r="M487" i="5"/>
  <c r="A487" i="5"/>
  <c r="M1115" i="5"/>
  <c r="A1115" i="5"/>
  <c r="M1383" i="5"/>
  <c r="A1383" i="5"/>
  <c r="M1382" i="5"/>
  <c r="A1382" i="5"/>
  <c r="M1381" i="5"/>
  <c r="A1381" i="5"/>
  <c r="M612" i="5"/>
  <c r="A612" i="5"/>
  <c r="M787" i="5"/>
  <c r="A787" i="5"/>
  <c r="M1380" i="5"/>
  <c r="A1380" i="5"/>
  <c r="M486" i="5"/>
  <c r="A486" i="5"/>
  <c r="M1379" i="5"/>
  <c r="A1379" i="5"/>
  <c r="M940" i="5"/>
  <c r="A940" i="5"/>
  <c r="M1378" i="5"/>
  <c r="A1378" i="5"/>
  <c r="M129" i="5"/>
  <c r="A129" i="5"/>
  <c r="M1377" i="5"/>
  <c r="A1377" i="5"/>
  <c r="M1376" i="5"/>
  <c r="A1376" i="5"/>
  <c r="M939" i="5"/>
  <c r="A939" i="5"/>
  <c r="M391" i="5"/>
  <c r="A391" i="5"/>
  <c r="M786" i="5"/>
  <c r="A786" i="5"/>
  <c r="M1375" i="5"/>
  <c r="A1375" i="5"/>
  <c r="M1374" i="5"/>
  <c r="A1374" i="5"/>
  <c r="M74" i="5"/>
  <c r="A74" i="5"/>
  <c r="M611" i="5"/>
  <c r="A611" i="5"/>
  <c r="M241" i="5"/>
  <c r="A241" i="5"/>
  <c r="M1373" i="5"/>
  <c r="A1373" i="5"/>
  <c r="M938" i="5"/>
  <c r="A938" i="5"/>
  <c r="M185" i="5"/>
  <c r="A185" i="5"/>
  <c r="M1372" i="5"/>
  <c r="A1372" i="5"/>
  <c r="M1371" i="5"/>
  <c r="A1371" i="5"/>
  <c r="M240" i="5"/>
  <c r="A240" i="5"/>
  <c r="M239" i="5"/>
  <c r="A239" i="5"/>
  <c r="M937" i="5"/>
  <c r="A937" i="5"/>
  <c r="M1114" i="5"/>
  <c r="A1114" i="5"/>
  <c r="M610" i="5"/>
  <c r="A610" i="5"/>
  <c r="M609" i="5"/>
  <c r="A609" i="5"/>
  <c r="M608" i="5"/>
  <c r="A608" i="5"/>
  <c r="M936" i="5"/>
  <c r="A936" i="5"/>
  <c r="M785" i="5"/>
  <c r="A785" i="5"/>
  <c r="M99" i="5"/>
  <c r="A99" i="5"/>
  <c r="M935" i="5"/>
  <c r="A935" i="5"/>
  <c r="M1370" i="5"/>
  <c r="A1370" i="5"/>
  <c r="M1369" i="5"/>
  <c r="A1369" i="5"/>
  <c r="M934" i="5"/>
  <c r="A934" i="5"/>
  <c r="I934" i="5"/>
  <c r="M316" i="5"/>
  <c r="A316" i="5"/>
  <c r="M1113" i="5"/>
  <c r="A1113" i="5"/>
  <c r="M1368" i="5"/>
  <c r="A1368" i="5"/>
  <c r="I1368" i="5"/>
  <c r="M607" i="5"/>
  <c r="A607" i="5"/>
  <c r="M784" i="5"/>
  <c r="A784" i="5"/>
  <c r="M315" i="5"/>
  <c r="A315" i="5"/>
  <c r="M933" i="5"/>
  <c r="A933" i="5"/>
  <c r="I933" i="5"/>
  <c r="M1367" i="5"/>
  <c r="A1367" i="5"/>
  <c r="M1366" i="5"/>
  <c r="A1366" i="5"/>
  <c r="I1366" i="5"/>
  <c r="M1365" i="5"/>
  <c r="A1365" i="5"/>
  <c r="M606" i="5"/>
  <c r="A606" i="5"/>
  <c r="M605" i="5"/>
  <c r="A605" i="5"/>
  <c r="M390" i="5"/>
  <c r="A390" i="5"/>
  <c r="M932" i="5"/>
  <c r="A932" i="5"/>
  <c r="I932" i="5"/>
  <c r="M314" i="5"/>
  <c r="A314" i="5"/>
  <c r="M931" i="5"/>
  <c r="A931" i="5"/>
  <c r="M783" i="5"/>
  <c r="A783" i="5"/>
  <c r="M930" i="5"/>
  <c r="A930" i="5"/>
  <c r="M1112" i="5"/>
  <c r="A1112" i="5"/>
  <c r="M485" i="5"/>
  <c r="A485" i="5"/>
  <c r="M604" i="5"/>
  <c r="A604" i="5"/>
  <c r="M1364" i="5"/>
  <c r="A1364" i="5"/>
  <c r="M603" i="5"/>
  <c r="A603" i="5"/>
  <c r="M929" i="5"/>
  <c r="A929" i="5"/>
  <c r="M928" i="5"/>
  <c r="A928" i="5"/>
  <c r="M1111" i="5"/>
  <c r="A1111" i="5"/>
  <c r="M1110" i="5"/>
  <c r="A1110" i="5"/>
  <c r="M1363" i="5"/>
  <c r="A1363" i="5"/>
  <c r="I1363" i="5"/>
  <c r="M1362" i="5"/>
  <c r="A1362" i="5"/>
  <c r="M782" i="5"/>
  <c r="A782" i="5"/>
  <c r="M1361" i="5"/>
  <c r="A1361" i="5"/>
  <c r="I1361" i="5"/>
  <c r="M313" i="5"/>
  <c r="A313" i="5"/>
  <c r="M781" i="5"/>
  <c r="A781" i="5"/>
  <c r="M602" i="5"/>
  <c r="A602" i="5"/>
  <c r="M73" i="5"/>
  <c r="A73" i="5"/>
  <c r="M389" i="5"/>
  <c r="A389" i="5"/>
  <c r="M780" i="5"/>
  <c r="A780" i="5"/>
  <c r="M184" i="5"/>
  <c r="A184" i="5"/>
  <c r="M1109" i="5"/>
  <c r="A1109" i="5"/>
  <c r="M1108" i="5"/>
  <c r="A1108" i="5"/>
  <c r="M1360" i="5"/>
  <c r="A1360" i="5"/>
  <c r="M1107" i="5"/>
  <c r="A1107" i="5"/>
  <c r="I1107" i="5"/>
  <c r="M312" i="5"/>
  <c r="A312" i="5"/>
  <c r="M1359" i="5"/>
  <c r="A1359" i="5"/>
  <c r="I1359" i="5"/>
  <c r="M311" i="5"/>
  <c r="A311" i="5"/>
  <c r="M601" i="5"/>
  <c r="A601" i="5"/>
  <c r="M51" i="5"/>
  <c r="A51" i="5"/>
  <c r="M388" i="5"/>
  <c r="A388" i="5"/>
  <c r="M927" i="5"/>
  <c r="A927" i="5"/>
  <c r="M779" i="5"/>
  <c r="A779" i="5"/>
  <c r="I779" i="5"/>
  <c r="M1106" i="5"/>
  <c r="A1106" i="5"/>
  <c r="M1358" i="5"/>
  <c r="A1358" i="5"/>
  <c r="M26" i="5"/>
  <c r="A26" i="5"/>
  <c r="M1357" i="5"/>
  <c r="A1357" i="5"/>
  <c r="M484" i="5"/>
  <c r="A484" i="5"/>
  <c r="M128" i="5"/>
  <c r="A128" i="5"/>
  <c r="M183" i="5"/>
  <c r="A183" i="5"/>
  <c r="M1356" i="5"/>
  <c r="A1356" i="5"/>
  <c r="M1105" i="5"/>
  <c r="A1105" i="5"/>
  <c r="M778" i="5"/>
  <c r="A778" i="5"/>
  <c r="M127" i="5"/>
  <c r="A127" i="5"/>
  <c r="M483" i="5"/>
  <c r="A483" i="5"/>
  <c r="M926" i="5"/>
  <c r="A926" i="5"/>
  <c r="I926" i="5"/>
  <c r="M182" i="5"/>
  <c r="A182" i="5"/>
  <c r="I182" i="5"/>
  <c r="M482" i="5"/>
  <c r="A482" i="5"/>
  <c r="M1355" i="5"/>
  <c r="A1355" i="5"/>
  <c r="M925" i="5"/>
  <c r="A925" i="5"/>
  <c r="M1354" i="5"/>
  <c r="A1354" i="5"/>
  <c r="M98" i="5"/>
  <c r="A98" i="5"/>
  <c r="M924" i="5"/>
  <c r="A924" i="5"/>
  <c r="M481" i="5"/>
  <c r="A481" i="5"/>
  <c r="M923" i="5"/>
  <c r="A923" i="5"/>
  <c r="I923" i="5"/>
  <c r="M1353" i="5"/>
  <c r="A1353" i="5"/>
  <c r="M310" i="5"/>
  <c r="A310" i="5"/>
  <c r="M238" i="5"/>
  <c r="A238" i="5"/>
  <c r="I238" i="5"/>
  <c r="M600" i="5"/>
  <c r="A600" i="5"/>
  <c r="M1104" i="5"/>
  <c r="A1104" i="5"/>
  <c r="I1104" i="5"/>
  <c r="M777" i="5"/>
  <c r="A777" i="5"/>
  <c r="M1352" i="5"/>
  <c r="A1352" i="5"/>
  <c r="M922" i="5"/>
  <c r="A922" i="5"/>
  <c r="M599" i="5"/>
  <c r="A599" i="5"/>
  <c r="M1351" i="5"/>
  <c r="A1351" i="5"/>
  <c r="M1103" i="5"/>
  <c r="A1103" i="5"/>
  <c r="M480" i="5"/>
  <c r="A480" i="5"/>
  <c r="M776" i="5"/>
  <c r="A776" i="5"/>
  <c r="M237" i="5"/>
  <c r="A237" i="5"/>
  <c r="M921" i="5"/>
  <c r="A921" i="5"/>
  <c r="M920" i="5"/>
  <c r="A920" i="5"/>
  <c r="M479" i="5"/>
  <c r="A479" i="5"/>
  <c r="M478" i="5"/>
  <c r="A478" i="5"/>
  <c r="M775" i="5"/>
  <c r="A775" i="5"/>
  <c r="M774" i="5"/>
  <c r="A774" i="5"/>
  <c r="M773" i="5"/>
  <c r="A773" i="5"/>
  <c r="M772" i="5"/>
  <c r="A772" i="5"/>
  <c r="M771" i="5"/>
  <c r="A771" i="5"/>
  <c r="M1102" i="5"/>
  <c r="A1102" i="5"/>
  <c r="M770" i="5"/>
  <c r="A770" i="5"/>
  <c r="M769" i="5"/>
  <c r="A769" i="5"/>
  <c r="M477" i="5"/>
  <c r="A477" i="5"/>
  <c r="M919" i="5"/>
  <c r="A919" i="5"/>
  <c r="M1350" i="5"/>
  <c r="A1350" i="5"/>
  <c r="M97" i="5"/>
  <c r="A97" i="5"/>
  <c r="M1101" i="5"/>
  <c r="A1101" i="5"/>
  <c r="I1101" i="5"/>
  <c r="M768" i="5"/>
  <c r="A768" i="5"/>
  <c r="M918" i="5"/>
  <c r="A918" i="5"/>
  <c r="M767" i="5"/>
  <c r="A767" i="5"/>
  <c r="M72" i="5"/>
  <c r="A72" i="5"/>
  <c r="M917" i="5"/>
  <c r="A917" i="5"/>
  <c r="I917" i="5"/>
  <c r="M309" i="5"/>
  <c r="A309" i="5"/>
  <c r="M236" i="5"/>
  <c r="A236" i="5"/>
  <c r="M25" i="5"/>
  <c r="A25" i="5"/>
  <c r="M598" i="5"/>
  <c r="A598" i="5"/>
  <c r="M308" i="5"/>
  <c r="A308" i="5"/>
  <c r="I308" i="5"/>
  <c r="M1100" i="5"/>
  <c r="A1100" i="5"/>
  <c r="M235" i="5"/>
  <c r="A235" i="5"/>
  <c r="M766" i="5"/>
  <c r="A766" i="5"/>
  <c r="I766" i="5"/>
  <c r="M1349" i="5"/>
  <c r="A1349" i="5"/>
  <c r="M1348" i="5"/>
  <c r="A1348" i="5"/>
  <c r="I1348" i="5"/>
  <c r="M1099" i="5"/>
  <c r="A1099" i="5"/>
  <c r="M96" i="5"/>
  <c r="A96" i="5"/>
  <c r="M916" i="5"/>
  <c r="A916" i="5"/>
  <c r="M597" i="5"/>
  <c r="A597" i="5"/>
  <c r="I597" i="5"/>
  <c r="M181" i="5"/>
  <c r="A181" i="5"/>
  <c r="M1347" i="5"/>
  <c r="A1347" i="5"/>
  <c r="M307" i="5"/>
  <c r="A307" i="5"/>
  <c r="M476" i="5"/>
  <c r="A476" i="5"/>
  <c r="M596" i="5"/>
  <c r="A596" i="5"/>
  <c r="M306" i="5"/>
  <c r="A306" i="5"/>
  <c r="M915" i="5"/>
  <c r="A915" i="5"/>
  <c r="I915" i="5"/>
  <c r="M1098" i="5"/>
  <c r="A1098" i="5"/>
  <c r="M1346" i="5"/>
  <c r="A1346" i="5"/>
  <c r="I1346" i="5"/>
  <c r="M914" i="5"/>
  <c r="A914" i="5"/>
  <c r="M765" i="5"/>
  <c r="A765" i="5"/>
  <c r="M1097" i="5"/>
  <c r="A1097" i="5"/>
  <c r="M1345" i="5"/>
  <c r="A1345" i="5"/>
  <c r="M1344" i="5"/>
  <c r="A1344" i="5"/>
  <c r="M475" i="5"/>
  <c r="A475" i="5"/>
  <c r="I475" i="5"/>
  <c r="M305" i="5"/>
  <c r="A305" i="5"/>
  <c r="I305" i="5"/>
  <c r="M1096" i="5"/>
  <c r="A1096" i="5"/>
  <c r="M304" i="5"/>
  <c r="A304" i="5"/>
  <c r="M595" i="5"/>
  <c r="A595" i="5"/>
  <c r="M1095" i="5"/>
  <c r="A1095" i="5"/>
  <c r="I1095" i="5"/>
  <c r="M913" i="5"/>
  <c r="A913" i="5"/>
  <c r="M180" i="5"/>
  <c r="A180" i="5"/>
  <c r="M234" i="5"/>
  <c r="A234" i="5"/>
  <c r="M1343" i="5"/>
  <c r="A1343" i="5"/>
  <c r="M1342" i="5"/>
  <c r="A1342" i="5"/>
  <c r="M1341" i="5"/>
  <c r="A1341" i="5"/>
  <c r="M387" i="5"/>
  <c r="A387" i="5"/>
  <c r="M764" i="5"/>
  <c r="A764" i="5"/>
  <c r="M594" i="5"/>
  <c r="A594" i="5"/>
  <c r="M1340" i="5"/>
  <c r="A1340" i="5"/>
  <c r="M593" i="5"/>
  <c r="A593" i="5"/>
  <c r="M386" i="5"/>
  <c r="A386" i="5"/>
  <c r="M1339" i="5"/>
  <c r="A1339" i="5"/>
  <c r="I1339" i="5"/>
  <c r="M179" i="5"/>
  <c r="A179" i="5"/>
  <c r="M1338" i="5"/>
  <c r="A1338" i="5"/>
  <c r="M1337" i="5"/>
  <c r="A1337" i="5"/>
  <c r="M1336" i="5"/>
  <c r="A1336" i="5"/>
  <c r="M1335" i="5"/>
  <c r="A1335" i="5"/>
  <c r="M912" i="5"/>
  <c r="A912" i="5"/>
  <c r="I912" i="5"/>
  <c r="M303" i="5"/>
  <c r="A303" i="5"/>
  <c r="M178" i="5"/>
  <c r="A178" i="5"/>
  <c r="M1094" i="5"/>
  <c r="A1094" i="5"/>
  <c r="I1094" i="5"/>
  <c r="M474" i="5"/>
  <c r="A474" i="5"/>
  <c r="I474" i="5"/>
  <c r="M592" i="5"/>
  <c r="A592" i="5"/>
  <c r="I592" i="5"/>
  <c r="M591" i="5"/>
  <c r="A591" i="5"/>
  <c r="I591" i="5"/>
  <c r="M473" i="5"/>
  <c r="A473" i="5"/>
  <c r="I473" i="5"/>
  <c r="M472" i="5"/>
  <c r="A472" i="5"/>
  <c r="M590" i="5"/>
  <c r="A590" i="5"/>
  <c r="I590" i="5"/>
  <c r="M1093" i="5"/>
  <c r="A1093" i="5"/>
  <c r="I1093" i="5"/>
  <c r="M471" i="5"/>
  <c r="A471" i="5"/>
  <c r="I471" i="5"/>
  <c r="M589" i="5"/>
  <c r="A589" i="5"/>
  <c r="I589" i="5"/>
  <c r="M1334" i="5"/>
  <c r="A1334" i="5"/>
  <c r="I1334" i="5"/>
  <c r="M302" i="5"/>
  <c r="A302" i="5"/>
  <c r="M1333" i="5"/>
  <c r="A1333" i="5"/>
  <c r="M71" i="5"/>
  <c r="A71" i="5"/>
  <c r="I71" i="5"/>
  <c r="M911" i="5"/>
  <c r="A911" i="5"/>
  <c r="I911" i="5"/>
  <c r="M763" i="5"/>
  <c r="A763" i="5"/>
  <c r="M177" i="5"/>
  <c r="A177" i="5"/>
  <c r="M470" i="5"/>
  <c r="A470" i="5"/>
  <c r="M176" i="5"/>
  <c r="A176" i="5"/>
  <c r="M233" i="5"/>
  <c r="A233" i="5"/>
  <c r="M1332" i="5"/>
  <c r="A1332" i="5"/>
  <c r="M910" i="5"/>
  <c r="A910" i="5"/>
  <c r="M762" i="5"/>
  <c r="A762" i="5"/>
  <c r="I762" i="5"/>
  <c r="M24" i="5"/>
  <c r="A24" i="5"/>
  <c r="M70" i="5"/>
  <c r="A70" i="5"/>
  <c r="M761" i="5"/>
  <c r="A761" i="5"/>
  <c r="M1331" i="5"/>
  <c r="A1331" i="5"/>
  <c r="M232" i="5"/>
  <c r="A232" i="5"/>
  <c r="M909" i="5"/>
  <c r="A909" i="5"/>
  <c r="M469" i="5"/>
  <c r="A469" i="5"/>
  <c r="M1330" i="5"/>
  <c r="A1330" i="5"/>
  <c r="M231" i="5"/>
  <c r="A231" i="5"/>
  <c r="M126" i="5"/>
  <c r="A126" i="5"/>
  <c r="M908" i="5"/>
  <c r="A908" i="5"/>
  <c r="I908" i="5"/>
  <c r="M907" i="5"/>
  <c r="A907" i="5"/>
  <c r="I907" i="5"/>
  <c r="M760" i="5"/>
  <c r="A760" i="5"/>
  <c r="M385" i="5"/>
  <c r="A385" i="5"/>
  <c r="M1329" i="5"/>
  <c r="A1329" i="5"/>
  <c r="M125" i="5"/>
  <c r="A125" i="5"/>
  <c r="M588" i="5"/>
  <c r="A588" i="5"/>
  <c r="I588" i="5"/>
  <c r="M301" i="5"/>
  <c r="A301" i="5"/>
  <c r="M1328" i="5"/>
  <c r="A1328" i="5"/>
  <c r="M95" i="5"/>
  <c r="A95" i="5"/>
  <c r="M1327" i="5"/>
  <c r="A1327" i="5"/>
  <c r="M1092" i="5"/>
  <c r="A1092" i="5"/>
  <c r="M1091" i="5"/>
  <c r="A1091" i="5"/>
  <c r="M906" i="5"/>
  <c r="A906" i="5"/>
  <c r="M1090" i="5"/>
  <c r="A1090" i="5"/>
  <c r="M759" i="5"/>
  <c r="A759" i="5"/>
  <c r="M758" i="5"/>
  <c r="A758" i="5"/>
  <c r="M1326" i="5"/>
  <c r="A1326" i="5"/>
  <c r="M1089" i="5"/>
  <c r="A1089" i="5"/>
  <c r="M230" i="5"/>
  <c r="A230" i="5"/>
  <c r="M229" i="5"/>
  <c r="A229" i="5"/>
  <c r="M1088" i="5"/>
  <c r="A1088" i="5"/>
  <c r="M905" i="5"/>
  <c r="A905" i="5"/>
  <c r="M587" i="5"/>
  <c r="A587" i="5"/>
  <c r="M757" i="5"/>
  <c r="A757" i="5"/>
  <c r="I757" i="5"/>
  <c r="M124" i="5"/>
  <c r="A124" i="5"/>
  <c r="I124" i="5"/>
  <c r="M586" i="5"/>
  <c r="A586" i="5"/>
  <c r="M585" i="5"/>
  <c r="A585" i="5"/>
  <c r="M1087" i="5"/>
  <c r="A1087" i="5"/>
  <c r="M756" i="5"/>
  <c r="A756" i="5"/>
  <c r="M904" i="5"/>
  <c r="A904" i="5"/>
  <c r="M1086" i="5"/>
  <c r="A1086" i="5"/>
  <c r="I1086" i="5"/>
  <c r="M300" i="5"/>
  <c r="A300" i="5"/>
  <c r="M384" i="5"/>
  <c r="A384" i="5"/>
  <c r="M1085" i="5"/>
  <c r="A1085" i="5"/>
  <c r="M1325" i="5"/>
  <c r="A1325" i="5"/>
  <c r="I1325" i="5"/>
  <c r="M584" i="5"/>
  <c r="A584" i="5"/>
  <c r="I584" i="5"/>
  <c r="M299" i="5"/>
  <c r="A299" i="5"/>
  <c r="M1324" i="5"/>
  <c r="A1324" i="5"/>
  <c r="I1324" i="5"/>
  <c r="M228" i="5"/>
  <c r="A228" i="5"/>
  <c r="M755" i="5"/>
  <c r="A755" i="5"/>
  <c r="M468" i="5"/>
  <c r="A468" i="5"/>
  <c r="M383" i="5"/>
  <c r="A383" i="5"/>
  <c r="M903" i="5"/>
  <c r="A903" i="5"/>
  <c r="M50" i="5"/>
  <c r="A50" i="5"/>
  <c r="M467" i="5"/>
  <c r="A467" i="5"/>
  <c r="I467" i="5"/>
  <c r="M382" i="5"/>
  <c r="A382" i="5"/>
  <c r="M1323" i="5"/>
  <c r="A1323" i="5"/>
  <c r="M1322" i="5"/>
  <c r="A1322" i="5"/>
  <c r="M381" i="5"/>
  <c r="A381" i="5"/>
  <c r="I381" i="5"/>
  <c r="M227" i="5"/>
  <c r="A227" i="5"/>
  <c r="M1321" i="5"/>
  <c r="A1321" i="5"/>
  <c r="M754" i="5"/>
  <c r="A754" i="5"/>
  <c r="M1320" i="5"/>
  <c r="A1320" i="5"/>
  <c r="I1320" i="5"/>
  <c r="M1319" i="5"/>
  <c r="A1319" i="5"/>
  <c r="I1319" i="5"/>
  <c r="M583" i="5"/>
  <c r="A583" i="5"/>
  <c r="I583" i="5"/>
  <c r="M753" i="5"/>
  <c r="A753" i="5"/>
  <c r="I753" i="5"/>
  <c r="M1084" i="5"/>
  <c r="A1084" i="5"/>
  <c r="M752" i="5"/>
  <c r="A752" i="5"/>
  <c r="I752" i="5"/>
  <c r="M69" i="5"/>
  <c r="A69" i="5"/>
  <c r="I69" i="5"/>
  <c r="M1083" i="5"/>
  <c r="A1083" i="5"/>
  <c r="M68" i="5"/>
  <c r="A68" i="5"/>
  <c r="I68" i="5"/>
  <c r="M1082" i="5"/>
  <c r="A1082" i="5"/>
  <c r="M49" i="5"/>
  <c r="A49" i="5"/>
  <c r="M582" i="5"/>
  <c r="A582" i="5"/>
  <c r="M1318" i="5"/>
  <c r="A1318" i="5"/>
  <c r="M751" i="5"/>
  <c r="A751" i="5"/>
  <c r="I751" i="5"/>
  <c r="M1081" i="5"/>
  <c r="A1081" i="5"/>
  <c r="I1081" i="5"/>
  <c r="M750" i="5"/>
  <c r="A750" i="5"/>
  <c r="M1317" i="5"/>
  <c r="A1317" i="5"/>
  <c r="M1316" i="5"/>
  <c r="A1316" i="5"/>
  <c r="M175" i="5"/>
  <c r="A175" i="5"/>
  <c r="I175" i="5"/>
  <c r="M581" i="5"/>
  <c r="A581" i="5"/>
  <c r="I581" i="5"/>
  <c r="M1315" i="5"/>
  <c r="A1315" i="5"/>
  <c r="I1315" i="5"/>
  <c r="M749" i="5"/>
  <c r="A749" i="5"/>
  <c r="I749" i="5"/>
  <c r="M466" i="5"/>
  <c r="A466" i="5"/>
  <c r="M380" i="5"/>
  <c r="A380" i="5"/>
  <c r="M1314" i="5"/>
  <c r="A1314" i="5"/>
  <c r="I1314" i="5"/>
  <c r="M1080" i="5"/>
  <c r="A1080" i="5"/>
  <c r="M902" i="5"/>
  <c r="A902" i="5"/>
  <c r="M1313" i="5"/>
  <c r="A1313" i="5"/>
  <c r="M465" i="5"/>
  <c r="A465" i="5"/>
  <c r="I465" i="5"/>
  <c r="M580" i="5"/>
  <c r="A580" i="5"/>
  <c r="M464" i="5"/>
  <c r="A464" i="5"/>
  <c r="I464" i="5"/>
  <c r="M579" i="5"/>
  <c r="A579" i="5"/>
  <c r="I579" i="5"/>
  <c r="M901" i="5"/>
  <c r="A901" i="5"/>
  <c r="M123" i="5"/>
  <c r="A123" i="5"/>
  <c r="M67" i="5"/>
  <c r="A67" i="5"/>
  <c r="I67" i="5"/>
  <c r="M379" i="5"/>
  <c r="A379" i="5"/>
  <c r="M578" i="5"/>
  <c r="A578" i="5"/>
  <c r="M298" i="5"/>
  <c r="A298" i="5"/>
  <c r="M900" i="5"/>
  <c r="A900" i="5"/>
  <c r="M12" i="5"/>
  <c r="A12" i="5"/>
  <c r="M899" i="5"/>
  <c r="A899" i="5"/>
  <c r="M7" i="5"/>
  <c r="A7" i="5"/>
  <c r="M226" i="5"/>
  <c r="A226" i="5"/>
  <c r="M94" i="5"/>
  <c r="A94" i="5"/>
  <c r="M378" i="5"/>
  <c r="A378" i="5"/>
  <c r="M748" i="5"/>
  <c r="A748" i="5"/>
  <c r="M1079" i="5"/>
  <c r="A1079" i="5"/>
  <c r="M297" i="5"/>
  <c r="A297" i="5"/>
  <c r="M577" i="5"/>
  <c r="A577" i="5"/>
  <c r="M1312" i="5"/>
  <c r="A1312" i="5"/>
  <c r="I1312" i="5"/>
  <c r="M296" i="5"/>
  <c r="A296" i="5"/>
  <c r="M463" i="5"/>
  <c r="A463" i="5"/>
  <c r="M1311" i="5"/>
  <c r="A1311" i="5"/>
  <c r="M1078" i="5"/>
  <c r="A1078" i="5"/>
  <c r="I1078" i="5"/>
  <c r="M1077" i="5"/>
  <c r="A1077" i="5"/>
  <c r="M1310" i="5"/>
  <c r="A1310" i="5"/>
  <c r="I1310" i="5"/>
  <c r="M225" i="5"/>
  <c r="A225" i="5"/>
  <c r="M1076" i="5"/>
  <c r="A1076" i="5"/>
  <c r="I1076" i="5"/>
  <c r="M174" i="5"/>
  <c r="A174" i="5"/>
  <c r="I174" i="5"/>
  <c r="M747" i="5"/>
  <c r="A747" i="5"/>
  <c r="I747" i="5"/>
  <c r="M1075" i="5"/>
  <c r="A1075" i="5"/>
  <c r="M224" i="5"/>
  <c r="A224" i="5"/>
  <c r="M295" i="5"/>
  <c r="A295" i="5"/>
  <c r="M294" i="5"/>
  <c r="A294" i="5"/>
  <c r="M746" i="5"/>
  <c r="A746" i="5"/>
  <c r="M173" i="5"/>
  <c r="A173" i="5"/>
  <c r="M898" i="5"/>
  <c r="A898" i="5"/>
  <c r="M745" i="5"/>
  <c r="A745" i="5"/>
  <c r="M172" i="5"/>
  <c r="A172" i="5"/>
  <c r="M171" i="5"/>
  <c r="A171" i="5"/>
  <c r="M48" i="5"/>
  <c r="A48" i="5"/>
  <c r="M744" i="5"/>
  <c r="A744" i="5"/>
  <c r="M1309" i="5"/>
  <c r="A1309" i="5"/>
  <c r="I1309" i="5"/>
  <c r="M462" i="5"/>
  <c r="A462" i="5"/>
  <c r="M377" i="5"/>
  <c r="A377" i="5"/>
  <c r="M1308" i="5"/>
  <c r="A1308" i="5"/>
  <c r="M1307" i="5"/>
  <c r="A1307" i="5"/>
  <c r="M743" i="5"/>
  <c r="A743" i="5"/>
  <c r="I743" i="5"/>
  <c r="M742" i="5"/>
  <c r="A742" i="5"/>
  <c r="I742" i="5"/>
  <c r="M741" i="5"/>
  <c r="A741" i="5"/>
  <c r="I741" i="5"/>
  <c r="M740" i="5"/>
  <c r="A740" i="5"/>
  <c r="I740" i="5"/>
  <c r="M576" i="5"/>
  <c r="A576" i="5"/>
  <c r="M15" i="5"/>
  <c r="A15" i="5"/>
  <c r="M1306" i="5"/>
  <c r="A1306" i="5"/>
  <c r="I1306" i="5"/>
  <c r="M739" i="5"/>
  <c r="A739" i="5"/>
  <c r="M897" i="5"/>
  <c r="A897" i="5"/>
  <c r="M738" i="5"/>
  <c r="A738" i="5"/>
  <c r="I738" i="5"/>
  <c r="M293" i="5"/>
  <c r="A293" i="5"/>
  <c r="I293" i="5"/>
  <c r="M1074" i="5"/>
  <c r="A1074" i="5"/>
  <c r="M42" i="5"/>
  <c r="A42" i="5"/>
  <c r="M122" i="5"/>
  <c r="A122" i="5"/>
  <c r="M896" i="5"/>
  <c r="A896" i="5"/>
  <c r="M223" i="5"/>
  <c r="A223" i="5"/>
  <c r="I223" i="5"/>
  <c r="M1305" i="5"/>
  <c r="A1305" i="5"/>
  <c r="I1305" i="5"/>
  <c r="M575" i="5"/>
  <c r="A575" i="5"/>
  <c r="I575" i="5"/>
  <c r="M1073" i="5"/>
  <c r="A1073" i="5"/>
  <c r="M1072" i="5"/>
  <c r="A1072" i="5"/>
  <c r="M1304" i="5"/>
  <c r="A1304" i="5"/>
  <c r="M1303" i="5"/>
  <c r="A1303" i="5"/>
  <c r="M1302" i="5"/>
  <c r="A1302" i="5"/>
  <c r="M292" i="5"/>
  <c r="A292" i="5"/>
  <c r="M1071" i="5"/>
  <c r="A1071" i="5"/>
  <c r="I1071" i="5"/>
  <c r="M1301" i="5"/>
  <c r="A1301" i="5"/>
  <c r="M222" i="5"/>
  <c r="A222" i="5"/>
  <c r="M1070" i="5"/>
  <c r="A1070" i="5"/>
  <c r="M376" i="5"/>
  <c r="A376" i="5"/>
  <c r="M375" i="5"/>
  <c r="A375" i="5"/>
  <c r="M574" i="5"/>
  <c r="A574" i="5"/>
  <c r="I574" i="5"/>
  <c r="M895" i="5"/>
  <c r="A895" i="5"/>
  <c r="M221" i="5"/>
  <c r="A221" i="5"/>
  <c r="M1069" i="5"/>
  <c r="A1069" i="5"/>
  <c r="M894" i="5"/>
  <c r="A894" i="5"/>
  <c r="I894" i="5"/>
  <c r="M1300" i="5"/>
  <c r="A1300" i="5"/>
  <c r="I1300" i="5"/>
  <c r="M737" i="5"/>
  <c r="A737" i="5"/>
  <c r="M893" i="5"/>
  <c r="A893" i="5"/>
  <c r="M736" i="5"/>
  <c r="A736" i="5"/>
  <c r="I736" i="5"/>
  <c r="M1068" i="5"/>
  <c r="A1068" i="5"/>
  <c r="I1068" i="5"/>
  <c r="M170" i="5"/>
  <c r="A170" i="5"/>
  <c r="M93" i="5"/>
  <c r="A93" i="5"/>
  <c r="M573" i="5"/>
  <c r="A573" i="5"/>
  <c r="M1067" i="5"/>
  <c r="A1067" i="5"/>
  <c r="I1067" i="5"/>
  <c r="M461" i="5"/>
  <c r="A461" i="5"/>
  <c r="M892" i="5"/>
  <c r="A892" i="5"/>
  <c r="I892" i="5"/>
  <c r="M374" i="5"/>
  <c r="A374" i="5"/>
  <c r="M1299" i="5"/>
  <c r="A1299" i="5"/>
  <c r="M1298" i="5"/>
  <c r="A1298" i="5"/>
  <c r="M23" i="5"/>
  <c r="A23" i="5"/>
  <c r="M572" i="5"/>
  <c r="A572" i="5"/>
  <c r="I572" i="5"/>
  <c r="M169" i="5"/>
  <c r="A169" i="5"/>
  <c r="M1066" i="5"/>
  <c r="A1066" i="5"/>
  <c r="M1065" i="5"/>
  <c r="A1065" i="5"/>
  <c r="I1065" i="5"/>
  <c r="M891" i="5"/>
  <c r="A891" i="5"/>
  <c r="M1297" i="5"/>
  <c r="A1297" i="5"/>
  <c r="I1297" i="5"/>
  <c r="M22" i="5"/>
  <c r="A22" i="5"/>
  <c r="I22" i="5"/>
  <c r="M735" i="5"/>
  <c r="A735" i="5"/>
  <c r="M1296" i="5"/>
  <c r="A1296" i="5"/>
  <c r="M1295" i="5"/>
  <c r="A1295" i="5"/>
  <c r="I1295" i="5"/>
  <c r="M373" i="5"/>
  <c r="A373" i="5"/>
  <c r="M460" i="5"/>
  <c r="A460" i="5"/>
  <c r="I460" i="5"/>
  <c r="M1294" i="5"/>
  <c r="A1294" i="5"/>
  <c r="M372" i="5"/>
  <c r="A372" i="5"/>
  <c r="M1064" i="5"/>
  <c r="A1064" i="5"/>
  <c r="M571" i="5"/>
  <c r="A571" i="5"/>
  <c r="M66" i="5"/>
  <c r="A66" i="5"/>
  <c r="M291" i="5"/>
  <c r="A291" i="5"/>
  <c r="M1293" i="5"/>
  <c r="A1293" i="5"/>
  <c r="M168" i="5"/>
  <c r="A168" i="5"/>
  <c r="I168" i="5"/>
  <c r="M371" i="5"/>
  <c r="A371" i="5"/>
  <c r="M370" i="5"/>
  <c r="A370" i="5"/>
  <c r="M734" i="5"/>
  <c r="A734" i="5"/>
  <c r="M1292" i="5"/>
  <c r="A1292" i="5"/>
  <c r="M733" i="5"/>
  <c r="A733" i="5"/>
  <c r="I733" i="5"/>
  <c r="M1291" i="5"/>
  <c r="A1291" i="5"/>
  <c r="M1290" i="5"/>
  <c r="A1290" i="5"/>
  <c r="M1063" i="5"/>
  <c r="A1063" i="5"/>
  <c r="M570" i="5"/>
  <c r="A570" i="5"/>
  <c r="M732" i="5"/>
  <c r="A732" i="5"/>
  <c r="M65" i="5"/>
  <c r="A65" i="5"/>
  <c r="I65" i="5"/>
  <c r="M1289" i="5"/>
  <c r="A1289" i="5"/>
  <c r="M731" i="5"/>
  <c r="A731" i="5"/>
  <c r="M1288" i="5"/>
  <c r="A1288" i="5"/>
  <c r="M369" i="5"/>
  <c r="A369" i="5"/>
  <c r="I369" i="5"/>
  <c r="M1287" i="5"/>
  <c r="A1287" i="5"/>
  <c r="I1287" i="5"/>
  <c r="M459" i="5"/>
  <c r="A459" i="5"/>
  <c r="I459" i="5"/>
  <c r="M569" i="5"/>
  <c r="A569" i="5"/>
  <c r="I569" i="5"/>
  <c r="M1286" i="5"/>
  <c r="A1286" i="5"/>
  <c r="I1286" i="5"/>
  <c r="M1285" i="5"/>
  <c r="A1285" i="5"/>
  <c r="M1284" i="5"/>
  <c r="A1284" i="5"/>
  <c r="M64" i="5"/>
  <c r="A64" i="5"/>
  <c r="M730" i="5"/>
  <c r="A730" i="5"/>
  <c r="I730" i="5"/>
  <c r="M729" i="5"/>
  <c r="A729" i="5"/>
  <c r="I729" i="5"/>
  <c r="M1283" i="5"/>
  <c r="A1283" i="5"/>
  <c r="I1283" i="5"/>
  <c r="M890" i="5"/>
  <c r="A890" i="5"/>
  <c r="I890" i="5"/>
  <c r="M1062" i="5"/>
  <c r="A1062" i="5"/>
  <c r="M458" i="5"/>
  <c r="A458" i="5"/>
  <c r="M290" i="5"/>
  <c r="A290" i="5"/>
  <c r="I290" i="5"/>
  <c r="M889" i="5"/>
  <c r="A889" i="5"/>
  <c r="M289" i="5"/>
  <c r="A289" i="5"/>
  <c r="I289" i="5"/>
  <c r="M1061" i="5"/>
  <c r="A1061" i="5"/>
  <c r="I1061" i="5"/>
  <c r="M1282" i="5"/>
  <c r="A1282" i="5"/>
  <c r="M457" i="5"/>
  <c r="A457" i="5"/>
  <c r="I457" i="5"/>
  <c r="M1060" i="5"/>
  <c r="A1060" i="5"/>
  <c r="M1281" i="5"/>
  <c r="A1281" i="5"/>
  <c r="M21" i="5"/>
  <c r="A21" i="5"/>
  <c r="M288" i="5"/>
  <c r="A288" i="5"/>
  <c r="M1280" i="5"/>
  <c r="A1280" i="5"/>
  <c r="I1280" i="5"/>
  <c r="M728" i="5"/>
  <c r="A728" i="5"/>
  <c r="I728" i="5"/>
  <c r="M1059" i="5"/>
  <c r="A1059" i="5"/>
  <c r="I1059" i="5"/>
  <c r="M287" i="5"/>
  <c r="A287" i="5"/>
  <c r="I287" i="5"/>
  <c r="M727" i="5"/>
  <c r="A727" i="5"/>
  <c r="M568" i="5"/>
  <c r="A568" i="5"/>
  <c r="I568" i="5"/>
  <c r="M456" i="5"/>
  <c r="A456" i="5"/>
  <c r="I456" i="5"/>
  <c r="M726" i="5"/>
  <c r="A726" i="5"/>
  <c r="I726" i="5"/>
  <c r="M888" i="5"/>
  <c r="A888" i="5"/>
  <c r="I888" i="5"/>
  <c r="M725" i="5"/>
  <c r="A725" i="5"/>
  <c r="M455" i="5"/>
  <c r="A455" i="5"/>
  <c r="M1058" i="5"/>
  <c r="A1058" i="5"/>
  <c r="I1058" i="5"/>
  <c r="M1279" i="5"/>
  <c r="A1279" i="5"/>
  <c r="M887" i="5"/>
  <c r="A887" i="5"/>
  <c r="M567" i="5"/>
  <c r="A567" i="5"/>
  <c r="M1057" i="5"/>
  <c r="A1057" i="5"/>
  <c r="M1056" i="5"/>
  <c r="A1056" i="5"/>
  <c r="I1056" i="5"/>
  <c r="M724" i="5"/>
  <c r="A724" i="5"/>
  <c r="M368" i="5"/>
  <c r="A368" i="5"/>
  <c r="M367" i="5"/>
  <c r="A367" i="5"/>
  <c r="I367" i="5"/>
  <c r="M566" i="5"/>
  <c r="A566" i="5"/>
  <c r="M723" i="5"/>
  <c r="A723" i="5"/>
  <c r="M1278" i="5"/>
  <c r="A1278" i="5"/>
  <c r="M286" i="5"/>
  <c r="A286" i="5"/>
  <c r="M167" i="5"/>
  <c r="A167" i="5"/>
  <c r="M565" i="5"/>
  <c r="A565" i="5"/>
  <c r="M220" i="5"/>
  <c r="A220" i="5"/>
  <c r="M1277" i="5"/>
  <c r="A1277" i="5"/>
  <c r="M454" i="5"/>
  <c r="A454" i="5"/>
  <c r="I454" i="5"/>
  <c r="M1055" i="5"/>
  <c r="A1055" i="5"/>
  <c r="M722" i="5"/>
  <c r="A722" i="5"/>
  <c r="M886" i="5"/>
  <c r="A886" i="5"/>
  <c r="I886" i="5"/>
  <c r="M1054" i="5"/>
  <c r="A1054" i="5"/>
  <c r="I1054" i="5"/>
  <c r="M1276" i="5"/>
  <c r="A1276" i="5"/>
  <c r="M453" i="5"/>
  <c r="A453" i="5"/>
  <c r="I453" i="5"/>
  <c r="M885" i="5"/>
  <c r="A885" i="5"/>
  <c r="M366" i="5"/>
  <c r="A366" i="5"/>
  <c r="M1053" i="5"/>
  <c r="A1053" i="5"/>
  <c r="M285" i="5"/>
  <c r="A285" i="5"/>
  <c r="I285" i="5"/>
  <c r="M884" i="5"/>
  <c r="A884" i="5"/>
  <c r="M92" i="5"/>
  <c r="A92" i="5"/>
  <c r="M452" i="5"/>
  <c r="A452" i="5"/>
  <c r="M1275" i="5"/>
  <c r="A1275" i="5"/>
  <c r="M91" i="5"/>
  <c r="A91" i="5"/>
  <c r="M451" i="5"/>
  <c r="A451" i="5"/>
  <c r="I451" i="5"/>
  <c r="M41" i="5"/>
  <c r="A41" i="5"/>
  <c r="M1052" i="5"/>
  <c r="A1052" i="5"/>
  <c r="M721" i="5"/>
  <c r="A721" i="5"/>
  <c r="I721" i="5"/>
  <c r="M720" i="5"/>
  <c r="A720" i="5"/>
  <c r="M166" i="5"/>
  <c r="A166" i="5"/>
  <c r="M219" i="5"/>
  <c r="A219" i="5"/>
  <c r="M1051" i="5"/>
  <c r="A1051" i="5"/>
  <c r="M90" i="5"/>
  <c r="A90" i="5"/>
  <c r="M1050" i="5"/>
  <c r="A1050" i="5"/>
  <c r="M450" i="5"/>
  <c r="A450" i="5"/>
  <c r="I450" i="5"/>
  <c r="M883" i="5"/>
  <c r="A883" i="5"/>
  <c r="I883" i="5"/>
  <c r="M564" i="5"/>
  <c r="A564" i="5"/>
  <c r="M719" i="5"/>
  <c r="A719" i="5"/>
  <c r="M882" i="5"/>
  <c r="A882" i="5"/>
  <c r="M1049" i="5"/>
  <c r="A1049" i="5"/>
  <c r="M1274" i="5"/>
  <c r="A1274" i="5"/>
  <c r="M563" i="5"/>
  <c r="A563" i="5"/>
  <c r="M449" i="5"/>
  <c r="A449" i="5"/>
  <c r="M1273" i="5"/>
  <c r="A1273" i="5"/>
  <c r="I1273" i="5"/>
  <c r="M1272" i="5"/>
  <c r="A1272" i="5"/>
  <c r="M40" i="5"/>
  <c r="A40" i="5"/>
  <c r="I40" i="5"/>
  <c r="M1271" i="5"/>
  <c r="A1271" i="5"/>
  <c r="M284" i="5"/>
  <c r="A284" i="5"/>
  <c r="I284" i="5"/>
  <c r="M165" i="5"/>
  <c r="A165" i="5"/>
  <c r="I165" i="5"/>
  <c r="M1048" i="5"/>
  <c r="A1048" i="5"/>
  <c r="I1048" i="5"/>
  <c r="M562" i="5"/>
  <c r="A562" i="5"/>
  <c r="M881" i="5"/>
  <c r="A881" i="5"/>
  <c r="I881" i="5"/>
  <c r="M448" i="5"/>
  <c r="A448" i="5"/>
  <c r="I448" i="5"/>
  <c r="M218" i="5"/>
  <c r="A218" i="5"/>
  <c r="I218" i="5"/>
  <c r="M121" i="5"/>
  <c r="A121" i="5"/>
  <c r="M283" i="5"/>
  <c r="A283" i="5"/>
  <c r="I283" i="5"/>
  <c r="M880" i="5"/>
  <c r="A880" i="5"/>
  <c r="I880" i="5"/>
  <c r="M20" i="5"/>
  <c r="A20" i="5"/>
  <c r="M718" i="5"/>
  <c r="A718" i="5"/>
  <c r="I718" i="5"/>
  <c r="M47" i="5"/>
  <c r="A47" i="5"/>
  <c r="M365" i="5"/>
  <c r="A365" i="5"/>
  <c r="M1270" i="5"/>
  <c r="A1270" i="5"/>
  <c r="M282" i="5"/>
  <c r="A282" i="5"/>
  <c r="M447" i="5"/>
  <c r="A447" i="5"/>
  <c r="M561" i="5"/>
  <c r="A561" i="5"/>
  <c r="M63" i="5"/>
  <c r="A63" i="5"/>
  <c r="M164" i="5"/>
  <c r="A164" i="5"/>
  <c r="I164" i="5"/>
  <c r="M364" i="5"/>
  <c r="A364" i="5"/>
  <c r="M89" i="5"/>
  <c r="A89" i="5"/>
  <c r="M717" i="5"/>
  <c r="A717" i="5"/>
  <c r="M281" i="5"/>
  <c r="A281" i="5"/>
  <c r="M446" i="5"/>
  <c r="A446" i="5"/>
  <c r="M560" i="5"/>
  <c r="A560" i="5"/>
  <c r="M716" i="5"/>
  <c r="A716" i="5"/>
  <c r="M280" i="5"/>
  <c r="A280" i="5"/>
  <c r="M715" i="5"/>
  <c r="A715" i="5"/>
  <c r="M1047" i="5"/>
  <c r="A1047" i="5"/>
  <c r="I1047" i="5"/>
  <c r="M714" i="5"/>
  <c r="A714" i="5"/>
  <c r="M1046" i="5"/>
  <c r="A1046" i="5"/>
  <c r="M163" i="5"/>
  <c r="A163" i="5"/>
  <c r="M713" i="5"/>
  <c r="A713" i="5"/>
  <c r="I713" i="5"/>
  <c r="M445" i="5"/>
  <c r="A445" i="5"/>
  <c r="I445" i="5"/>
  <c r="M1045" i="5"/>
  <c r="A1045" i="5"/>
  <c r="I1045" i="5"/>
  <c r="M1269" i="5"/>
  <c r="A1269" i="5"/>
  <c r="M120" i="5"/>
  <c r="A120" i="5"/>
  <c r="I120" i="5"/>
  <c r="M1044" i="5"/>
  <c r="A1044" i="5"/>
  <c r="I1044" i="5"/>
  <c r="M1268" i="5"/>
  <c r="A1268" i="5"/>
  <c r="M88" i="5"/>
  <c r="A88" i="5"/>
  <c r="M559" i="5"/>
  <c r="A559" i="5"/>
  <c r="M1043" i="5"/>
  <c r="A1043" i="5"/>
  <c r="M712" i="5"/>
  <c r="A712" i="5"/>
  <c r="I712" i="5"/>
  <c r="M1267" i="5"/>
  <c r="A1267" i="5"/>
  <c r="M162" i="5"/>
  <c r="A162" i="5"/>
  <c r="I162" i="5"/>
  <c r="M711" i="5"/>
  <c r="A711" i="5"/>
  <c r="I711" i="5"/>
  <c r="M363" i="5"/>
  <c r="A363" i="5"/>
  <c r="I363" i="5"/>
  <c r="M87" i="5"/>
  <c r="A87" i="5"/>
  <c r="I87" i="5"/>
  <c r="M1266" i="5"/>
  <c r="A1266" i="5"/>
  <c r="M8" i="5"/>
  <c r="A8" i="5"/>
  <c r="I8" i="5"/>
  <c r="M879" i="5"/>
  <c r="A879" i="5"/>
  <c r="M558" i="5"/>
  <c r="A558" i="5"/>
  <c r="M1265" i="5"/>
  <c r="A1265" i="5"/>
  <c r="M710" i="5"/>
  <c r="A710" i="5"/>
  <c r="M279" i="5"/>
  <c r="A279" i="5"/>
  <c r="M444" i="5"/>
  <c r="A444" i="5"/>
  <c r="M119" i="5"/>
  <c r="A119" i="5"/>
  <c r="M1264" i="5"/>
  <c r="A1264" i="5"/>
  <c r="M362" i="5"/>
  <c r="A362" i="5"/>
  <c r="M1042" i="5"/>
  <c r="A1042" i="5"/>
  <c r="M557" i="5"/>
  <c r="A557" i="5"/>
  <c r="I557" i="5"/>
  <c r="M1263" i="5"/>
  <c r="A1263" i="5"/>
  <c r="M556" i="5"/>
  <c r="A556" i="5"/>
  <c r="M1041" i="5"/>
  <c r="A1041" i="5"/>
  <c r="I1041" i="5"/>
  <c r="M361" i="5"/>
  <c r="A361" i="5"/>
  <c r="M6" i="5"/>
  <c r="A6" i="5"/>
  <c r="M1262" i="5"/>
  <c r="A1262" i="5"/>
  <c r="M1261" i="5"/>
  <c r="A1261" i="5"/>
  <c r="M1040" i="5"/>
  <c r="A1040" i="5"/>
  <c r="M709" i="5"/>
  <c r="A709" i="5"/>
  <c r="I709" i="5"/>
  <c r="M1260" i="5"/>
  <c r="A1260" i="5"/>
  <c r="M1259" i="5"/>
  <c r="A1259" i="5"/>
  <c r="M1039" i="5"/>
  <c r="A1039" i="5"/>
  <c r="I1039" i="5"/>
  <c r="M31" i="5"/>
  <c r="A31" i="5"/>
  <c r="M708" i="5"/>
  <c r="A708" i="5"/>
  <c r="M118" i="5"/>
  <c r="A118" i="5"/>
  <c r="I118" i="5"/>
  <c r="M1258" i="5"/>
  <c r="A1258" i="5"/>
  <c r="M1257" i="5"/>
  <c r="A1257" i="5"/>
  <c r="M360" i="5"/>
  <c r="A360" i="5"/>
  <c r="I360" i="5"/>
  <c r="M161" i="5"/>
  <c r="A161" i="5"/>
  <c r="M1256" i="5"/>
  <c r="A1256" i="5"/>
  <c r="M1255" i="5"/>
  <c r="A1255" i="5"/>
  <c r="M1254" i="5"/>
  <c r="A1254" i="5"/>
  <c r="M217" i="5"/>
  <c r="A217" i="5"/>
  <c r="M555" i="5"/>
  <c r="A555" i="5"/>
  <c r="M216" i="5"/>
  <c r="A216" i="5"/>
  <c r="M30" i="5"/>
  <c r="A30" i="5"/>
  <c r="M1253" i="5"/>
  <c r="A1253" i="5"/>
  <c r="M878" i="5"/>
  <c r="A878" i="5"/>
  <c r="M1252" i="5"/>
  <c r="A1252" i="5"/>
  <c r="M278" i="5"/>
  <c r="A278" i="5"/>
  <c r="M707" i="5"/>
  <c r="A707" i="5"/>
  <c r="I707" i="5"/>
  <c r="M62" i="5"/>
  <c r="A62" i="5"/>
  <c r="I62" i="5"/>
  <c r="M1251" i="5"/>
  <c r="A1251" i="5"/>
  <c r="M160" i="5"/>
  <c r="A160" i="5"/>
  <c r="M706" i="5"/>
  <c r="A706" i="5"/>
  <c r="M1250" i="5"/>
  <c r="A1250" i="5"/>
  <c r="M1249" i="5"/>
  <c r="A1249" i="5"/>
  <c r="I1249" i="5"/>
  <c r="M215" i="5"/>
  <c r="A215" i="5"/>
  <c r="I215" i="5"/>
  <c r="M877" i="5"/>
  <c r="A877" i="5"/>
  <c r="M39" i="5"/>
  <c r="A39" i="5"/>
  <c r="M359" i="5"/>
  <c r="A359" i="5"/>
  <c r="M1248" i="5"/>
  <c r="A1248" i="5"/>
  <c r="I1248" i="5"/>
  <c r="M1247" i="5"/>
  <c r="A1247" i="5"/>
  <c r="I1247" i="5"/>
  <c r="M554" i="5"/>
  <c r="A554" i="5"/>
  <c r="M277" i="5"/>
  <c r="A277" i="5"/>
  <c r="M276" i="5"/>
  <c r="A276" i="5"/>
  <c r="M1038" i="5"/>
  <c r="A1038" i="5"/>
  <c r="M705" i="5"/>
  <c r="A705" i="5"/>
  <c r="M876" i="5"/>
  <c r="A876" i="5"/>
  <c r="M443" i="5"/>
  <c r="A443" i="5"/>
  <c r="M1246" i="5"/>
  <c r="A1246" i="5"/>
  <c r="M704" i="5"/>
  <c r="A704" i="5"/>
  <c r="M1245" i="5"/>
  <c r="A1245" i="5"/>
  <c r="M703" i="5"/>
  <c r="A703" i="5"/>
  <c r="M702" i="5"/>
  <c r="A702" i="5"/>
  <c r="M1037" i="5"/>
  <c r="A1037" i="5"/>
  <c r="I1037" i="5"/>
  <c r="M1036" i="5"/>
  <c r="A1036" i="5"/>
  <c r="M5" i="5"/>
  <c r="A5" i="5"/>
  <c r="M275" i="5"/>
  <c r="A275" i="5"/>
  <c r="M1244" i="5"/>
  <c r="A1244" i="5"/>
  <c r="M553" i="5"/>
  <c r="A553" i="5"/>
  <c r="M1035" i="5"/>
  <c r="A1035" i="5"/>
  <c r="M1034" i="5"/>
  <c r="A1034" i="5"/>
  <c r="I1034" i="5"/>
  <c r="M358" i="5"/>
  <c r="A358" i="5"/>
  <c r="M1033" i="5"/>
  <c r="A1033" i="5"/>
  <c r="M1243" i="5"/>
  <c r="A1243" i="5"/>
  <c r="M357" i="5"/>
  <c r="A357" i="5"/>
  <c r="I357" i="5"/>
  <c r="M442" i="5"/>
  <c r="A442" i="5"/>
  <c r="I442" i="5"/>
  <c r="M1242" i="5"/>
  <c r="A1242" i="5"/>
  <c r="M274" i="5"/>
  <c r="A274" i="5"/>
  <c r="I274" i="5"/>
  <c r="M1241" i="5"/>
  <c r="A1241" i="5"/>
  <c r="M1032" i="5"/>
  <c r="A1032" i="5"/>
  <c r="I1032" i="5"/>
  <c r="M159" i="5"/>
  <c r="A159" i="5"/>
  <c r="M552" i="5"/>
  <c r="A552" i="5"/>
  <c r="I552" i="5"/>
  <c r="M214" i="5"/>
  <c r="A214" i="5"/>
  <c r="M1240" i="5"/>
  <c r="A1240" i="5"/>
  <c r="M701" i="5"/>
  <c r="A701" i="5"/>
  <c r="M158" i="5"/>
  <c r="A158" i="5"/>
  <c r="M273" i="5"/>
  <c r="A273" i="5"/>
  <c r="M213" i="5"/>
  <c r="A213" i="5"/>
  <c r="I213" i="5"/>
  <c r="M1031" i="5"/>
  <c r="A1031" i="5"/>
  <c r="M1030" i="5"/>
  <c r="A1030" i="5"/>
  <c r="M1239" i="5"/>
  <c r="A1239" i="5"/>
  <c r="I1239" i="5"/>
  <c r="M1029" i="5"/>
  <c r="A1029" i="5"/>
  <c r="M1028" i="5"/>
  <c r="A1028" i="5"/>
  <c r="M86" i="5"/>
  <c r="A86" i="5"/>
  <c r="M356" i="5"/>
  <c r="A356" i="5"/>
  <c r="M212" i="5"/>
  <c r="A212" i="5"/>
  <c r="M1027" i="5"/>
  <c r="A1027" i="5"/>
  <c r="M157" i="5"/>
  <c r="A157" i="5"/>
  <c r="M1026" i="5"/>
  <c r="A1026" i="5"/>
  <c r="M875" i="5"/>
  <c r="A875" i="5"/>
  <c r="I875" i="5"/>
  <c r="M1238" i="5"/>
  <c r="A1238" i="5"/>
  <c r="M874" i="5"/>
  <c r="A874" i="5"/>
  <c r="M156" i="5"/>
  <c r="A156" i="5"/>
  <c r="M211" i="5"/>
  <c r="A211" i="5"/>
  <c r="I211" i="5"/>
  <c r="M551" i="5"/>
  <c r="A551" i="5"/>
  <c r="I551" i="5"/>
  <c r="M210" i="5"/>
  <c r="A210" i="5"/>
  <c r="M873" i="5"/>
  <c r="A873" i="5"/>
  <c r="M550" i="5"/>
  <c r="A550" i="5"/>
  <c r="M1025" i="5"/>
  <c r="A1025" i="5"/>
  <c r="M1237" i="5"/>
  <c r="A1237" i="5"/>
  <c r="M29" i="5"/>
  <c r="A29" i="5"/>
  <c r="M1024" i="5"/>
  <c r="A1024" i="5"/>
  <c r="M38" i="5"/>
  <c r="A38" i="5"/>
  <c r="M700" i="5"/>
  <c r="A700" i="5"/>
  <c r="M272" i="5"/>
  <c r="A272" i="5"/>
  <c r="M209" i="5"/>
  <c r="A209" i="5"/>
  <c r="I209" i="5"/>
  <c r="M872" i="5"/>
  <c r="A872" i="5"/>
  <c r="I872" i="5"/>
  <c r="M441" i="5"/>
  <c r="A441" i="5"/>
  <c r="M1236" i="5"/>
  <c r="A1236" i="5"/>
  <c r="M37" i="5"/>
  <c r="A37" i="5"/>
  <c r="M440" i="5"/>
  <c r="A440" i="5"/>
  <c r="M699" i="5"/>
  <c r="A699" i="5"/>
  <c r="I699" i="5"/>
  <c r="M698" i="5"/>
  <c r="A698" i="5"/>
  <c r="M697" i="5"/>
  <c r="A697" i="5"/>
  <c r="M696" i="5"/>
  <c r="A696" i="5"/>
  <c r="M1235" i="5"/>
  <c r="A1235" i="5"/>
  <c r="M85" i="5"/>
  <c r="A85" i="5"/>
  <c r="M1023" i="5"/>
  <c r="A1023" i="5"/>
  <c r="M1022" i="5"/>
  <c r="A1022" i="5"/>
  <c r="M1021" i="5"/>
  <c r="A1021" i="5"/>
  <c r="M549" i="5"/>
  <c r="A549" i="5"/>
  <c r="M439" i="5"/>
  <c r="A439" i="5"/>
  <c r="M1020" i="5"/>
  <c r="A1020" i="5"/>
  <c r="I1020" i="5"/>
  <c r="M1019" i="5"/>
  <c r="A1019" i="5"/>
  <c r="M548" i="5"/>
  <c r="A548" i="5"/>
  <c r="M1234" i="5"/>
  <c r="A1234" i="5"/>
  <c r="M695" i="5"/>
  <c r="A695" i="5"/>
  <c r="M871" i="5"/>
  <c r="A871" i="5"/>
  <c r="M870" i="5"/>
  <c r="A870" i="5"/>
  <c r="I870" i="5"/>
  <c r="M1018" i="5"/>
  <c r="A1018" i="5"/>
  <c r="M271" i="5"/>
  <c r="A271" i="5"/>
  <c r="I271" i="5"/>
  <c r="M155" i="5"/>
  <c r="A155" i="5"/>
  <c r="M438" i="5"/>
  <c r="A438" i="5"/>
  <c r="M869" i="5"/>
  <c r="A869" i="5"/>
  <c r="M154" i="5"/>
  <c r="A154" i="5"/>
  <c r="I154" i="5"/>
  <c r="M153" i="5"/>
  <c r="A153" i="5"/>
  <c r="M694" i="5"/>
  <c r="A694" i="5"/>
  <c r="M1017" i="5"/>
  <c r="A1017" i="5"/>
  <c r="I1017" i="5"/>
  <c r="M84" i="5"/>
  <c r="A84" i="5"/>
  <c r="I84" i="5"/>
  <c r="M868" i="5"/>
  <c r="A868" i="5"/>
  <c r="M355" i="5"/>
  <c r="A355" i="5"/>
  <c r="M1016" i="5"/>
  <c r="A1016" i="5"/>
  <c r="M693" i="5"/>
  <c r="A693" i="5"/>
  <c r="M547" i="5"/>
  <c r="A547" i="5"/>
  <c r="M692" i="5"/>
  <c r="A692" i="5"/>
  <c r="M1233" i="5"/>
  <c r="A1233" i="5"/>
  <c r="M691" i="5"/>
  <c r="A691" i="5"/>
  <c r="M152" i="5"/>
  <c r="A152" i="5"/>
  <c r="M117" i="5"/>
  <c r="A117" i="5"/>
  <c r="M354" i="5"/>
  <c r="A354" i="5"/>
  <c r="I354" i="5"/>
  <c r="M1232" i="5"/>
  <c r="A1232" i="5"/>
  <c r="M1015" i="5"/>
  <c r="A1015" i="5"/>
  <c r="I1015" i="5"/>
  <c r="M1014" i="5"/>
  <c r="A1014" i="5"/>
  <c r="I1014" i="5"/>
  <c r="M867" i="5"/>
  <c r="A867" i="5"/>
  <c r="M1231" i="5"/>
  <c r="A1231" i="5"/>
  <c r="I1231" i="5"/>
  <c r="M866" i="5"/>
  <c r="A866" i="5"/>
  <c r="M690" i="5"/>
  <c r="A690" i="5"/>
  <c r="M1230" i="5"/>
  <c r="A1230" i="5"/>
  <c r="M83" i="5"/>
  <c r="A83" i="5"/>
  <c r="M437" i="5"/>
  <c r="A437" i="5"/>
  <c r="M546" i="5"/>
  <c r="A546" i="5"/>
  <c r="M270" i="5"/>
  <c r="A270" i="5"/>
  <c r="M689" i="5"/>
  <c r="A689" i="5"/>
  <c r="M116" i="5"/>
  <c r="A116" i="5"/>
  <c r="M1013" i="5"/>
  <c r="A1013" i="5"/>
  <c r="M353" i="5"/>
  <c r="A353" i="5"/>
  <c r="M688" i="5"/>
  <c r="A688" i="5"/>
  <c r="M436" i="5"/>
  <c r="A436" i="5"/>
  <c r="M545" i="5"/>
  <c r="A545" i="5"/>
  <c r="M1229" i="5"/>
  <c r="A1229" i="5"/>
  <c r="M1228" i="5"/>
  <c r="A1228" i="5"/>
  <c r="M1227" i="5"/>
  <c r="A1227" i="5"/>
  <c r="M4" i="5"/>
  <c r="A4" i="5"/>
  <c r="M865" i="5"/>
  <c r="A865" i="5"/>
  <c r="M115" i="5"/>
  <c r="A115" i="5"/>
  <c r="I115" i="5"/>
  <c r="M687" i="5"/>
  <c r="A687" i="5"/>
  <c r="I687" i="5"/>
  <c r="M1226" i="5"/>
  <c r="A1226" i="5"/>
  <c r="M686" i="5"/>
  <c r="A686" i="5"/>
  <c r="M1225" i="5"/>
  <c r="A1225" i="5"/>
  <c r="M1224" i="5"/>
  <c r="A1224" i="5"/>
  <c r="M864" i="5"/>
  <c r="A864" i="5"/>
  <c r="I864" i="5"/>
  <c r="M435" i="5"/>
  <c r="A435" i="5"/>
  <c r="M544" i="5"/>
  <c r="A544" i="5"/>
  <c r="M1223" i="5"/>
  <c r="A1223" i="5"/>
  <c r="M434" i="5"/>
  <c r="A434" i="5"/>
  <c r="M433" i="5"/>
  <c r="A433" i="5"/>
  <c r="M352" i="5"/>
  <c r="A352" i="5"/>
  <c r="M685" i="5"/>
  <c r="A685" i="5"/>
  <c r="M351" i="5"/>
  <c r="A351" i="5"/>
  <c r="M543" i="5"/>
  <c r="A543" i="5"/>
  <c r="M1222" i="5"/>
  <c r="A1222" i="5"/>
  <c r="I1222" i="5"/>
  <c r="M1012" i="5"/>
  <c r="A1012" i="5"/>
  <c r="I1012" i="5"/>
  <c r="M1011" i="5"/>
  <c r="A1011" i="5"/>
  <c r="I1011" i="5"/>
  <c r="M350" i="5"/>
  <c r="A350" i="5"/>
  <c r="M1010" i="5"/>
  <c r="A1010" i="5"/>
  <c r="M684" i="5"/>
  <c r="A684" i="5"/>
  <c r="M432" i="5"/>
  <c r="A432" i="5"/>
  <c r="M1221" i="5"/>
  <c r="A1221" i="5"/>
  <c r="M1220" i="5"/>
  <c r="A1220" i="5"/>
  <c r="M46" i="5"/>
  <c r="A46" i="5"/>
  <c r="M431" i="5"/>
  <c r="A431" i="5"/>
  <c r="M863" i="5"/>
  <c r="A863" i="5"/>
  <c r="M430" i="5"/>
  <c r="A430" i="5"/>
  <c r="M1219" i="5"/>
  <c r="A1219" i="5"/>
  <c r="M1218" i="5"/>
  <c r="A1218" i="5"/>
  <c r="M1217" i="5"/>
  <c r="A1217" i="5"/>
  <c r="I1217" i="5"/>
  <c r="M862" i="5"/>
  <c r="A862" i="5"/>
  <c r="I862" i="5"/>
  <c r="M542" i="5"/>
  <c r="A542" i="5"/>
  <c r="M349" i="5"/>
  <c r="A349" i="5"/>
  <c r="I349" i="5"/>
  <c r="M1216" i="5"/>
  <c r="A1216" i="5"/>
  <c r="M683" i="5"/>
  <c r="A683" i="5"/>
  <c r="M1215" i="5"/>
  <c r="A1215" i="5"/>
  <c r="M541" i="5"/>
  <c r="A541" i="5"/>
  <c r="M1009" i="5"/>
  <c r="A1009" i="5"/>
  <c r="I1009" i="5"/>
  <c r="M1008" i="5"/>
  <c r="A1008" i="5"/>
  <c r="M151" i="5"/>
  <c r="A151" i="5"/>
  <c r="I151" i="5"/>
  <c r="M1007" i="5"/>
  <c r="A1007" i="5"/>
  <c r="M1006" i="5"/>
  <c r="A1006" i="5"/>
  <c r="I1006" i="5"/>
  <c r="M1214" i="5"/>
  <c r="A1214" i="5"/>
  <c r="I1214" i="5"/>
  <c r="M1213" i="5"/>
  <c r="A1213" i="5"/>
  <c r="M82" i="5"/>
  <c r="A82" i="5"/>
  <c r="M861" i="5"/>
  <c r="A861" i="5"/>
  <c r="I861" i="5"/>
  <c r="M81" i="5"/>
  <c r="A81" i="5"/>
  <c r="M208" i="5"/>
  <c r="A208" i="5"/>
  <c r="I208" i="5"/>
  <c r="M114" i="5"/>
  <c r="A114" i="5"/>
  <c r="M540" i="5"/>
  <c r="A540" i="5"/>
  <c r="M1212" i="5"/>
  <c r="A1212" i="5"/>
  <c r="I1212" i="5"/>
  <c r="M269" i="5"/>
  <c r="A269" i="5"/>
  <c r="M1005" i="5"/>
  <c r="A1005" i="5"/>
  <c r="I1005" i="5"/>
  <c r="M207" i="5"/>
  <c r="A207" i="5"/>
  <c r="M1211" i="5"/>
  <c r="A1211" i="5"/>
  <c r="M348" i="5"/>
  <c r="A348" i="5"/>
  <c r="M268" i="5"/>
  <c r="A268" i="5"/>
  <c r="I268" i="5"/>
  <c r="M539" i="5"/>
  <c r="A539" i="5"/>
  <c r="M429" i="5"/>
  <c r="A429" i="5"/>
  <c r="M538" i="5"/>
  <c r="A538" i="5"/>
  <c r="I538" i="5"/>
  <c r="M1210" i="5"/>
  <c r="A1210" i="5"/>
  <c r="M1004" i="5"/>
  <c r="A1004" i="5"/>
  <c r="I1004" i="5"/>
  <c r="M347" i="5"/>
  <c r="A347" i="5"/>
  <c r="I347" i="5"/>
  <c r="M61" i="5"/>
  <c r="A61" i="5"/>
  <c r="M206" i="5"/>
  <c r="A206" i="5"/>
  <c r="M682" i="5"/>
  <c r="A682" i="5"/>
  <c r="I682" i="5"/>
  <c r="M860" i="5"/>
  <c r="A860" i="5"/>
  <c r="M1209" i="5"/>
  <c r="A1209" i="5"/>
  <c r="M1208" i="5"/>
  <c r="A1208" i="5"/>
  <c r="M681" i="5"/>
  <c r="A681" i="5"/>
  <c r="M267" i="5"/>
  <c r="A267" i="5"/>
  <c r="M346" i="5"/>
  <c r="A346" i="5"/>
  <c r="M266" i="5"/>
  <c r="A266" i="5"/>
  <c r="M1207" i="5"/>
  <c r="A1207" i="5"/>
  <c r="I1207" i="5"/>
  <c r="M1206" i="5"/>
  <c r="A1206" i="5"/>
  <c r="M45" i="5"/>
  <c r="A45" i="5"/>
  <c r="M680" i="5"/>
  <c r="A680" i="5"/>
  <c r="M859" i="5"/>
  <c r="A859" i="5"/>
  <c r="I859" i="5"/>
  <c r="M679" i="5"/>
  <c r="A679" i="5"/>
  <c r="I679" i="5"/>
  <c r="M265" i="5"/>
  <c r="A265" i="5"/>
  <c r="I265" i="5"/>
  <c r="M205" i="5"/>
  <c r="A205" i="5"/>
  <c r="M345" i="5"/>
  <c r="A345" i="5"/>
  <c r="I345" i="5"/>
  <c r="M1205" i="5"/>
  <c r="A1205" i="5"/>
  <c r="I1205" i="5"/>
  <c r="M264" i="5"/>
  <c r="A264" i="5"/>
  <c r="M1204" i="5"/>
  <c r="A1204" i="5"/>
  <c r="I1204" i="5"/>
  <c r="M344" i="5"/>
  <c r="A344" i="5"/>
  <c r="M428" i="5"/>
  <c r="A428" i="5"/>
  <c r="M1203" i="5"/>
  <c r="A1203" i="5"/>
  <c r="M858" i="5"/>
  <c r="A858" i="5"/>
  <c r="M1003" i="5"/>
  <c r="A1003" i="5"/>
  <c r="I1003" i="5"/>
  <c r="M204" i="5"/>
  <c r="A204" i="5"/>
  <c r="I204" i="5"/>
  <c r="M1202" i="5"/>
  <c r="A1202" i="5"/>
  <c r="M263" i="5"/>
  <c r="A263" i="5"/>
  <c r="M537" i="5"/>
  <c r="A537" i="5"/>
  <c r="M1201" i="5"/>
  <c r="A1201" i="5"/>
  <c r="M36" i="5"/>
  <c r="A36" i="5"/>
  <c r="M678" i="5"/>
  <c r="A678" i="5"/>
  <c r="M1002" i="5"/>
  <c r="A1002" i="5"/>
  <c r="M150" i="5"/>
  <c r="A150" i="5"/>
  <c r="M262" i="5"/>
  <c r="A262" i="5"/>
  <c r="M149" i="5"/>
  <c r="A149" i="5"/>
  <c r="M1200" i="5"/>
  <c r="A1200" i="5"/>
  <c r="M1001" i="5"/>
  <c r="A1001" i="5"/>
  <c r="M857" i="5"/>
  <c r="A857" i="5"/>
  <c r="M80" i="5"/>
  <c r="A80" i="5"/>
  <c r="I80" i="5"/>
  <c r="M148" i="5"/>
  <c r="A148" i="5"/>
  <c r="M427" i="5"/>
  <c r="A427" i="5"/>
  <c r="I427" i="5"/>
  <c r="M677" i="5"/>
  <c r="A677" i="5"/>
  <c r="M676" i="5"/>
  <c r="A676" i="5"/>
  <c r="M856" i="5"/>
  <c r="A856" i="5"/>
  <c r="I856" i="5"/>
  <c r="M536" i="5"/>
  <c r="A536" i="5"/>
  <c r="M675" i="5"/>
  <c r="A675" i="5"/>
  <c r="M535" i="5"/>
  <c r="A535" i="5"/>
  <c r="M35" i="5"/>
  <c r="A35" i="5"/>
  <c r="M17" i="5"/>
  <c r="A17" i="5"/>
  <c r="M1199" i="5"/>
  <c r="A1199" i="5"/>
  <c r="M1198" i="5"/>
  <c r="A1198" i="5"/>
  <c r="I1198" i="5"/>
  <c r="M147" i="5"/>
  <c r="A147" i="5"/>
  <c r="I147" i="5"/>
  <c r="M343" i="5"/>
  <c r="A343" i="5"/>
  <c r="M34" i="5"/>
  <c r="A34" i="5"/>
  <c r="M1197" i="5"/>
  <c r="A1197" i="5"/>
  <c r="M855" i="5"/>
  <c r="A855" i="5"/>
  <c r="I855" i="5"/>
  <c r="M1000" i="5"/>
  <c r="A1000" i="5"/>
  <c r="I1000" i="5"/>
  <c r="M113" i="5"/>
  <c r="A113" i="5"/>
  <c r="M999" i="5"/>
  <c r="A999" i="5"/>
  <c r="M854" i="5"/>
  <c r="A854" i="5"/>
  <c r="M426" i="5"/>
  <c r="A426" i="5"/>
  <c r="M425" i="5"/>
  <c r="A425" i="5"/>
  <c r="M342" i="5"/>
  <c r="A342" i="5"/>
  <c r="M112" i="5"/>
  <c r="A112" i="5"/>
  <c r="M1196" i="5"/>
  <c r="A1196" i="5"/>
  <c r="M853" i="5"/>
  <c r="A853" i="5"/>
  <c r="M674" i="5"/>
  <c r="A674" i="5"/>
  <c r="M203" i="5"/>
  <c r="A203" i="5"/>
  <c r="I203" i="5"/>
  <c r="M998" i="5"/>
  <c r="A998" i="5"/>
  <c r="M146" i="5"/>
  <c r="A146" i="5"/>
  <c r="M341" i="5"/>
  <c r="A341" i="5"/>
  <c r="M1195" i="5"/>
  <c r="A1195" i="5"/>
  <c r="M997" i="5"/>
  <c r="A997" i="5"/>
  <c r="M1194" i="5"/>
  <c r="A1194" i="5"/>
  <c r="M145" i="5"/>
  <c r="A145" i="5"/>
  <c r="M111" i="5"/>
  <c r="A111" i="5"/>
  <c r="M60" i="5"/>
  <c r="A60" i="5"/>
  <c r="M996" i="5"/>
  <c r="A996" i="5"/>
  <c r="I996" i="5"/>
  <c r="M1193" i="5"/>
  <c r="A1193" i="5"/>
  <c r="M852" i="5"/>
  <c r="A852" i="5"/>
  <c r="M851" i="5"/>
  <c r="A851" i="5"/>
  <c r="M850" i="5"/>
  <c r="A850" i="5"/>
  <c r="M673" i="5"/>
  <c r="A673" i="5"/>
  <c r="M672" i="5"/>
  <c r="A672" i="5"/>
  <c r="I672" i="5"/>
  <c r="M340" i="5"/>
  <c r="A340" i="5"/>
  <c r="M1192" i="5"/>
  <c r="A1192" i="5"/>
  <c r="M1191" i="5"/>
  <c r="A1191" i="5"/>
  <c r="M849" i="5"/>
  <c r="A849" i="5"/>
  <c r="I849" i="5"/>
  <c r="M848" i="5"/>
  <c r="A848" i="5"/>
  <c r="J4" i="6"/>
  <c r="B3" i="6"/>
  <c r="B2" i="6"/>
  <c r="T17" i="3"/>
  <c r="O17" i="3"/>
  <c r="A17" i="3"/>
  <c r="T16" i="3"/>
  <c r="O16" i="3"/>
  <c r="A16" i="3"/>
  <c r="O15" i="3"/>
  <c r="A15" i="3"/>
  <c r="O14" i="3"/>
  <c r="A14" i="3"/>
  <c r="O13" i="3"/>
  <c r="A13" i="3"/>
  <c r="O12" i="3"/>
  <c r="A12" i="3"/>
  <c r="O11" i="3"/>
  <c r="A11" i="3"/>
  <c r="O10" i="3"/>
  <c r="A10" i="3"/>
  <c r="O9" i="3"/>
  <c r="A9" i="3"/>
  <c r="T8" i="3"/>
  <c r="O8" i="3"/>
  <c r="A8" i="3"/>
  <c r="O7" i="3"/>
  <c r="A7" i="3"/>
  <c r="T6" i="3"/>
  <c r="O6" i="3"/>
  <c r="A6" i="3"/>
  <c r="O5" i="3"/>
  <c r="A5" i="3"/>
  <c r="T4" i="3"/>
  <c r="O4" i="3"/>
  <c r="A4" i="3"/>
  <c r="T3" i="3"/>
  <c r="O3" i="3"/>
  <c r="A3" i="3"/>
  <c r="A12" i="11" l="1"/>
  <c r="A48" i="11" l="1"/>
  <c r="A61" i="11" l="1"/>
  <c r="A50" i="11" l="1"/>
  <c r="A49" i="11"/>
  <c r="A47" i="11"/>
  <c r="A46" i="11"/>
  <c r="A45" i="11"/>
  <c r="A62" i="11" l="1"/>
  <c r="A60" i="11"/>
  <c r="A30" i="11" l="1"/>
  <c r="A29" i="11"/>
  <c r="A28" i="11"/>
  <c r="A27" i="11" l="1"/>
  <c r="A25" i="11"/>
  <c r="A26" i="11"/>
  <c r="A11" i="11" l="1"/>
  <c r="A10" i="11"/>
  <c r="A63" i="11" l="1"/>
  <c r="A14" i="11" l="1"/>
  <c r="A13" i="11"/>
  <c r="A9" i="11"/>
  <c r="A8"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Baker, Nancy C.</author>
  </authors>
  <commentList>
    <comment ref="H3" authorId="0" shapeId="0" xr:uid="{2A0EE8DE-81E5-4A83-BBA4-ED0E469D13F9}">
      <text>
        <r>
          <rPr>
            <b/>
            <sz val="9"/>
            <color indexed="81"/>
            <rFont val="Tahoma"/>
            <family val="2"/>
          </rPr>
          <t>=1 if assigned MeSH Publication type of Review</t>
        </r>
        <r>
          <rPr>
            <sz val="9"/>
            <color indexed="81"/>
            <rFont val="Tahoma"/>
            <family val="2"/>
          </rPr>
          <t xml:space="preserve">
</t>
        </r>
      </text>
    </comment>
    <comment ref="I3" authorId="0" shapeId="0" xr:uid="{C45F9758-621D-4454-822E-15D4B61DE415}">
      <text>
        <r>
          <rPr>
            <b/>
            <sz val="9"/>
            <color indexed="81"/>
            <rFont val="Tahoma"/>
            <family val="2"/>
          </rPr>
          <t>=1 if the article is free in PubMedCentral. Hyperlinked to PubTator.</t>
        </r>
        <r>
          <rPr>
            <sz val="9"/>
            <color indexed="81"/>
            <rFont val="Tahoma"/>
            <family val="2"/>
          </rPr>
          <t xml:space="preserve">
</t>
        </r>
      </text>
    </comment>
  </commentList>
</comments>
</file>

<file path=xl/sharedStrings.xml><?xml version="1.0" encoding="utf-8"?>
<sst xmlns="http://schemas.openxmlformats.org/spreadsheetml/2006/main" count="13114" uniqueCount="7270">
  <si>
    <t>Title</t>
  </si>
  <si>
    <t>Abstract with highlights</t>
  </si>
  <si>
    <t>Title:</t>
  </si>
  <si>
    <t>Title and Abstract:</t>
  </si>
  <si>
    <t>My Notes</t>
  </si>
  <si>
    <t xml:space="preserve">PMID </t>
  </si>
  <si>
    <t xml:space="preserve">Note </t>
  </si>
  <si>
    <t>Pub Yr</t>
  </si>
  <si>
    <t>tiab</t>
  </si>
  <si>
    <t>Authors</t>
  </si>
  <si>
    <t>Review</t>
  </si>
  <si>
    <t>Date</t>
  </si>
  <si>
    <t>Query Used (double-click on query to rerun)</t>
  </si>
  <si>
    <t>Read Me</t>
  </si>
  <si>
    <t>Preferred Name</t>
  </si>
  <si>
    <t>Your sifter terms and frequency counts</t>
  </si>
  <si>
    <t>yes</t>
  </si>
  <si>
    <t>no</t>
  </si>
  <si>
    <t>maybe</t>
  </si>
  <si>
    <t>Journal</t>
  </si>
  <si>
    <t>Tag</t>
  </si>
  <si>
    <t>PubYr</t>
  </si>
  <si>
    <t>When Noted</t>
  </si>
  <si>
    <t>You can now select many rows and apply the same Note to all of them.</t>
  </si>
  <si>
    <t>Notes now include tags and yes/no/maybe.</t>
  </si>
  <si>
    <t>Blank sifter terms won't cause error.</t>
  </si>
  <si>
    <t xml:space="preserve">Double-clicking on an article in Notes will bring user to the abstract page. </t>
  </si>
  <si>
    <t>Abstract Sifter</t>
  </si>
  <si>
    <t>Landscape View</t>
  </si>
  <si>
    <t xml:space="preserve">Heading </t>
  </si>
  <si>
    <t>Query (double-click to see how the query looks to PubMed)</t>
  </si>
  <si>
    <t>Comments</t>
  </si>
  <si>
    <t>Note: these are starting points … please expand and customize</t>
  </si>
  <si>
    <t>Note: Feel free to delete rows, but not columns. Some queries are displayed here as samples.</t>
  </si>
  <si>
    <t xml:space="preserve">Note: Feel free to delete rows after Row 2, but not columns. Some sample Notes may be displayed. </t>
  </si>
  <si>
    <t>Recent enhancements:</t>
  </si>
  <si>
    <t>Filters and Notes work.</t>
  </si>
  <si>
    <t>Record Ct</t>
  </si>
  <si>
    <t>09/07/2017 - Landscape page col A value changed.</t>
  </si>
  <si>
    <t>09/07/2017 - Can select notes to send to PubMed (instead of all).</t>
  </si>
  <si>
    <t>09/11/2017 - Fixed formatting on Landscape</t>
  </si>
  <si>
    <t>10/20/2017 - Some cleanup; changed yes/no/maybe on Notes to string; No author to blanks.</t>
  </si>
  <si>
    <t>10/23/2017 - reformatting</t>
  </si>
  <si>
    <t>11/2/2017 - toggle for viewing queries on Landscape</t>
  </si>
  <si>
    <t>11/12/2017 - Review column formatting fix; loop structure on heatmap; form renames</t>
  </si>
  <si>
    <t>11/14/2017 - Error control on Landscape sheet and entity query expansion</t>
  </si>
  <si>
    <t>PMID</t>
  </si>
  <si>
    <t>04/24/2018 - Added wrap text to query on row 3, Landscape sheet</t>
  </si>
  <si>
    <t>04/24/2018 - Row counts on Main changed to avoid 0 in column headers</t>
  </si>
  <si>
    <t>04/24/2018 - Now records query counts for not-run queries (0 recs and &gt;5000)  on Log sheet</t>
  </si>
  <si>
    <t>05/02/2018 - added occupational exposure to sample queries</t>
  </si>
  <si>
    <t>birth defects OR Congenital Abnormalities</t>
  </si>
  <si>
    <t>(Lipoproteins, VLDL OR "very low density lipoproteins"[tiab] OR Receptors, LDL OR VLDL receptor) AND (up-regulation OR increase) AND uptake</t>
  </si>
  <si>
    <t>(cyp1a1 OR Cytochrome P-450 CYP1A1) AND (up-regulat* OR increase)</t>
  </si>
  <si>
    <t>Adrenergic alpha-2 Receptor Antagonists OR (Receptors, Adrenergic, alpha-2 AND inhibit)</t>
  </si>
  <si>
    <t xml:space="preserve">(LHRH Receptor* OR Gonadotropin-Releasing Hormone OR Gonadotropin) AND adrenergic receptor </t>
  </si>
  <si>
    <t xml:space="preserve">fertility AND drug effects </t>
  </si>
  <si>
    <t>Alpha-noradrenergic antagonism leads to reduced fecundity via delayed ovulation</t>
  </si>
  <si>
    <t>Disruption of VEGFR Signaling Leading to Developmental Defects</t>
  </si>
  <si>
    <t>AhR activation leading to hepatic steatosis</t>
  </si>
  <si>
    <t>Sample Queries</t>
  </si>
  <si>
    <t>Category</t>
  </si>
  <si>
    <t>Ecological</t>
  </si>
  <si>
    <t>Algae</t>
  </si>
  <si>
    <t>any relationship</t>
  </si>
  <si>
    <t>Epidemiology</t>
  </si>
  <si>
    <t>Epi</t>
  </si>
  <si>
    <t>epidemiology</t>
  </si>
  <si>
    <t>Exposure</t>
  </si>
  <si>
    <t>Dust exposure</t>
  </si>
  <si>
    <t>environmental exposure AND dust</t>
  </si>
  <si>
    <t>Food exposure</t>
  </si>
  <si>
    <t>environmental exposure AND food</t>
  </si>
  <si>
    <t>Water exposure</t>
  </si>
  <si>
    <t>environmental exposure AND (water OR groundwater OR drinking water)</t>
  </si>
  <si>
    <t>Mechanism</t>
  </si>
  <si>
    <t>Oxidative stress</t>
  </si>
  <si>
    <t>"oxidative stress" OR "free radicals" OR "reactive oxygen species" OR peroxides</t>
  </si>
  <si>
    <t xml:space="preserve">needs work </t>
  </si>
  <si>
    <t>Metabolism</t>
  </si>
  <si>
    <t>(metabolism OR metabolite OR tissue distribution OR pharmacokinetics OR pharmacodynamics)</t>
  </si>
  <si>
    <t>Methods</t>
  </si>
  <si>
    <t>Analytical chemistry</t>
  </si>
  <si>
    <t>"Chemistry Techniques, Analytical" OR analytical chemistry</t>
  </si>
  <si>
    <t>Statistical</t>
  </si>
  <si>
    <t>Statistics as Topic[mh] OR statistics OR statistical</t>
  </si>
  <si>
    <t xml:space="preserve">Methods </t>
  </si>
  <si>
    <t>In vitro</t>
  </si>
  <si>
    <t>In Vitro Techniques[mh] OR cell culture or "in vitro"</t>
  </si>
  <si>
    <t xml:space="preserve">Mixtures </t>
  </si>
  <si>
    <t>Mixtures</t>
  </si>
  <si>
    <t xml:space="preserve"> (Drug synergism[mh] OR cocarcinogenesis OR  pesticide synergists[mh] OR mixture[tiab] OR mixtures[tiab] OR Drug Antagonism[mh] OR Drug Interactions[mh] OR drug agonism)</t>
  </si>
  <si>
    <t>Medicine</t>
  </si>
  <si>
    <t>Clinical trials</t>
  </si>
  <si>
    <t>((clinical[Title/Abstract] AND trial[Title/Abstract]) OR clinical trial[Publication Type] )</t>
  </si>
  <si>
    <t>Clinical trials in children</t>
  </si>
  <si>
    <t>((children OR child OR infants) AND human) AND ((clinical[Title/Abstract] AND trial[Title/Abstract]) OR clinical trial[Publication Type] )</t>
  </si>
  <si>
    <t>Obesity</t>
  </si>
  <si>
    <t>Toxicity</t>
  </si>
  <si>
    <t>Genetox</t>
  </si>
  <si>
    <t xml:space="preserve"> (dna/drug effects OR DNA Damage OR chromosome aberrations OR genotoxicity OR micronucleus  OR DNA Repair OR mutagenicity tests OR mutagens OR mutagenicity OR mutagenic or "gene mutation" OR "ames " OR "comet assay")</t>
  </si>
  <si>
    <t>Cancer</t>
  </si>
  <si>
    <t>Skin sensitization</t>
  </si>
  <si>
    <t>("allergic" AND "contact" And dermatitis) OR Dermatitis, Allergic Contact[mh]</t>
  </si>
  <si>
    <t xml:space="preserve">Toxicity </t>
  </si>
  <si>
    <t>ReproTox</t>
  </si>
  <si>
    <t>(reproduction AND (toxicity OR abnormal OR adverse effects))</t>
  </si>
  <si>
    <t>NeuroTox</t>
  </si>
  <si>
    <t>Use</t>
  </si>
  <si>
    <t>Pharmaceutical</t>
  </si>
  <si>
    <t>"therapeutic use" OR "therapeutic use"[subheading]" OR pharmacologic actions[mh] OR drug therapy</t>
  </si>
  <si>
    <t>Pesticide</t>
  </si>
  <si>
    <t xml:space="preserve">pesticide OR insecticide OR rodenticide OR fungicide </t>
  </si>
  <si>
    <t xml:space="preserve">Cosmetics </t>
  </si>
  <si>
    <t xml:space="preserve">cosmetics OR beauty </t>
  </si>
  <si>
    <t>Explosive Agents</t>
  </si>
  <si>
    <t>Explosive Agents OR explosive OR explosives</t>
  </si>
  <si>
    <t xml:space="preserve">Food   </t>
  </si>
  <si>
    <t xml:space="preserve">Surface-acting </t>
  </si>
  <si>
    <t>Antifoaming OR Anti-foaming OR detergent OR detergents OR soap OR detergent  OR surfactant</t>
  </si>
  <si>
    <t>Dye/coloring</t>
  </si>
  <si>
    <t>dye OR "coloring agent" OR pigment OR pigments</t>
  </si>
  <si>
    <t xml:space="preserve">Use </t>
  </si>
  <si>
    <t>Fertilizer</t>
  </si>
  <si>
    <t xml:space="preserve">fertilizer OR fertilize </t>
  </si>
  <si>
    <t>Solvents</t>
  </si>
  <si>
    <t>solvents OR solvent</t>
  </si>
  <si>
    <t>How to use: select rows and click on button</t>
  </si>
  <si>
    <t>(Proto-Oncogene Proteins c-fos OR fos gene* OR c-fos) AND (decrease OR down-regulate OR inhibit)</t>
  </si>
  <si>
    <t>ovulation AND delay*</t>
  </si>
  <si>
    <t>Androgen receptor agonism leading to reproductive dysfunction (in repeat-spawning fish)</t>
  </si>
  <si>
    <t>05/30/2018 check on blank sifter terms added</t>
  </si>
  <si>
    <t>vitellogenin AND oocytes AND fish</t>
  </si>
  <si>
    <t>(Agonism, Androgen receptor OR androgens ) AND fish</t>
  </si>
  <si>
    <t xml:space="preserve"> (Receptors, Gonadotropin AND antagonists &amp; inhibitors AND fish)</t>
  </si>
  <si>
    <t>Emergency/disaster</t>
  </si>
  <si>
    <t>Emergency / disaster</t>
  </si>
  <si>
    <t>Estradiol AND (down-regulation OR antagonist OR antagonism OR reduction) AND fish</t>
  </si>
  <si>
    <t>((population AND decrease) OR (mortality AND increase) AND Fish)</t>
  </si>
  <si>
    <t>testosterone AND  (down-regulation OR antagonist OR antagonism OR reduction) AND fish</t>
  </si>
  <si>
    <t>protein Adducts OR dna adducts OR epoxides OR quinones OR aldehydes</t>
  </si>
  <si>
    <t xml:space="preserve"> (dna/drug effects OR DNA Damage OR chromosome aberrations OR genotoxicity OR micronucleus   OR mutagenicity tests OR mutagens OR mutagenicity OR mutagenic or "gene mutation" OR "ames " OR "comet assay")</t>
  </si>
  <si>
    <t>(topoisomerase OR DNA Repair/drug effects OR double-strand break repair)</t>
  </si>
  <si>
    <t>(oxidative stress OR reactive oxygen species OR mitochondria/drug effects )</t>
  </si>
  <si>
    <t>(inflammation OR macrophages)</t>
  </si>
  <si>
    <t>(immunosuppressive OR immune system dysfunction)</t>
  </si>
  <si>
    <t>receptors AND (antagonism OR agonism OR drug effects)</t>
  </si>
  <si>
    <t>(cell immortalization OR cell division OR hayflick limit OR Aging/genetics OR Cellular Senescence)</t>
  </si>
  <si>
    <t>(cell proliferation OR cell death OR apoptosis OR Neovascularization, Pathologic)</t>
  </si>
  <si>
    <t>09/20/2018 Lots of changes to the export function and AOP queries</t>
  </si>
  <si>
    <t>Main</t>
  </si>
  <si>
    <t>Pathway Queries</t>
  </si>
  <si>
    <t>Notes / titles</t>
  </si>
  <si>
    <t>9/26/2018 On Abstract sheet, added button and fuctionality for finding like articles or finding articles citing this article</t>
  </si>
  <si>
    <t>09/27/2018 Send queries to landscape simplified.</t>
  </si>
  <si>
    <t>10/17/2018  Error control on PubMed retrieval (0 out of headers from bad PubMed … like this over 300?)</t>
  </si>
  <si>
    <t>10/19/2018  Like this limited to 200 pmids in order to bypass error</t>
  </si>
  <si>
    <t>Inhibition of Thyroperoxidase and Subsequent Adverse Neurodevelopmental Outcomes in Mammals</t>
  </si>
  <si>
    <t>aop42</t>
  </si>
  <si>
    <t>endothelium OR endothelial AND (damage OR impair OR impairment)</t>
  </si>
  <si>
    <t xml:space="preserve">((thyroperoxidase OR Iodide Peroxidase OR TPO) AND (inhibition OR inhibit OR decrease)) </t>
  </si>
  <si>
    <t>(Vascular Endothelial Growth Factor Receptor-2 OR Vascular Endothelial Growth Factor) AND (inhibition  OR inhibit OR antagonism OR inhibitor OR antagonist)</t>
  </si>
  <si>
    <t>aop40</t>
  </si>
  <si>
    <t>Covalent Protein binding leading to Skin Sensitisation</t>
  </si>
  <si>
    <t xml:space="preserve">(Stearoyl-CoA Desaturase AND (increase or accumulation) </t>
  </si>
  <si>
    <t>(covalent binding AND protein) OR (protein binding) OR adducts OR haptens OR IL-18 OR OR caspase-1 OR electrophile OR hapten-protein complex or nrf2 OR  NADPH-quinone oxidoreductase 1  OR glutathione S-transferase</t>
  </si>
  <si>
    <t>(dendritic cells OR  cell-mediated immunity OR antigen-presenting cells  OR  major histocompatibility complex)</t>
  </si>
  <si>
    <t xml:space="preserve">((Keratinocytes OR Keratin) AND (drug effects OR toxicity)) </t>
  </si>
  <si>
    <t>Antigens, Differentiation, T-Lymphocyte[mh] OR T-Lymphocytes  OR "memory T-cells"[tiab]</t>
  </si>
  <si>
    <t>"skin sensitization" OR "skin sensitisation" OR Drug Eruptions[mh] OR Dermatitis, Allergic Contact OR Drug Hypersensitivity OR Dermatitis, Contact OR Dermatitis, Atopic</t>
  </si>
  <si>
    <t>aop07</t>
  </si>
  <si>
    <t>(estrogen AND synthesis AND drug effects) OR Estrogen antagonists</t>
  </si>
  <si>
    <t xml:space="preserve">((Aromatase OR Cyp19) AND (inhibition or antagonism)) OR Aromatase Inhibitors </t>
  </si>
  <si>
    <t>((fertility  OR impaired fertility ) AND  female AND drug effects )  OR infertility, female[mh]</t>
  </si>
  <si>
    <t>Aromatase (Cyp19a1) reduction leading to impaired fertility in adult female</t>
  </si>
  <si>
    <t>Summary heading</t>
  </si>
  <si>
    <t>1mie</t>
  </si>
  <si>
    <t>(cancer OR neoplasms OR precancerous OR carcinogen OR carcinoma) AND (toxicity OR poisoning OR adverse effects)</t>
  </si>
  <si>
    <t>10/30/2018  Added superheading to Pathway_queries and Sample_queries sheets; colorization transfers to Landscape.</t>
  </si>
  <si>
    <t>(Cognition Deficits OR cognition/drug effects OR Cognitive Dysfunction OR Intelligence/drug effects OR (brain AND embryonic development))</t>
  </si>
  <si>
    <t>(thyroid hormone OR t3 OR t4) AND (synthesis or inhibition)</t>
  </si>
  <si>
    <t>(thyroid hormone OR t3 OR t4) AND (serum or blood or plasma) and  (decrease OR inhibition OR down-regulate)</t>
  </si>
  <si>
    <t>((thyroid hormone OR t3 OR t4) AND (brain or cortex or hippocampus))</t>
  </si>
  <si>
    <t>((hippocampus) and (gene expression) and (development))</t>
  </si>
  <si>
    <t>((hippocampus AND (anatomy) and (development))</t>
  </si>
  <si>
    <t>((hippocampus AND (physiology) and (development))</t>
  </si>
  <si>
    <t>((memory or learning) and (spatial or temporal or contextual))</t>
  </si>
  <si>
    <t>8ao_broad</t>
  </si>
  <si>
    <t>(bone OR bone development OR calcification OR osteogenesis OR limb bud/drug effects OR limb deformity) AND (embryo OR embryonic development OR fetus OR fetal development)</t>
  </si>
  <si>
    <t xml:space="preserve">11/05/2018  modified formatting on Sample_queries to Landscape; </t>
  </si>
  <si>
    <t>DevTox</t>
  </si>
  <si>
    <t>11/06/2018  query run updated only if query is run to completion (2 changes); autofilter corrections on Landscape; ReadMe updates.</t>
  </si>
  <si>
    <t>Blood circulation AND (drug effects AND toxicity)</t>
  </si>
  <si>
    <t>((angiogenesis OR vasculogenesis) AND (reduce OR inhibit)) OR (Neovascularization, Physiologic AND (drug effects OR toxicity))</t>
  </si>
  <si>
    <t>11/09/2018  set title and abstract to null before iteration</t>
  </si>
  <si>
    <t>11/19/2018  added a timer to slow down Landscape retrieval to come under NLM limits</t>
  </si>
  <si>
    <t>11/21/2018  note on ReadMe pointing to ftp site</t>
  </si>
  <si>
    <t>(neurotoxicity OR (Nervous system diseases and chemically induced) OR ((neurons OR brain OR behavior) AND drug effects)</t>
  </si>
  <si>
    <t>(DNA methylation OR histone modification OR Histone Code OR Chromatin Assembly and Disassembly OR microRNAs OR Epigenesis, Genetic)</t>
  </si>
  <si>
    <t>Adducts</t>
  </si>
  <si>
    <t>DNA</t>
  </si>
  <si>
    <t>DNA break/repair</t>
  </si>
  <si>
    <t>Epigenetics</t>
  </si>
  <si>
    <t>Inflammation</t>
  </si>
  <si>
    <t>Immunosuppress</t>
  </si>
  <si>
    <t>Receptors</t>
  </si>
  <si>
    <t>Cell immortalization</t>
  </si>
  <si>
    <t>Proliferation</t>
  </si>
  <si>
    <t xml:space="preserve">(chromosome  AND drug effects) OR polyploid*  OR chromosome aberrations </t>
  </si>
  <si>
    <t>(obesity OR obese OR adipose OR overweight Or adipogenesis OR adipose tissue)</t>
  </si>
  <si>
    <t>Subject queries:</t>
  </si>
  <si>
    <t>Chemical / Entity query</t>
  </si>
  <si>
    <t>12/19/2018  Landscape page fix - select area for update counts button checked</t>
  </si>
  <si>
    <t>Version 3</t>
  </si>
  <si>
    <t>Respiratory sensitisation</t>
  </si>
  <si>
    <t>(Respiratory hypersensitivity OR respiratory sensitization OR Bronchial Hyperreactivity OR Respiration Disorders OR Respiratory Tract Diseases OR (Drug hypersensitivity AND lung) OR (irritants AND lung) OR (occupational diseases AND lung) OR ((asthma OR rhinitis) AND chemically induced) OR Respiration/drug effects OR Bronchoconstriction OR Respiratory Mechanics)</t>
  </si>
  <si>
    <t>01/29/2019  Colorize PMIDs immediately when taking notes / 2</t>
  </si>
  <si>
    <t>PMC</t>
  </si>
  <si>
    <t>02/01/2019  PubMed DOM rewrite. Added keywords and PMC flag.</t>
  </si>
  <si>
    <t>02/05/ 2019  works fast - can't add perc notes … like not fixed</t>
  </si>
  <si>
    <t>02/06/2019  trim abstract AND clean up formatting on Notes sheet</t>
  </si>
  <si>
    <t>02/08/2019  Fixed log entries for like/citing</t>
  </si>
  <si>
    <t>02/08/2019  Added nowrap on authors (example 25905296) and citation to ReadMe</t>
  </si>
  <si>
    <t>aop8</t>
  </si>
  <si>
    <t>(Pregnane X Receptor OR NR1I2 protein) AND (activate OR activation OR agonism)</t>
  </si>
  <si>
    <t>(glucuronyltransferase AND (upregulation OR agonism OR increase))</t>
  </si>
  <si>
    <t>(glucuronide OR glucuronides) AND (increase OR upregulat*) AND (bile OR bilary OR urine OR excrete OR urinalysis)</t>
  </si>
  <si>
    <t>(cochlea AND drug effects) OR (ear AND drug effects) OR  (Neurons, Afferent OR auditory hair cells OR organ of corti OR lateral line system[mh]) OR deafness OR hearing loss OR hearing disorders OR ear diseases  or ototoxicity OR tinnitus)</t>
  </si>
  <si>
    <t>02/12/2019 Formatting on pathway queries; font size on query boxes reduced.</t>
  </si>
  <si>
    <t>02/21/2019  Fixed problem with pubyr like Spring 2019 and unwrap Journal title: 24943998[uid] OR 28139124[uid]</t>
  </si>
  <si>
    <t>aop17</t>
  </si>
  <si>
    <t>(selenoproteins OR selenium) OR Thioredoxins OR glutathione peroxidase</t>
  </si>
  <si>
    <t>Oxidative stress and Developmental impairment in learning and memory</t>
  </si>
  <si>
    <t>(oxidative stress )</t>
  </si>
  <si>
    <t xml:space="preserve">reactive oxygen species </t>
  </si>
  <si>
    <t xml:space="preserve">(glutamate OR glutamic acid OR  Glutamate Plasma Membrane Transport Proteins OR  Amino Acid Transport System X-AG) AND (homeostasis OR drug effects OR toxicity) </t>
  </si>
  <si>
    <t xml:space="preserve">apoptosis OR cell death </t>
  </si>
  <si>
    <t xml:space="preserve">neuroinflammation OR ((nervous system OR brain) AND inflammation) </t>
  </si>
  <si>
    <t>(microglia OR astrocytes OR neuroglia OR glial OR Glial Fibrillary Acidic Protein OR gfap)  AND (activation OR drug Effects)</t>
  </si>
  <si>
    <t>(inflammation mediators OR NF-kappa B OR Map Kinase OR JNK Mitogen-Activated Protein Kinases)</t>
  </si>
  <si>
    <t>(Nerve net OR Neural Pathways OR hippocampus)</t>
  </si>
  <si>
    <t>(Cognition Disorders OR Memory Disorders OR Learning Disorders OR ((Learning OR Maze Learning OR Memory OR Mental Recall OR Spatial Learning OR Spatial Memory) AND (drug effects OR toxicity))</t>
  </si>
  <si>
    <t>02/21/2019  Started reworking pathway_queries to have KE by number when possible</t>
  </si>
  <si>
    <t>Header1: Pathway</t>
  </si>
  <si>
    <t>Header2: KeyEvent</t>
  </si>
  <si>
    <t>More data</t>
  </si>
  <si>
    <t>MoreInfo</t>
  </si>
  <si>
    <t>Nuclear receptor induced TH Catabolism and Developmental Hearing Loss</t>
  </si>
  <si>
    <t>03/06/2019  Pathway queries send col A and B to landscape, not C.</t>
  </si>
  <si>
    <t>((hippocampus AND gene expression) AND drug effects)</t>
  </si>
  <si>
    <t>aop57</t>
  </si>
  <si>
    <t>(ahr OR (Aryl Hydrocarbon AND receptor)) AND (upregulat* OR agonism OR agonist OR increase)</t>
  </si>
  <si>
    <t>(very-low-density lipoprotein OR Lipoproteins, VLDL) AND  (downregulat* OR antagonists OR inhibitors)</t>
  </si>
  <si>
    <t> (Mitochondrial fatty acid beta-oxidation OR Mitochondrial Trifunctional Protein)</t>
  </si>
  <si>
    <t>(Fatty acids OR fatty acid) And (accum* OR increase)</t>
  </si>
  <si>
    <t>(PCK1 protein OR Phosphoenolpyruvate Carboxykinase (GTP))</t>
  </si>
  <si>
    <t>(Triglycerides AND (increase OR agonis*))</t>
  </si>
  <si>
    <t>(CD36 Antigens OR Fatty Acid Transport Proteins)</t>
  </si>
  <si>
    <t>(fatty acid transport AND influx)</t>
  </si>
  <si>
    <t>(Receptors, LDL AND (agonis* OR up-regulat* OR upregulat*)</t>
  </si>
  <si>
    <t>(Fatty liver OR steatosis)</t>
  </si>
  <si>
    <t>Occupational</t>
  </si>
  <si>
    <t>(occupational exposure OR Air Pollutants, Occupational OR  ((worker OR workers OR employee OR workplace OR industry) AND exposure))</t>
  </si>
  <si>
    <t xml:space="preserve">((toxicity OR congenital abnormalities OR Prenatal Exposure Delayed Effects) AND (fetus OR embryo OR embryonic development OR larva OR eggs)) or embryotoxicity </t>
  </si>
  <si>
    <t>07/08/2019  Landscape sheet - no error msg if blank chem/subject cells selected</t>
  </si>
  <si>
    <t>07/08/2019  Pathway and Sample queries - send only selected AND visible rows to Landscape</t>
  </si>
  <si>
    <t>IARC Key characteristics of cancer</t>
  </si>
  <si>
    <t>KCC</t>
  </si>
  <si>
    <t>Flame retardant</t>
  </si>
  <si>
    <t>flame retardant OR flame retardants OR fire suppression</t>
  </si>
  <si>
    <t>2_ke</t>
  </si>
  <si>
    <t>1_ mie</t>
  </si>
  <si>
    <t>9_AO</t>
  </si>
  <si>
    <t xml:space="preserve">9_KE </t>
  </si>
  <si>
    <t>1_mie</t>
  </si>
  <si>
    <t>6_ao</t>
  </si>
  <si>
    <t>10_AO</t>
  </si>
  <si>
    <t>2_KE</t>
  </si>
  <si>
    <t>3_KE</t>
  </si>
  <si>
    <t>4_KE</t>
  </si>
  <si>
    <t>5_KE</t>
  </si>
  <si>
    <t>6_KE</t>
  </si>
  <si>
    <t>7_KE</t>
  </si>
  <si>
    <t>8_KE</t>
  </si>
  <si>
    <t>9_KE</t>
  </si>
  <si>
    <t>3_ke</t>
  </si>
  <si>
    <t xml:space="preserve">4_ke </t>
  </si>
  <si>
    <t>5_ao</t>
  </si>
  <si>
    <t>4_ke</t>
  </si>
  <si>
    <t>5_ke</t>
  </si>
  <si>
    <t>6_ke</t>
  </si>
  <si>
    <t>7_ke</t>
  </si>
  <si>
    <t>8_ao</t>
  </si>
  <si>
    <t>5_ao1</t>
  </si>
  <si>
    <t>6_ao2</t>
  </si>
  <si>
    <t>8_ke</t>
  </si>
  <si>
    <t>9_ke</t>
  </si>
  <si>
    <t>10_ke</t>
  </si>
  <si>
    <t>11_ke</t>
  </si>
  <si>
    <t>12_ke</t>
  </si>
  <si>
    <t>13_ke</t>
  </si>
  <si>
    <t>9_ao</t>
  </si>
  <si>
    <t>3_ao1</t>
  </si>
  <si>
    <t>3_ao2</t>
  </si>
  <si>
    <t>(ovarian cycle OR menstrual cycle OR menstruation AND (disrupt* OR disregulat*))</t>
  </si>
  <si>
    <t>2_ke1</t>
  </si>
  <si>
    <t>3_ke?</t>
  </si>
  <si>
    <t>7_ke4</t>
  </si>
  <si>
    <t>08/19/2019  Fixed problem with copy to clipboard from Notes sheet</t>
  </si>
  <si>
    <t>Decontamination</t>
  </si>
  <si>
    <t>(decontamination OR Environmental Restoration and Remediation)</t>
  </si>
  <si>
    <t>09/05/2019  Enhanced some sample_queries</t>
  </si>
  <si>
    <t>algal bloom OR eutrophication OR algae OR Harmful algal bloom OR red tide</t>
  </si>
  <si>
    <t>neoplasms or cancer OR carcinogen* OR precancerous</t>
  </si>
  <si>
    <t>Version 4</t>
  </si>
  <si>
    <t>09/12/2019  Allows appending on Main sheet</t>
  </si>
  <si>
    <t>jour</t>
  </si>
  <si>
    <t>Volume</t>
  </si>
  <si>
    <t>Issue</t>
  </si>
  <si>
    <t>Pages</t>
  </si>
  <si>
    <t>Pub Type</t>
  </si>
  <si>
    <t>PMID:</t>
  </si>
  <si>
    <t>DocID:</t>
  </si>
  <si>
    <t>PubType</t>
  </si>
  <si>
    <t>DOI</t>
  </si>
  <si>
    <t>09/19/2019  Buttons on Main sheet changed.  More things button now has delete dups and highlight noted</t>
  </si>
  <si>
    <t>09/19/2019  From Landscape appending allowed.  Volume, issue, pages, doi, pubtype added to Main and Notes.</t>
  </si>
  <si>
    <t>(emergency OR emergencies OR spill OR spills OR disaster OR disasters or hurricane OR hurricanes OR flood OR floods OR explosions OR explosion[tiab] OR forest fire OR fires OR wildfire OR "climate change"[tiab] OR climate change[mh] OR Mass casualty incidents[mh] OR Chemical Hazard Release[mh])</t>
  </si>
  <si>
    <t>Other Notes</t>
  </si>
  <si>
    <t xml:space="preserve">10/14/2019  Txt exporting </t>
  </si>
  <si>
    <t>10/11/2019  Working on RIS export</t>
  </si>
  <si>
    <t>10/18/2019  Added initials to author names; modified RIS export and export form; some reformatting of Notes/Abstract sheets</t>
  </si>
  <si>
    <t>11/01/2019  Added error control to Log sheet and Notes sheet</t>
  </si>
  <si>
    <t>DNT</t>
  </si>
  <si>
    <t>From DNT Robinson</t>
  </si>
  <si>
    <t>Repro</t>
  </si>
  <si>
    <t>Female repro</t>
  </si>
  <si>
    <t>(“female genitalia” OR “female gonad” OR “Female reproduction” OR “Granulosa cells” OR “Polycystic ovarian syndrome” OR “Theca cells” OR Abortion OR Cervix OR cervical OR Corpus Luteum OR Decidua OR decidualization OR Eclampsia OR Embryo OR embryonic OR Endometriosis OR Endometrium OR endometrial OR Estrous OR Fallopian  OR Fertility OR infertility OR Fetus OR fetal OR Folliculogenesis OR Gestational OR Lactation OR Litter OR Luteal OR Maternal OR Menopause OR Menstrual OR menstruation OR Oocyte OR Oogenesis OR Oogonia OR Ovary OR Ovarian OR Ovulation OR Placenta OR placental OR Pregnancy OR pregnant OR Prenatal OR postnatal OR Puberty OR Trimester OR Uterus OR uterine OR Vagina OR vaginal)</t>
  </si>
  <si>
    <t>From Nordic Working paper</t>
  </si>
  <si>
    <t>Male repro</t>
  </si>
  <si>
    <t>(Aspermia OR Asthenozoospermia OR Azoospermia OR Blood-Testis Barrier OR Cryptorchidism OR Ejaculation OR epididymis OR Epididymitis OR erectile OR fertilization OR Hemospermia OR Hypospadia OR impotence OR Leydig OR male Infertility OR Oligospermia OR Orchitis OR penile OR prostate OR prostatic OR Prostatitis OR Rete Testis OR scrotum OR Seminiferous OR Sertoli OR Sperm OR Spermatid OR Spermatocele OR Spermatocyte OR Spermatogenesis OR Spermatogonia OR Spermatozoa OR Testes OR Testicular OR Testis)</t>
  </si>
  <si>
    <t>11/05/2019  Fixed changes from 11/01 that were wrong, including Notes from Abstract sheet. Took title term out of Title/abstract and capitalized Abstract.</t>
  </si>
  <si>
    <t>11/06/2019  Added scroll bar to curation form</t>
  </si>
  <si>
    <t xml:space="preserve">11/05/2019  Added append option to Get Like </t>
  </si>
  <si>
    <t>(optional) DSSTOX link to Dashboard</t>
  </si>
  <si>
    <t>11/07/2019  Fixed pmid hyperlink on Notes coming from Abstract; Landscape Col A - unhidden</t>
  </si>
  <si>
    <t>11/08/2019  PMID colorization on notes from Abstract fixed</t>
  </si>
  <si>
    <t>11/25/2019  Fixed pmid hyperlink on Notes when inserting from Abstract sheet</t>
  </si>
  <si>
    <t>Note</t>
  </si>
  <si>
    <t>((Brain OR central nervous system OR "CNS" OR "neural tube" OR spinal cord OR spina bifida OR Nervous System Diseases or Neural Tube Defects) AND ("gestation" OR embryonic development OR embryonal OR embryo OR fetus OR fetal OR infant OR infance OR postnatal OR neonate OR perinatal OR Prenatal OR neurulation))</t>
  </si>
  <si>
    <t>02/2020  More improvements to curation form</t>
  </si>
  <si>
    <t>03/06/2020  Encoding ampersands in queries</t>
  </si>
  <si>
    <t>03/13/2020   Fixed eutil/http problem giving error "The download of the specified resource has failed."  Hyperlinks to PubMed still do not work.</t>
  </si>
  <si>
    <t>Version 5</t>
  </si>
  <si>
    <t>needs some fixes</t>
  </si>
  <si>
    <t>Score</t>
  </si>
  <si>
    <t>04/23/2020  PMID link on Curate form fixed; working on pdf column and curation change for pdf link</t>
  </si>
  <si>
    <t>Zebrafish</t>
  </si>
  <si>
    <t>zebrafish and (behavior or locomotor) and develop*</t>
  </si>
  <si>
    <t>Zfish / neurotox</t>
  </si>
  <si>
    <t>Zfish / dev / behavior</t>
  </si>
  <si>
    <t xml:space="preserve">06/03/2020  Fixes: export to text </t>
  </si>
  <si>
    <t>06/12/2020  wait on pmid counts extended; encoding of ampersands and quotation marks added</t>
  </si>
  <si>
    <t>`</t>
  </si>
  <si>
    <t>Curated chemicals</t>
  </si>
  <si>
    <t>Copy these columns (A-C) to Landscape - Make sure column A on the Landscape sheet is not hidden</t>
  </si>
  <si>
    <t>DSSToxID</t>
  </si>
  <si>
    <t xml:space="preserve">Chemical query </t>
  </si>
  <si>
    <t>Microsoft</t>
  </si>
  <si>
    <t>Provided by the US EPA's Center for Computational Toxicology and Exposure</t>
  </si>
  <si>
    <t>pmc</t>
  </si>
  <si>
    <t>pdflink</t>
  </si>
  <si>
    <t>07/10/2020  PubMed xml call error check and redo</t>
  </si>
  <si>
    <t xml:space="preserve">07/10/2020  CuratedLists code - activesheet </t>
  </si>
  <si>
    <t>Double-click on row to curate</t>
  </si>
  <si>
    <t>Version 5.5</t>
  </si>
  <si>
    <t>08/2020  Speed improvements</t>
  </si>
  <si>
    <t>08/2020  Cancel button added</t>
  </si>
  <si>
    <t>08/2020  Curate form - new copy feature and pdf attach</t>
  </si>
  <si>
    <t>08/2020  Notes functionality improved; attach pdf</t>
  </si>
  <si>
    <t>food OR diet OR beverage OR nutrition OR eating</t>
  </si>
  <si>
    <t>08/2020  Trim added to Landscape query entity only; tab on notes form modified</t>
  </si>
  <si>
    <t>09/2020  Changes to source check on Log</t>
  </si>
  <si>
    <t/>
  </si>
  <si>
    <t>09/28/2020 Row number consistency improved</t>
  </si>
  <si>
    <t>10/01/2020  If no good, bad, maybe style, then added</t>
  </si>
  <si>
    <t>10/08/2020  Styles eliminated. Old notes code removed.</t>
  </si>
  <si>
    <t>10/19/2020  Error control if trying to open blank pdf</t>
  </si>
  <si>
    <t>Batch Tag</t>
  </si>
  <si>
    <t>Entry</t>
  </si>
  <si>
    <t>12/04/2020  Adding batch run capability; PubMed module renamed</t>
  </si>
  <si>
    <t>Version 5.6</t>
  </si>
  <si>
    <t>BatchTag</t>
  </si>
  <si>
    <t>12/22/2020  Added colors to Likethis; update and next option to curation form</t>
  </si>
  <si>
    <t>Who</t>
  </si>
  <si>
    <t>12/28/2020  Conflicting yes/no/maybe on Notes highlight option in More stuff form</t>
  </si>
  <si>
    <t>12/28/2020  Notetaker field added to Notes form</t>
  </si>
  <si>
    <t>Log / Batch</t>
  </si>
  <si>
    <t>01/27/2021  Running 0 record queries in batch … fixed</t>
  </si>
  <si>
    <t xml:space="preserve">zebrafish AND neurotox* </t>
  </si>
  <si>
    <t>DTXSID0020319</t>
  </si>
  <si>
    <t>Captafol</t>
  </si>
  <si>
    <t>DTXSID4020242</t>
  </si>
  <si>
    <t>Cimetidine</t>
  </si>
  <si>
    <t>DTXSID4020329</t>
  </si>
  <si>
    <t>Tests</t>
  </si>
  <si>
    <t>Resp Sens Tests</t>
  </si>
  <si>
    <t>Skin Sens Tests</t>
  </si>
  <si>
    <t>aop39</t>
  </si>
  <si>
    <t>2ke</t>
  </si>
  <si>
    <t>(chemokines OR cytokines OR inflammation OR inflammatory modulators)</t>
  </si>
  <si>
    <t>3ke</t>
  </si>
  <si>
    <t>4ke</t>
  </si>
  <si>
    <t>5ao</t>
  </si>
  <si>
    <t>51481-61-9 OR Cimetidine</t>
  </si>
  <si>
    <t>2425-06-1 OR Captafol</t>
  </si>
  <si>
    <t>1897-45-6 OR Chlorothalonil OR tetrachloroisophthalonitrile</t>
  </si>
  <si>
    <t>Chlorothalonil</t>
  </si>
  <si>
    <t>Preferred Name or team name</t>
  </si>
  <si>
    <t>(skin prick test OR Local Lymph Node Assay OR "LLNA"[tiab] OR skin tests OR  Skin Irritancy Tests OR DPRA[tiab]OR "KeratinoSens"[tiab] OR  "LuSens"[tiab] OR "h-CLAT"[tiab])</t>
  </si>
  <si>
    <t>(nasal challenge OR bronchial challenge OR bronchial provocation test OR forced expiratory volume OR vital capacity OR Bronchial Provocation Tests OR Peak Expiratory Flow Rate OR Respiratory Function Tests OR Diagnostic Techniques, Respiratory System[tw] OR Respiratory Function Tests OR Pulmonary Ventilation OR Forced Expiratory Flow Rates OR Forced Expiratory Volume OR Maximal Voluntary Ventilation OR "forced vital capacity"[tiab])</t>
  </si>
  <si>
    <t>Acetaminophen</t>
  </si>
  <si>
    <t>DTXSID7021239</t>
  </si>
  <si>
    <t>all-trans-Retinoic acid</t>
  </si>
  <si>
    <t>DTXSID4023177</t>
  </si>
  <si>
    <t>13-cis Retinoic acid</t>
  </si>
  <si>
    <t>DTXSID7020182</t>
  </si>
  <si>
    <t>Bisphenol A</t>
  </si>
  <si>
    <t>DTXSID5033836</t>
  </si>
  <si>
    <t>DTXSID5023746</t>
  </si>
  <si>
    <t>Zafirlukast</t>
  </si>
  <si>
    <t>DTXSID2020006</t>
  </si>
  <si>
    <t>Asthma OR lung diseases OR Respiratory Hypersensitivity OR Bronchial Hyperreactivity OR ((alveoli OR trachea OR bronchi) AND (toxicity OR pathology))</t>
  </si>
  <si>
    <t>t-lymphocytes OR t-cells OR lymphocyte activation</t>
  </si>
  <si>
    <t>protein binding OR haptens</t>
  </si>
  <si>
    <t>03/31/2021  Curate form copy function output format modified</t>
  </si>
  <si>
    <t>Version 5.7</t>
  </si>
  <si>
    <t>03/31/2021  If Notes with conflicting yes/no/maybe then colorize purple</t>
  </si>
  <si>
    <t>04/09/2021  Next/previous buttons on Abstract sheet</t>
  </si>
  <si>
    <t>Some other columns of interest to customize</t>
  </si>
  <si>
    <t>05/18/2021  Messages on Main fixed</t>
  </si>
  <si>
    <t>06/01/2021  Adjustments made to Term Mapping (lcase and TX appended on double-click)</t>
  </si>
  <si>
    <t>DTXSID9044796</t>
  </si>
  <si>
    <t>(Acryloyloxy)(tributyl)stannane</t>
  </si>
  <si>
    <t>13331-52-7 OR (Acryloyloxy)(tributyl)stannane</t>
  </si>
  <si>
    <t>DTXSID0021963</t>
  </si>
  <si>
    <t xml:space="preserve">(DEAB) 4-(Diethylamino)benzaldehyde </t>
  </si>
  <si>
    <t>120-21-8 OR 4-(Diethylamino)benzaldehyde OR DEAB</t>
  </si>
  <si>
    <t>DTXSID9040760</t>
  </si>
  <si>
    <t>{4-[({2-[3-Fluoro-4-(trifluoromethyl)phenyl]-4-methyl-1,3-thiazol-5-yl}methyl)sulfanyl]-2-methylphenoxy}acetic acid</t>
  </si>
  <si>
    <t>317318-84-6 OR {4-[({2-[3-Fluoro-4-(trifluoromethyl)phenyl]-4-methyl-1,3-thiazol-5-yl}methyl)sulfanyl]-2-methylphenoxy}acetic acid OR GW0742</t>
  </si>
  <si>
    <t>4759-48-2 OR 13-cis Retinoic acid OR Isotretinoin</t>
  </si>
  <si>
    <t>DTXSID3026190</t>
  </si>
  <si>
    <t>2,2',4'-Trichloroacetophenone</t>
  </si>
  <si>
    <t>4252-78-2 OR 2,2',4'-Trichloroacetophenone</t>
  </si>
  <si>
    <t>DTXSID4040767</t>
  </si>
  <si>
    <t>3,5-Dichlorosalicyl-3,4-dichloroanilide</t>
  </si>
  <si>
    <t>1154-59-2 OR 3,5-Dichlorosalicyl-3,4-dichloroanilide OR 3,3',4',5-tetrachlorosalicylanilide</t>
  </si>
  <si>
    <t>DTXSID6024836</t>
  </si>
  <si>
    <t>3,7-Dimethyl-2,6-octadienal</t>
  </si>
  <si>
    <t>5392-40-5 OR 3,7-Dimethyl-2,6-octadienal OR citral</t>
  </si>
  <si>
    <t>DTXSID5044360</t>
  </si>
  <si>
    <t>3,7-Dimethyloctan-1-ol **</t>
  </si>
  <si>
    <t>106-21-8 OR 3,7-Dimethyloctan-1-ol</t>
  </si>
  <si>
    <t>DTXSID80228861</t>
  </si>
  <si>
    <t>4-(3-3,4-p-menthadien-(1,8)-yl)olivetol</t>
  </si>
  <si>
    <t>4-(3-3,4-p-menthadien-(1,8)-yl)olivetol OR abn-cbd OR "abnormal cannabidiol"[tw]</t>
  </si>
  <si>
    <t>4-(Diethylamino)benzaldehyde</t>
  </si>
  <si>
    <t>DTXSID2032005</t>
  </si>
  <si>
    <t>4-Hydroxyphenyl retinamide</t>
  </si>
  <si>
    <t>65646-68-6 OR 4-Hydroxyphenyl retinamide OR Fenretinide</t>
  </si>
  <si>
    <t>DTXSID3040649</t>
  </si>
  <si>
    <t>4-Methylpyrazole</t>
  </si>
  <si>
    <t>7554-65-6 OR 4-Methylpyrazole OR fomepizole</t>
  </si>
  <si>
    <t>104-40-5 OR 4-Nonylphenol</t>
  </si>
  <si>
    <t>DTXSID20865895</t>
  </si>
  <si>
    <t>4-oxoretinoic acid</t>
  </si>
  <si>
    <t>4-oxoretinoic acid OR "4-oxo-RA"[tw]</t>
  </si>
  <si>
    <t>DTXSID6040404</t>
  </si>
  <si>
    <t>9-cis Retinoic acid</t>
  </si>
  <si>
    <t>5300-03-8 OR 9-cis Retinoic acid OR alitretinoin</t>
  </si>
  <si>
    <t>DTXSID5039224</t>
  </si>
  <si>
    <t>Acetaldehyde</t>
  </si>
  <si>
    <t>75-07-0 OR Acetaldehyde</t>
  </si>
  <si>
    <t>103-90-2 OR Acetaminophen</t>
  </si>
  <si>
    <t>DTXSID6022553</t>
  </si>
  <si>
    <t>Acitretin</t>
  </si>
  <si>
    <t>55079-83-9 OR Acitretin</t>
  </si>
  <si>
    <t>DTXSID5046481</t>
  </si>
  <si>
    <t>Adapalene</t>
  </si>
  <si>
    <t>106685-40-9 OR Adapalene</t>
  </si>
  <si>
    <t>DTXSID50472955</t>
  </si>
  <si>
    <t>AGN 193109</t>
  </si>
  <si>
    <t>171568-43-7 OR AGN 193109</t>
  </si>
  <si>
    <t>DTXSID8020040</t>
  </si>
  <si>
    <t>Aldrin</t>
  </si>
  <si>
    <t>309-00-2 OR Aldrin</t>
  </si>
  <si>
    <t>Alitretinoin</t>
  </si>
  <si>
    <t xml:space="preserve">9-cis Retinoic acid OR alitretinoin </t>
  </si>
  <si>
    <t>DTXSID8035180</t>
  </si>
  <si>
    <t>Allethrin</t>
  </si>
  <si>
    <t>584-79-2 OR Allethrin</t>
  </si>
  <si>
    <t>302-79-4 OR all-trans-Retinoic acid OR Tretinoin</t>
  </si>
  <si>
    <t>DTXSID5040758</t>
  </si>
  <si>
    <t>AM580</t>
  </si>
  <si>
    <t>102121-60-8 OR AM580 OR Am 580</t>
  </si>
  <si>
    <t>DTXSID0048185</t>
  </si>
  <si>
    <t>Apomorphine hydrochloride hydrate</t>
  </si>
  <si>
    <t>41372-20-7 OR Apomorphine hydrochloride hydrate</t>
  </si>
  <si>
    <t>DTXSID6040743</t>
  </si>
  <si>
    <t>Arotinoid acid OR TTNPB</t>
  </si>
  <si>
    <t>71441-28-6 OR TTNPB OR  Arotinoid acid OR 4-(2-(5,6,7,8-tetrahydro-5,5,8,8-tetramethyl-2-naphthalenyl)-1-propenyl)benzoic acid[nm]</t>
  </si>
  <si>
    <t>DTXSID5046776</t>
  </si>
  <si>
    <t>Ataluren</t>
  </si>
  <si>
    <t>775304-57-9 OR Ataluren</t>
  </si>
  <si>
    <t>DTXSID4047383</t>
  </si>
  <si>
    <t>AVE3247</t>
  </si>
  <si>
    <t>DTXSID9032329</t>
  </si>
  <si>
    <t>Bensulide</t>
  </si>
  <si>
    <t>741-58-2 OR Bensulide</t>
  </si>
  <si>
    <t>DTXSID0023901</t>
  </si>
  <si>
    <t>Bentazone</t>
  </si>
  <si>
    <t>25057-89-0 OR Bentazone</t>
  </si>
  <si>
    <t>DTXSID4022652</t>
  </si>
  <si>
    <t>Benzbromarone</t>
  </si>
  <si>
    <t>3562-84-3 OR Benzbromarone</t>
  </si>
  <si>
    <t>DTXSID1040619</t>
  </si>
  <si>
    <t>Bexarotene</t>
  </si>
  <si>
    <t>153559-49-0 OR Bexarotene</t>
  </si>
  <si>
    <t>DTXSID80163783</t>
  </si>
  <si>
    <t>Bisdiamine OR N,N'-bis(dichloroacetyl)-1,8-octamethylenediamine OR 1477-57-2</t>
  </si>
  <si>
    <t>DTXSID9058654</t>
  </si>
  <si>
    <t>BisOPP-A</t>
  </si>
  <si>
    <t>24038-68-4 OR BisOPP-A</t>
  </si>
  <si>
    <t>80-05-7 OR Bisphenol A</t>
  </si>
  <si>
    <t>DTXSID9021342</t>
  </si>
  <si>
    <t>Bithionol</t>
  </si>
  <si>
    <t>97-18-7 OR Bithionol</t>
  </si>
  <si>
    <t>DTXSID80168213</t>
  </si>
  <si>
    <t>BMS453</t>
  </si>
  <si>
    <t>166977-43-1 OR BMS453</t>
  </si>
  <si>
    <t>DTXSID9036779</t>
  </si>
  <si>
    <t>BPDE</t>
  </si>
  <si>
    <t xml:space="preserve">Benzo[a]pyrene diol epoxide </t>
  </si>
  <si>
    <t>DTXSID8034401</t>
  </si>
  <si>
    <t>Buprofezin</t>
  </si>
  <si>
    <t>69327-76-0 OR Buprofezin</t>
  </si>
  <si>
    <t>DTXSID5020239</t>
  </si>
  <si>
    <t>Candesartan cilexetil</t>
  </si>
  <si>
    <t>145040-37-5 OR Candesartan cilexetil OR candesartan</t>
  </si>
  <si>
    <t>DTXSID8074443</t>
  </si>
  <si>
    <t>CD 367</t>
  </si>
  <si>
    <t>CD 367 OR "4-(5,6,7,8-tetrahydro-5,5,8,8-tetramethyl-2-anthracenyl)benzoic acid"[tw] OR 107430-51-3</t>
  </si>
  <si>
    <t>DTXSID80154737</t>
  </si>
  <si>
    <t>Cd 437</t>
  </si>
  <si>
    <t>125316-60-1 OR Cd 437</t>
  </si>
  <si>
    <t>DTXSID7029871</t>
  </si>
  <si>
    <t>Clotrimazole</t>
  </si>
  <si>
    <t>23593-75-1 OR Clotrimazole</t>
  </si>
  <si>
    <t>DTXSID4022153</t>
  </si>
  <si>
    <t>Tetrabutyltin</t>
  </si>
  <si>
    <t>1461-25-2 OR Tetrabutyltin</t>
  </si>
  <si>
    <t>DTXSID4051378</t>
  </si>
  <si>
    <t>Tetrachlorodibenzodioxin</t>
  </si>
  <si>
    <t>41903-57-5 OR Tetrachlorodibenzodioxin</t>
  </si>
  <si>
    <t>DTXSID1032488</t>
  </si>
  <si>
    <t>Thiazopyr</t>
  </si>
  <si>
    <t>117718-60-2 OR Thiazopyr</t>
  </si>
  <si>
    <t>DTXSID6024337</t>
  </si>
  <si>
    <t>Thiobencarb</t>
  </si>
  <si>
    <t>28249-77-6 OR Thiobencarb OR benthiocarb</t>
  </si>
  <si>
    <t>DTXSID5021332</t>
  </si>
  <si>
    <t>Thiram</t>
  </si>
  <si>
    <t>137-26-8 OR Thiram</t>
  </si>
  <si>
    <t>DTXSID3023897</t>
  </si>
  <si>
    <t>Triadimefon</t>
  </si>
  <si>
    <t>43121-43-3 OR Triadimefon</t>
  </si>
  <si>
    <t>DTXSID0032493</t>
  </si>
  <si>
    <t>Triadimenol</t>
  </si>
  <si>
    <t>55219-65-3 OR Triadimenol OR triadimefon</t>
  </si>
  <si>
    <t>DTXSID9034997</t>
  </si>
  <si>
    <t>Tributyltetradecylphosphonium chloride</t>
  </si>
  <si>
    <t>81741-28-8 OR Tributyltetradecylphosphonium chloride</t>
  </si>
  <si>
    <t>DTXSID0040709</t>
  </si>
  <si>
    <t>Tributyltin</t>
  </si>
  <si>
    <t>688-73-3 OR Tributyltin</t>
  </si>
  <si>
    <t>DTXSID5047825</t>
  </si>
  <si>
    <t>Vinorelbine tartrate</t>
  </si>
  <si>
    <t>125317-39-7 OR Vinorelbine tartrate OR vinorelbine</t>
  </si>
  <si>
    <t>Win16,446 OR bisdiamine</t>
  </si>
  <si>
    <t>Win16,446 OR bisdiamine OR "N,N'-bis(dichloroacetyl)-1,8-octamethylenediamine"[tw]</t>
  </si>
  <si>
    <t>107753-78-6 OR Zafirlukast</t>
  </si>
  <si>
    <t>DTXSID5021463</t>
  </si>
  <si>
    <t>Zinc diethyldithiocarbamate</t>
  </si>
  <si>
    <t>14324-55-1 OR Zinc diethyldithiocarbamate OR Ditiocarb</t>
  </si>
  <si>
    <t>DTXSID7026314</t>
  </si>
  <si>
    <t>Zinc pyrithione</t>
  </si>
  <si>
    <t>13463-41-7 OR Zinc pyrithione OR pyrithione zinc</t>
  </si>
  <si>
    <t>DTXSID0021464</t>
  </si>
  <si>
    <t>Ziram</t>
  </si>
  <si>
    <t>137-30-4 OR Ziram</t>
  </si>
  <si>
    <t>EmbDev</t>
  </si>
  <si>
    <t>(embryo OR embryonic Or embryonal OR embryogenesis  OR embryology OR fetus Or fetal OR larvae OR larval OR chick OR Embryonic and Fetal Development[tw])</t>
  </si>
  <si>
    <t>HeartDev</t>
  </si>
  <si>
    <t>Heart Dev</t>
  </si>
  <si>
    <t>(heart OR cardiac OR  cardiogenesis OR cardiopoiesis OR atrium OR atrial OR ventricle OR chamber OR aortic OR aorta OR outflow OR pulmonary OR septum OR septal OR foramen ovale OR cushion OR sinus venosus OR truncus arteriosus OR patterning) AND  (embryo OR embryonic Or embryonal OR embryogenesis OR embryology OR fetus Or fetal OR larvae OR larval OR chick OR Embryonic and Fetal Development[tw])</t>
  </si>
  <si>
    <t>HeartDevDefects</t>
  </si>
  <si>
    <t>Heart Defect</t>
  </si>
  <si>
    <t>((Heart defects, congenital[mh] OR congenital heart defects) OR   (heart AND (abnormalities OR pathologies OR pathology OR teratogenesis)) OR (septum primus OR septum secundum OR septal defect OR septal defects OR (septum AND defect*) OR  (myocardial AND bridging)  OR Myocardial Bridging[tw] OR Tetralogy of Fallot OR transposition of great vessels OR  overriding aorta OR ventricular hypoplasia OR   Interventricular septal defects OR  valvular septal defects OR  Pericardial edema ))</t>
  </si>
  <si>
    <t>HeartFlow</t>
  </si>
  <si>
    <t>Heart Flow Dynamics</t>
  </si>
  <si>
    <t>(Hemodynamics OR bidirectional blood flow OR  unidirectional blood flow OR Mechanobiology OR Dorsal mesenchymal protrusion OR Conductive system OR (heart AND chamber))</t>
  </si>
  <si>
    <t>Heart Dev Dynamics</t>
  </si>
  <si>
    <t>(embryo OR embryonic Or embryonal OR embryogenesis OR embryology OR fetus Or fetal OR larvae OR larval OR chick OR Embryonic and Fetal Development[tw]) AND (Hemodynamics OR bidirectional blood flow OR  unidirectional blood flow OR Mechanobiology OR Dorsal mesenchymal protrusion OR Conductive system OR (heart AND chamber))</t>
  </si>
  <si>
    <t>HeartCells</t>
  </si>
  <si>
    <t>Heart Cells</t>
  </si>
  <si>
    <t>(((cardiac OR heart) AND (progenitor OR stem cell OR neural crest OR jelly OR fibroblasts  OR endothelial OR myocytes )) OR cardioprogenitors OR  cardiomyocytes OR spinal neural crest OR epicardial progenitor )</t>
  </si>
  <si>
    <t>Heart Dev Stages</t>
  </si>
  <si>
    <t>((cardiac OR heart) AND (crescent OR tube OR loop OR looping OR maturation OR field)) OR (endocardial OR endocardium OR myocardium OR myocardial OR epicardium OR epicardial OR pericardium OR pericardial OR Proepicardium)</t>
  </si>
  <si>
    <t>Heart</t>
  </si>
  <si>
    <t>System</t>
  </si>
  <si>
    <t>(heart OR cardiac OR  cardiogenesis OR cardiopoiesis OR atrium OR atrial OR ventricle OR chamber OR aortic OR aorta OR outflow OR pulmonary OR septum OR septal OR foramen ovale OR cushion OR sinus venosus OR truncus arteriosus)</t>
  </si>
  <si>
    <t>HeartCellDefect</t>
  </si>
  <si>
    <t>Heart Cell Defects</t>
  </si>
  <si>
    <t>((cardiac AND (progenitor OR stem cell OR neural crest OR jelly)) OR cardioprogenitors OR  cardiomyocytes OR spinal neural crest OR epicardial progenitor) AND (hypoplasia OR hyperplasia OR proliferation Or hypertrophy OR lineage)</t>
  </si>
  <si>
    <t>DevTransport</t>
  </si>
  <si>
    <t>(transport OR uptake OR storage OR metabolism) AND (pregnancy OR placenta OR placental)</t>
  </si>
  <si>
    <t>Double-click on cells for quick sifting.  Or go to Main and sift on TermX: for any mapping or TX: for counts of each mapping.</t>
  </si>
  <si>
    <t>Term Expand  / Map</t>
  </si>
  <si>
    <t>Map to this:</t>
  </si>
  <si>
    <t>When you see this:</t>
  </si>
  <si>
    <t>Count</t>
  </si>
  <si>
    <t>Version 6.0 (beta)</t>
  </si>
  <si>
    <t>05/15/2021 TermMap added</t>
  </si>
  <si>
    <t>06/2021  fixed RIS export of keywords</t>
  </si>
  <si>
    <t>Version 6.0</t>
  </si>
  <si>
    <t>Note:  because of changes expected to PubMed web services, it is important to use a newer version (v3 or above) of the Abstract Sifter.  In the future, you can find new versions here: https://gaftp.epa.gov/COMPTOX/Sustainable_Chemistry_Data/Chemistry_Dashboard/Abstract_Sifter/AbstractSifter.zip</t>
  </si>
  <si>
    <t>07/07/2021  Backed out MeSH extract; added copy to Main from Notes More Stuff</t>
  </si>
  <si>
    <t>1</t>
  </si>
  <si>
    <t>36</t>
  </si>
  <si>
    <t>Abstract Sifter v6</t>
  </si>
  <si>
    <t>07/08/2021  Fixed colorization of mapped terms on Abstract sheet; column formatting changed for batch</t>
  </si>
  <si>
    <t>Justice</t>
  </si>
  <si>
    <t>EnvJustice</t>
  </si>
  <si>
    <t>(Environmental Justice OR (Social justice[tw] And environment) OR climate justice[tw] OR Urban justice[tw] OR (Built environment AND (equity OR equality OR justice)) OR (Health Status Disparities AND environment))</t>
  </si>
  <si>
    <t>07/20/2021  Corrected More Things form (removed MeSH extract)</t>
  </si>
  <si>
    <t>Unspecified</t>
  </si>
  <si>
    <t>Receptors, Neuropeptide Y OR Npy1r</t>
  </si>
  <si>
    <t>Receptor, trkB OR NTRK2 Receptor</t>
  </si>
  <si>
    <t>NPY1R</t>
  </si>
  <si>
    <t>NTRK2</t>
  </si>
  <si>
    <t>Brain</t>
  </si>
  <si>
    <t>07/21/2021  TermMapping form - asking to continue</t>
  </si>
  <si>
    <t>These are sample records. Feel free to delete rows after row 3.</t>
  </si>
  <si>
    <t>08/09/2021  Added PMC link to PubTator</t>
  </si>
  <si>
    <t>An Experimental Approach to Study the Effects of Realistic Environmental Mixture of Linuron and Propamocarb on Zebrafish Synaptogenesis.</t>
  </si>
  <si>
    <t>An Experimental Approach to Study the Effects of Realistic Environmental Mixture of Linuron and Propamocarb on Zebrafish Synaptogenesis.    ABSTRACT:  The reasons behind the extensive use of pesticides include the need to destroy vector organisms and promote agricultural production in order to sustain population growth. Exposure to pesticides is principally occupational, even if their persistence in soil, surface water and food brings the risk closer to the general population, hence the demand for risk assessment, since these compounds exist not only as individual chemicals but also in form of mixtures. In light of this, zebrafish represents a suitable model for the evaluation of toxicological effects. Here, zebrafish embryos were exposed for 96 h post fertilization (hpf) to sublethal concentrations (350 µg/L) of linuron and propamocarb, used separately and then combined in a single solution. We investigated the effects on morphological traits and the expression of genes known to be implicated in synaptogenesis (neurexin1a and neuroligin3b). We observed alterations in some phenotypic parameters, such as head width and interocular distance, that showed a significant reduction (p &lt; 0.05) for the mixture treatment. After individual exposure, the analysis of gene expression showed an imbalance at the synaptic level, which was partially recovered by the simultaneous administration of linuron and propamocarb. This preliminary study demonstrates that the combined substances were responsible for some unpredictable effects, diverging from the effect observed after single exposure. Thus, it is clear that risk assessment should be performed not only on single pesticides but also on their mixtures, the toxicological dynamics of which can be totally unpredictable.  KEYWORDS:  MeSH Chemical: Carbamates| Pesticides| Water Pollutants, Chemical| Linuron| propamocarb MeSH: | Animals| Carbamates| Humans| Linuron/toxicity| Pesticides/majr| Water Pollutants, Chemical/majr/toxicity| Zebrafish Other:mixtures|pesticides|sublethal effects|synaptogenesis|zebrafish</t>
  </si>
  <si>
    <t>Caioni G, Merola C, Perugini M, d'Angelo M, Cimini AM, Amorena M, Benedetti E</t>
  </si>
  <si>
    <t>International journal of environmental research and public health</t>
  </si>
  <si>
    <t>18</t>
  </si>
  <si>
    <t>9</t>
  </si>
  <si>
    <t>Residential proximity to pesticide application as a risk factor for childhood central nervous system tumors.</t>
  </si>
  <si>
    <t>Residential proximity to pesticide application as a risk factor for childhood central nervous system tumors.    ABSTRACT:  Pesticide exposures have been examined previously as risk factors for childhood brain cancers, but few studies were able to assess risk from specific agents.To evaluate risks for childhood central nervous system tumors associated with residential proximity to agricultural pesticide applications.Using the California Cancer Registry, we identified cancer cases less than 6 years of age and frequency matched them by year of birth to 20 cancer-free controls identified from birth certificates. We restricted analyses to mothers living in rural areas and births occurring between 1998 and 2011, resulting in 667 cases of childhood central nervous system tumors and 123,158 controls. Possible carcinogens were selected per the Environmental Protection Agency's (US. EPA) classifications, and prenatal exposure was assessed according to pesticides reported by the California Department of Pesticide Regulation's (CDPR) Pesticide Use Reporting (PUR) system as being applied within 4000m of the maternal residence at birth. We computed odds ratios for individual pesticide associations using unconditional logistic and hierarchical regression models.We observed elevated risks in the hierarchical models for diffuse astrocytoma with exposure to bromacil (OR: 2.12, 95% CI: 1.13-3.97), thiophanate-methyl (OR: 1.64, 95% CI: 1.02-2.66), triforine (OR: 2.38, 95% CI: 1.44-3.92), and kresoxim methyl (OR: 2.09, 95% CI: 1.03-4.21); elevated risks for medulloblastoma with exposure to chlorothalonil (OR: 1.78, 95% CI: 1.15-2.76), propiconazole (OR: 1.60, 95% CI: 1.02, 2.53), dimethoate (OR: 1.60, 95% CI: 1.06, 2.43), and linuron (OR: 2.52, 95% CI: 1.25, 5.11); and elevated risk for ependymoma with exposure to thiophanate-methyl (OR: 1.72, 95% CI: 1.10-2.68).Our study suggests that exposure to certain pesticides through residential proximity to agricultural applications during pregnancy may increase the risk of childhood central nervous system tumors.Copyright © 2021 Elsevier Inc. All rights reserved.  KEYWORDS:  MeSH Chemical: Pesticides MeSH: | California/epidemiology| Case-Control Studies| Central Nervous System Neoplasms/majr/chemically induced/epidemiology| Environmental Exposure/adverse effects| Female| Humans| Infant, Newborn| Pesticides/majr/toxicity| Pregnancy| Risk Factors Other:Ambient exposure|Central nervous system|Childhood cancers|Pesticides|Pregnancy</t>
  </si>
  <si>
    <t>Lombardi C, Thompson S, Ritz B, Cockburn M, Heck JE</t>
  </si>
  <si>
    <t>Environmental research</t>
  </si>
  <si>
    <t>197</t>
  </si>
  <si>
    <t>111078</t>
  </si>
  <si>
    <t>Pesticide-induced multigenerational effects on amphibian reproduction and metabolism.</t>
  </si>
  <si>
    <t>Pesticide-induced multigenerational effects on amphibian reproduction and metabolism.    ABSTRACT:  Underlying drivers of species extinctions need to be better understood for effective conservation of biodiversity. Nearly half of all amphibian species are at risk of extinction, and pollution may be a significant threat as seasonal high-level agrochemical use overlaps with critical windows of larval development. The potential of environmental chemicals to reduce the fitness of future generations may have profound ecological and evolutionary implications. This study characterized effects of male developmental exposure to environmentally relevant concentrations of the anti-androgenic pesticide linuron over two generations of offspring in Xenopus tropicalis frogs. The adult male offspring of pesticide-exposed fathers (F1) showed reduced body size, decreased fertility, and signs of endocrine system disruption. Impacts were further propagated to the grand-offspring (F2), providing evidence of transgenerational effects in amphibians. The adult F2 males demonstrated increased weight and fat body palmitoleic-to-palmitic acid ratio, and decreased plasma glucose levels. The study provides important cross-species evidence of paternal epigenetic inheritance and pollutant-induced transgenerational toxicity, supporting a causal and complex role of environmental contamination in the ongoing species extinctions, particularly of amphibians.Copyright © 2021 The Authors. Published by Elsevier B.V. All rights reserved.  KEYWORDS:  MeSH Chemical: Environmental Pollutants| Pesticides MeSH: | Amphibians| Animals| Environmental Pollutants/majr| Male| Pesticides/majr/toxicity| Reproduction| Xenopus Other:Anti-androgenic|Frog|Linuron|Paternal epigenetic inheritance|SCD-1|Transgenerational|Xenopus tropicalis</t>
  </si>
  <si>
    <t>Karlsson O, Svanholm S, Eriksson A, Chidiac J, Eriksson J, Jernerén F, Berg C</t>
  </si>
  <si>
    <t>The Science of the total environment</t>
  </si>
  <si>
    <t>775</t>
  </si>
  <si>
    <t>145771</t>
  </si>
  <si>
    <t>Quantitative in Vitro to in Vivo Extrapolation (QIVIVE) for Predicting Reduced Anogenital Distance Produced by Anti-Androgenic Pesticides in a Rodent Model for Male Reproductive Disorders.</t>
  </si>
  <si>
    <t>Quantitative in Vitro to in Vivo Extrapolation (QIVIVE) for Predicting Reduced Anogenital Distance Produced by Anti-Androgenic Pesticides in a Rodent Model for Male Reproductive Disorders.    ABSTRACT:  Many pesticides can antagonize the androgen receptor (AR) or inhibit androgen synthesis in vitro but their potential to cause reproductive toxicity related to disruption of androgen action during fetal life is difficult to predict. Currently no approaches for using in vitro data to anticipate such in vivo effects exist. Prioritization schemes that limit unnecessary in vivo testing are urgently needed.The aim was to develop a quantitative in vitro to in vivo extrapolation (QIVIVE) approach for predicting in vivo anti-androgenicity arising from gestational exposures and manifesting as a shortened anogenital distance (AGD) in male rats.We built a physiologically based pharmacokinetic (PBK) model to simulate concentrations of chemicals in the fetus resulting from maternal dosing. The predicted fetal levels were compared with analytically determined concentrations, and these were judged against in vitro active concentrations for AR antagonism and androgen synthesis suppression.We first evaluated our model by using in vitro and in vivo anti-androgenic data for procymidone, vinclozolin, and linuron. Our PBK model described the measured fetal concentrations of parent compounds and metabolites quite accurately (within a factor of five). We applied the model to nine current-use pesticides, all with in vitro evidence for anti-androgenicity but missing in vivo data. Seven pesticides (fludioxonil, cyprodinil, dimethomorph, imazalil, quinoxyfen, fenhexamid, o-phenylphenol) were predicted to produce a shortened AGD in male pups, whereas two (λ-cyhalothrin, pyrimethanil) were anticipated to be inactive. We tested these expectations for fludioxonil, cyprodinil, and dimethomorph and observed shortened AGD in male pups after gestational exposure. The measured fetal concentrations agreed well with PBK-modeled predictions.Our QIVIVE model newly identified fludioxonil, cyprodinil, and dimethomorph as in vivo anti-androgens. With the examples investigated, our approach shows great promise for predicting in vivo anti-androgenicity (i.e., AGD shortening) for chemicals with in vitro activity and for minimizing unnecessary in vivo testing. https://doi.org/10.1289/EHP6774.  KEYWORDS:  MeSH Chemical: Androgen Antagonists| Androgen Receptor Antagonists| Bridged Bicyclo Compounds| Oxazoles| Pesticides| Receptors, Androgen| Linuron| procymidone| vinclozolin MeSH: | Androgen Antagonists/majr/toxicity| Androgen Receptor Antagonists/toxicity| Animals| Bridged Bicyclo Compounds/toxicity| Genitalia, Male/majr/anatomy &amp; histology/drug effects/growth &amp; development| Linuron/toxicity| Male| Oxazoles/toxicity| Pesticides/majr/toxicity| Rats| Receptors, Androgen/metabolism</t>
  </si>
  <si>
    <t>Scholze M, Taxvig C, Kortenkamp A, Boberg J, Christiansen S, Svingen T, Lauschke K, Frandsen H, Ermler S, Hermann SS, Pedersen M, Lykkeberg AK, Axelstad M, Vinggaard AM</t>
  </si>
  <si>
    <t>Environmental health perspectives</t>
  </si>
  <si>
    <t>128</t>
  </si>
  <si>
    <t>11</t>
  </si>
  <si>
    <t>117005</t>
  </si>
  <si>
    <t>Evaluation of dietary dose administration as an alternative to oral gavage in the rodent uterotrophic and Hershberger assays.</t>
  </si>
  <si>
    <t>Evaluation of dietary dose administration as an alternative to oral gavage in the rodent uterotrophic and Hershberger assays.    ABSTRACT:  The rodent uterotrophic and Hershberger assays evaluate potential estrogenic and (anti)-androgenic effects, respectively. Both US EPA and OECD guidelines specify that test substance is administered daily either by subcutaneous injection or oral gavage. However, dietary administration is a relevant exposure route for agrochemical regulatory toxicology studies due to potential human intake via crop residues. In this study, equivalent doses of positive control chemicals administered via dietary and gavage routes of administration were compared in the uterotrophic (17α-ethinyl estradiol) and Hershberger (flutamide, linuron, dichloro-2,2-bis(4-chlorophenyl) ethane; 4,4'-DDE) assays in ovariectomized and castrated rats, respectively. For all positive control chemicals tested, statistically significant changes in organ weights and decreases in food consumption were observed by both routes of test substance administration. Decreased body weight gain observed for dietary linuron and 4,4'-DDE indicated that the maximum tolerated dose was exceeded. Hershberger dietary administration resulted in a similar blood exposure (AUC24) for each positive control chemical when compared to gavage. Overall, the correlation in organ weight changes for both the uterotrophic and Hershberger assays suggest that dietary administration is an acceptable route of exposure with similar sensitivity to oral gavage dosing for evaluation of the endocrine potential of a test substance and represents a more appropriate route of test substance administration for most environmental exposure scenarios.Copyright © 2020 Elsevier Inc. All rights reserved.  KEYWORDS:  MeSH Chemical: Androgen Antagonists| Estrogens| dihydrodehydrodiisoeugenol| Linuron| Eugenol| Ethinyl Estradiol| Flutamide MeSH: | Administration, Oral| Androgen Antagonists/majr/administration &amp; dosage/pharmacokinetics/toxicity| Animals| Biological Assay/methods| Diet| Estrogens/majr/administration &amp; dosage| Ethinyl Estradiol/majr/administration &amp; dosage| Eugenol/administration &amp; dosage/analogs &amp; derivatives/pharmacokinetics/toxicity| Female| Flutamide/administration &amp; dosage/pharmacokinetics/toxicity| Genitalia, Male/majr/drug effects/growth &amp; development| Linuron/administration &amp; dosage/pharmacokinetics/toxicity| Male| Organ Size/drug effects| Rats| Uterus/majr/drug effects/growth &amp; development Other:Androgenic|Endocrine|Estrogenic|Hershberger|Toxicokinetics|Uterotrophic</t>
  </si>
  <si>
    <t>Markell LK, O'Connor JC, Luo R, Klems JP, Sayers BC, Mingoia RT</t>
  </si>
  <si>
    <t>Regulatory toxicology and pharmacology : RTP</t>
  </si>
  <si>
    <t>119</t>
  </si>
  <si>
    <t>104820</t>
  </si>
  <si>
    <t>α-lipoic acid protects testis and epididymis against linuron-induced oxidative toxicity in adult rats.</t>
  </si>
  <si>
    <t>α-lipoic acid protects testis and epididymis against linuron-induced oxidative toxicity in adult rats.    ABSTRACT:  Linuron is well known for its antiandrogenic property. However, the effects of linuron on testicular and epididymal pro- and antioxidant status are not well defined. On the other hand, α-lipoic acid is well known as universal antioxidant. Therefore, the purpose of this study was twofold: firstly to investigate whether linuron exposure alters antioxidant status in the testis and epididymis of rats and if so, whether the supplementation of α-lipoic acid mitigates linuron-induced oxidative toxicity in rats. To address this question, α-lipoic acid at a dose of 70 mg/Kg body weight (three times a week) was administered to linuron exposed rats (10 or 50 mg/Kg body weight, every alternate day over a period of 60 days), and the selected reproductive endpoints were analyzed after 60 days. Respective controls were maintained in parallel. Linuron at selected doses reduced testicular daily sperm count, and epididymal sperm count, sperm motility, sperm viability, and number of tail coiled sperm, reduced activity levels of 3β- and 17β-hydroxysteroid dehydrogenases, decreased expression levels of StAR mRNA, inhibition of testosterone levels, and elevated levels of testicular cholesterol in rats over controls. Linuron intoxication deteriorated the structural integrity of testis and epididymis associated with reduced the reproductive performance over controls. Conversely, α-lipoic acid supplementation enhanced sperm quality and improved the testosterone synthesis pathway in linuron exposed rats over its respective control. Administration of α-lipoic acid restored inhibition of testicular and epididymal enzymatic (superoxide dismutase, catalase, glutathione reductase, glutathione peroxidise) and non-enzymatic (glutathione content), increased lipid peroxidation and protein carbonyl content produced by linuron in rats. α-lipoic acid supplementation inhibited the expression levels of testicular caspase-3 mRNA levels and also its activity in linuron treated rats. To summate, α-lipoic acid-induced protection of reproductive health in linuron treated rats could be attributed to its antioxidant, and steroidogenic properties.© Korean Society of Toxicology 2020.  KEYWORDS:  Other:Alpha lipoic acid|Linuron|Oxidative stress|Rat|Sperm|Testosterone</t>
  </si>
  <si>
    <t>Prathima P, Venkaiah K, Daveedu T, Pavani R, Sukeerthi S, Gopinath M, Sainath SB</t>
  </si>
  <si>
    <t>Toxicological research</t>
  </si>
  <si>
    <t>4</t>
  </si>
  <si>
    <t>343-357</t>
  </si>
  <si>
    <t>Maternal exposure to mixtures of dienestrol, linuron and flutamide. Part II: Endocrine-related gene expression assessment on male offspring rat testes.</t>
  </si>
  <si>
    <t>Maternal exposure to mixtures of dienestrol, linuron and flutamide. Part II: Endocrine-related gene expression assessment on male offspring rat testes.    ABSTRACT:  Exposure to endocrine-disrupting compounds (EDCs) during pregnancy and early development can lead to adverse developmental outcomes in offspring. One of the endpoints of concern is feminization. The present study aimed to investigate for any possible correlations with endocrine sensitive parameters in the testes of male rat offspring following dam exposure to three EDCs by assessing the expression of endocrine-related genes. Dienestrol (DIES) [0.37-6.25 μg/kg bw/day], linuron (LIN) [1.5-50 mg/kg bw/day], flutamide (FLU) [3.5-50 mg/kg bw/day] as well as their binary mixtures were administered to sexually mature female rats from gestation day (GD) 6 until postnatal day (PND) 21. Gene expression analysis of Star, Cyp11a1, Cyp17a1, Hsd3b2, Pgr and Insl3 was performed by RT-qPCR. Administration of the anti-androgen FLU alone significantly upregulated Cyp11a1 and Cyp17a1 gene expression while administration of LIN and DIES alone did not alter significantly gene expression. The effects of the binary mixtures on gene expression were not as marked as those seen after single compound administrations. Deregulation of Cyp17a1 in rat pup testis, following administration of FLU alone or in mixtures to dams, was significantly correlated with the observed feminization endpoints in male pups.Copyright © 2020. Published by Elsevier Ltd.  KEYWORDS:  MeSH Chemical: Insulin| Leydig insulin-like protein| Proteins| Linuron| Flutamide| Cytochrome P-450 Enzyme System| Dienestrol MeSH: | Animals| Cytochrome P-450 Enzyme System/genetics| Dienestrol/majr/toxicity| Female| Flutamide/majr/toxicity| Gene Expression Regulation/majr/drug effects| Insulin/genetics| Linuron/majr/toxicity| Male| Maternal Exposure/majr| Pregnancy| Prenatal Exposure Delayed Effects| Proteins/genetics| Rats| Testis/majr/drug effects/metabolism Other:Dienestrol|Endocrine genes|Feminization|Flutamide|Linuron|Mixtures</t>
  </si>
  <si>
    <t>Katsanou ES, Batakis P, Spyropoulou A, Schreiber E, Bovee T, Torrente M, Gómez MM, Kumar V, Domingo JL, Machera K</t>
  </si>
  <si>
    <t>Food and chemical toxicology : an international journal published for the British Industrial Biological Research Association</t>
  </si>
  <si>
    <t>144</t>
  </si>
  <si>
    <t>111603</t>
  </si>
  <si>
    <t>Sub-lethal toxicity assessment of the phenylurea herbicide linuron in developing zebrafish (Danio rerio) embryo/larvae.</t>
  </si>
  <si>
    <t>Sub-lethal toxicity assessment of the phenylurea herbicide linuron in developing zebrafish (Danio rerio) embryo/larvae.    ABSTRACT:  Due to run-off and rain events, agrochemicals can enter water catchments, exerting endocrine disruption effects and toxicity to aquatic organisms. Linuron is a phenylurea herbicide used to control a wide variety of vegetative weeds in agriculture in addition to residential applications. However, there are few studies that quantify its toxicity to early developmental stages of fish. The objectives of this study were to assess the acute toxicity of linuron to zebrafish embryos/larvae by measuring mortality, morphological deformities, oxidative respiration, gene expression, and locomotor activity via the Visual Motor Response test. Zebrafish embryos at ~6-h post-fertilization (hpf) were exposed to either embryo rearing medium (ERM), or one dose of 0.625, 1.25, 2.5, 5, and 10 μM linuron for up to 7 days post-fertilization (dpf) depending on the assay. Zebrafish larvae exposed to linuron displayed pericardial edema, yolk sac edema, and spinal curvature. Oxidative respiration assessments in embryos using the Agilent XFe24 Flux Analyzer revealed that linuron decreased mean basal respiration and oligomycin-induced ATP-linked respiration in 30 hpf embryos at 20 μM after a 24-hour exposure. In 7 dpf larvae, transcript abundance was determined for 6 transcripts that have a role in oxidative respiration (atp06, cox1, cox4-1, cox5a1, cytb, and nd1); the relative abundance of these transcripts was not altered with linuron treatment. A Visual Motor Response test was conducted on 7 dpf larvae to determine whether linuron (0.625 to 5 μM) impaired locomotor activity. Larval activity in the dark period decreased in a dose dependent manner and there were indications of hypoactivity as low as 1.25 μM. Transcript abundance was thus determined for tyrosine hydroxylase (th1) and glutamic acid decarboxylase 67 (gad1b), two rate limiting enzymes that control the production of dopamine and gamma-aminobutyric acid respectively. The mRNA levels of gad1b (p = 0.019) were reduced with increasing concentrations of linuron while th1 (p = 0.056) showed a similar decreasing trend, suggesting that neurotransmitter biosynthesis may be altered with exposure to linuron. This study improves knowledge related to the toxicity mechanisms for linuron and is the first to demonstrate that this anti-androgenic chemical impairs oxidative respiration and exerts neurotoxic effects associated with neurotransmitter biosynthesis during early development. These data are significant for environmental risk assessment of agrochemicals.Copyright © 2020 Elsevier Inc. All rights reserved.  KEYWORDS:  Other:Agrochemical|Behavior|Mitochondria|Neurotoxicity|Pesticide toxicity|Risk assessment</t>
  </si>
  <si>
    <t>Maharaj S, El Ahmadie N, Rheingold S, El Chehouri J, Yang L, Souders CL, Martyniuk CJ</t>
  </si>
  <si>
    <t>Neurotoxicology and teratology</t>
  </si>
  <si>
    <t>81</t>
  </si>
  <si>
    <t>106917</t>
  </si>
  <si>
    <t>Hypoxia modifies the response to flutamide and linuron in male three-spined stickleback (Gasterosteus aculeatus).</t>
  </si>
  <si>
    <t>Hypoxia modifies the response to flutamide and linuron in male three-spined stickleback (Gasterosteus aculeatus).    ABSTRACT:  Hypoxia is a major stressor in aquatic environments and it is frequently linked with excess nutrients resulting from sewage effluent discharges and agricultural runoff, which often also contain complex mixtures of chemicals. Despite this, interactions between hypoxia and chemical toxicity are poorly understood. We exposed male three-spined stickleback during the onset of sexual maturation to a model anti-androgen (flutamide; 250 μg/L) and a pesticide with anti-androgenic activity (linuron; 250 μg/L), under either 97% or 56% air saturation (AS). We assessed the effects of each chemical, alone and in combination with reduced oxygen concentration, by measuring the transcription of spiggin in the kidney, as a marker of androgen signalling, and 11 genes in the liver involved in some of the molecular pathways hypothesised to be affected by the exposures. Spiggin transcription was strongly inhibited by flutamide under both AS conditions. In contrast, for linuron, a strong inhibition of spiggin was observed under 97% AS, but this effect was supressed under reduced air saturation, likely due to interactions between the hypoxia inducible factor and the aryl hydrocarbon receptor (AhR) pathways. In the liver, hypoxia inducible factor 1α was induced following exposure to both flutamide and linuron, however this was independent of the level of air saturation. This work illustrates the potential for interactions between hypoxia and pollutants with endocrine or AhR agonist activity to occur, with implications for risk assessment and management.Copyright © 2020. Published by Elsevier Ltd.  KEYWORDS:  MeSH Chemical: Water Pollutants, Chemical| Linuron| Flutamide MeSH: | Animals| Flutamide| Hypoxia| Linuron| Male| Smegmamorpha/majr| Water Pollutants, Chemical/majr Other:Endocrine disrupting chemicals|Fish|Freshwater|Low oxygen|Teleost</t>
  </si>
  <si>
    <t>Fitzgerald JA, Trznadel M, Katsiadaki I, Santos EM</t>
  </si>
  <si>
    <t>Environmental pollution (Barking, Essex : 1987)</t>
  </si>
  <si>
    <t>263</t>
  </si>
  <si>
    <t>Pt A</t>
  </si>
  <si>
    <t>114326</t>
  </si>
  <si>
    <t>Impaired pesticide removal and detoxification by biomixtures during the simulated pesticide application cycle of a tropical agricultural system.</t>
  </si>
  <si>
    <t>Impaired pesticide removal and detoxification by biomixtures during the simulated pesticide application cycle of a tropical agricultural system.    ABSTRACT:  Biopurification systems (BPS) or biobeds have been developed to attenuate point-source contamination due to inappropriate pesticide handling or disposal of agricultural wastewaters. The biomixture used for this strategy should be able to remove different active ingredients but its efficiency can vary due to the constant load of pesticides from crop application programs. For that reason, the performance of biomixtures in conditions that mimic the real pesticide treatment before their implementation in field settings should be assayed. This study aimed to evaluate the removal and detoxifying capacity of a previously formulated biomixture (coconut fiber, 50% v/v; compost, 25%; and soil pre-exposed to pesticides, 25%) during a simulated cycle of pesticide application (93 days) for potato production. The scheme included a first application of linuron followed by a weekly alternated treatment of the mixtures chlorpyrifos/metalaxyl and malathion/dimethomorph, and antibiotics at day 72. The biomixture showed efficient removal of linuron (half-life &lt;15 days), and a fluctuating transformation rate for the other compounds. A constant and sustained removal was observed for malathion and methalaxyl. In contrast, lower efficiency and accumulation was described for chlorpyrifos and dimethomorph. Following antibiotic treatment, changes on pesticide removal were observed only in the case of chlorpyrifos, whose removal was slightly enhanced. Furthermore, acute toxicity assays showed limited detoxification of the matrix, especially when compounds began to accumulate. Summarizing, our experiments showed that the proposed biomixture does not support a proper removal of the pesticides during the simulated application cycle of potato production. Further optimization of a biopurification system is required to guarantee the successful elimination of pesticide combinations when applied in field conditions.Copyright © 2020 Elsevier Inc. All rights reserved.  KEYWORDS:  MeSH Chemical: Morpholines| Pesticides| Soil| Waste Water| Water Pollutants, Chemical| Linuron| dimethomorph| Chlorpyrifos| Malathion MeSH: | Agriculture| Biotransformation| Chlorpyrifos/metabolism| Cocos| Linuron/metabolism| Malathion/metabolism| Morpholines/metabolism| Pesticides/majr/metabolism/toxicity| Soil/chemistry| Tropical Climate| Waste Water/chemistry| Water Pollutants, Chemical/majr/metabolism/toxicity Other:Biopurification system|Pesticides|Potato|Removal|Toxicity</t>
  </si>
  <si>
    <t>Acosta-Sánchez A, Soto-Garita C, Masís-Mora M, Cambronero-Heinrichs JC, Rodríguez-Rodríguez CE</t>
  </si>
  <si>
    <t>Ecotoxicology and environmental safety</t>
  </si>
  <si>
    <t>195</t>
  </si>
  <si>
    <t>110460</t>
  </si>
  <si>
    <t>Maternal exposure to mixtures of dienestrol, linuron and flutamide. Part I: Feminization effects on male rat offspring.</t>
  </si>
  <si>
    <t>Maternal exposure to mixtures of dienestrol, linuron and flutamide. Part I: Feminization effects on male rat offspring.    ABSTRACT:  Exposure to endocrine-disrupting compounds (EDCs) during pregnancy can result in negative health effects in later generations, including sex changes and feminization. The present study assessed the feminization effects on male offspring rats of three EDCs: Dienestrol (DIES), Linuron (LIN), and Flutamide (FLU). Sexually mature female rats were exposed from gestation day (GD) 6 until postnatal day (PND) 21 to: 0.37, 0.75, 1.5, 3.12 or 6.25 μg/kg/day of DIES, 1.5, 3, 6, 12.5, 25 or 50 mg/kg/day of LIN, 3.5, 6.7, 12.5, 25 or 50 mg/kg/day of FLU, and the following mixtures: FLU + DIES (mg/kg/day+μg/kg/day), 3.5 + 0.37, or 3.5 + 3, 25 + 0.37, or 25 + 3; FLU + LIN (mg/kg/day + mg/kg/day), 3.5 + 12.5, or 25 + 12.5; and DIES + LIN (μg/kg/day + mg/kg/day), 0.37 + 12.5, or 3 + 12.5. Anogenital distance (AGD), nipple retention (NR) and cryptorchidism were evaluated. FLU produced a decrease of AGD, an increase of NR, and an increase of cryptorchidism at the highest dose. None of these three endpoints were significantly affected by LIN or DIES treatments alone. Combinations of FLU + LIN and FLU + DIES increased NR, and decreased AGD, while DIES + LIN did not produce any effects in male pups. Results show that FLU is able to induce feminization in male pups, while binary combinations of LIN and DIES did not modify the effects produced by FLU.Copyright © 2020 The Authors. Published by Elsevier Ltd.. All rights reserved.  KEYWORDS:  MeSH Chemical: Linuron| Flutamide| Dienestrol MeSH: | Animals| Animals, Newborn| Cryptorchidism/chemically induced/physiopathology| Dienestrol/majr/toxicity| Dose-Response Relationship, Drug| Endpoint Determination| Female| Feminization/chemically induced/physiopathology| Flutamide/majr/toxicity| Linuron/majr/toxicity| Male| Maternal Exposure/majr/adverse effects| Nipples/abnormalities/drug effects| Organ Size/drug effects| Pregnancy| Prenatal Exposure Delayed Effects/chemically induced/physiopathology| Rats| Rats, Sprague-Dawley| Testis/abnormalities/drug effects Other:Dienestrol|Feminization effects|Flutamide|Linuron|Male rats|Mixtures</t>
  </si>
  <si>
    <t>Schreiber E, Garcia T, González N, Esplugas R, Sharma RP, Torrente M, Kumar V, Bovee T, Katsanou ES, Machera K, Domingo JL, Gómez M</t>
  </si>
  <si>
    <t>139</t>
  </si>
  <si>
    <t>111256</t>
  </si>
  <si>
    <t>High temperature aggravates the effects of pesticides in goldfish.</t>
  </si>
  <si>
    <t>High temperature aggravates the effects of pesticides in goldfish.    ABSTRACT:  In human-altered rivers, fish are often conjointly exposed to an increase in water temperature due to global warming and to a contamination by organic pollutants such as pesticides, but their combined effects are still elusive. Thermal and chemical stressors could potentially interact because high temperature increases metabolism and toxicant uptake, and can alter the ability of organisms to set up adequate stress responses and to maintain homeostasis. These combined stressors could thus potentially result in higher level of molecular and cellular damage, and stronger effects on behavior and physiology, but experimental evidence across biological levels is still scarce. In this study, goldfish Carassius auratus were experimentally exposed to an environmentally realistic cocktail of pesticides (S-metolachlor, isoproturon, linuron, atrazine-desethyl, aclonifen, pendimethalin and tebuconazol) commonly found in rivers of South-West of France at low or high dose in two different thermal conditions: a common summer temperature (22 °C) or a high temperature recorded during heat waves (32 °C). Results showed that high temperature alone caused behavioral and physiological changes (increased swimming activity, increased hepatosomatic index, decreased reproductive index) but limited cellular damage. However, high temperature aggravated the effects of pesticides at the molecular and cellular level. Indeed, pesticide exposure resulted in higher genotoxic effects (micronuclei rate) and irreversible cellular damage of the gills and liver (apoptosis, inflammation, necrosis) at 32 °C compared to 22 °C. This suggests potential synergistic effects of climate change and pollution, and highlights the need for multiple stress approaches to better predict the impacts of human activities on aquatic wildlife.Copyright © 2019 Elsevier Inc. All rights reserved.  KEYWORDS:  MeSH Chemical: Pesticides| Water Pollutants, Chemical MeSH: | Animals| Cell Death/drug effects| Climate Change| Female| France| Gills/drug effects/metabolism/pathology| Goldfish/majr/physiology| Hot Temperature/majr| Liver/drug effects/metabolism/pathology| Male| Micronuclei, Chromosome-Defective/chemically induced| Pesticides/majr/toxicity| Rivers| Water Pollutants, Chemical/majr/toxicity Other:Climate change|Freshwater fish|Multiple stressors|Pesticides|Physiology|Synergistic effects</t>
  </si>
  <si>
    <t>Jacquin L, Gandar A, Aguirre-Smith M, Perrault A, Hénaff ML, Jong L, Paris-Palacios S, Laffaille P, Jean S</t>
  </si>
  <si>
    <t>172</t>
  </si>
  <si>
    <t>255-264</t>
  </si>
  <si>
    <t>Exposure to herbicide linuron results in alterations in hematological profile and stress biomarkers of common carp (Cyprinus carpio).</t>
  </si>
  <si>
    <t>Exposure to herbicide linuron results in alterations in hematological profile and stress biomarkers of common carp (Cyprinus carpio).    ABSTRACT:  Phenylurea herbicides such as linuron are commonly applied in agriculture. Common carp juveniles were subjected to 31.5 µg/L of linuron for 14 days, and then to 30 days of purification. Peripheral blood was sampled after 1, 3, 7 and 14 days of exposure and 7, 14 and 30 days of purification and hematological parameters were evaluated: erythrocyte (RBCc) and leukocyte (WBCc) counts, hematocrit (Ht), hemoglobin concentration (Hb), mean cell volume (MCV), mean corpuscular hemoglobin (MCH), mean corpuscular hemoglobin concentration (MCHC) and differential leukocyte count. For evaluation of cortisol and catecholamine concentrations blood was sampled after 3, 6 and 12 h, after 1, 3 and 14 days of exposure, and after 30 days of purification. Linuron caused mainly transient increase in RBCc, Ht and MCV values and increase in WBCc and percentage of juvenile neutrophils. The herbicide caused persistant increase of cortisol and catecholamine concentrations. The results indicate that exposure to low concentration of linuron induced a stress response in common carp.  KEYWORDS:  MeSH Chemical: Biomarkers| Catecholamines| Herbicides| Water Pollutants, Chemical| Linuron| Hydrocortisone MeSH: | Animals| Biomarkers/blood| Carps/majr/blood/metabolism| Catecholamines/blood| Hematologic Tests/veterinary| Herbicides/majr/toxicity| Hydrocortisone/blood| Linuron/majr/toxicity| Random Allocation| Stress, Physiological| Water Pollutants, Chemical/majr/toxicity Other:Blood|Catecholamines|Cortisol|Fish|Pesticide</t>
  </si>
  <si>
    <t>Lutnicka H, Bojarski B, Witeska M, Tombarkiewicz B, Formicki G</t>
  </si>
  <si>
    <t>Ecotoxicology (London, England)</t>
  </si>
  <si>
    <t>28</t>
  </si>
  <si>
    <t>69-75</t>
  </si>
  <si>
    <t>The Targeted Pesticides as Acetylcholinesterase Inhibitors: Comprehensive Cross-Organism Molecular Modelling Studies Performed to Anticipate the Pharmacology of Harmfulness to Humans In Vitro.</t>
  </si>
  <si>
    <t>The Targeted Pesticides as Acetylcholinesterase Inhibitors: Comprehensive Cross-Organism Molecular Modelling Studies Performed to Anticipate the Pharmacology of Harmfulness to Humans In Vitro.    ABSTRACT:  Commercially available pesticides were examined as Mus musculus and Homo sapiens acetylcholinesterase (mAChE and hAChE) inhibitors by means of ligand-based (LB) and structure-based (SB) in silico approaches. Initially, the crystal structures of simazine, monocrotophos, dimethoate, and acetamiprid were reproduced using various force fields. Subsequently, LB alignment rules were assessed and applied to determine the inter synaptic conformations of atrazine, propazine, carbofuran, carbaryl, tebufenozide, imidacloprid, diuron, monuron, and linuron. Afterwards, molecular docking and dynamics SB studies were performed on either mAChE or hAChE, to predict the listed pesticides' binding modes. Calculated energies of global minima (Eglob_min) and free energies of binding (∆Gbinding) were correlated with the pesticides' acute toxicities (i.e., the LD50 values) against mice, as well to generate the model that could predict the LD50s against humans. Although for most of the pesticides the low Eglob_min correlates with the high acute toxicity, it is the ∆Gbinding that conditions the LD50 values for all the evaluated pesticides. Derived pLD50 = f(∆Gbinding) mAChE model may predict the pLD50 against hAChE, too. The hAChE inhibition by atrazine, propazine, and simazine (the most toxic pesticides) was elucidated by SB quantum mechanics (QM) DFT mechanistic and concentration-dependent kinetic studies, enriching the knowledge for design of less toxic pesticides.  KEYWORDS:  MeSH Chemical: Cholinesterase Inhibitors| Pesticides| Solutions| Acetylcholinesterase MeSH: | Acetylcholinesterase/chemistry| Animals| Cholinesterase Inhibitors/majr/chemistry/pharmacology| Humans| Kinetics| Molecular Conformation| Molecular Docking Simulation| Molecular Dynamics Simulation| Molecular Structure| Pesticides/majr/chemistry/pharmacology| Quantitative Structure-Activity Relationship| Solutions| Structure-Activity Relationship Other:AChE|QSAR|concentration-dependent kinetic studies|conformational analysis|molecular docking|molecular dynamics|pesticides|quantum-chemical studies</t>
  </si>
  <si>
    <t>Mladenović M, Arsić BB, Stanković N, Mihović N, Ragno R, Regan A, Milićević JS, Trtić-Petrović TM, Micić R</t>
  </si>
  <si>
    <t>Molecules (Basel, Switzerland)</t>
  </si>
  <si>
    <t>23</t>
  </si>
  <si>
    <t>link</t>
  </si>
  <si>
    <t>An Experimental Approach to Study the Effects of Realistic Environmental Mixture of Linuron and Propamocarb on Zebrafish Synaptogenesis.    ABSTRACT:  The reasons behind the extensive use of pesticides include the need to destroy vector organisms and promote agricultural production in order to sustain population growth. Exposure to pesticides is principally occupational, even if their persistence in soil, surface water and food brings the risk closer to the general population, hence the demand for risk assessment, since these compounds exist not only as individual chemicals but also in form of mixtures. In light of this, zebrafish represents a suitable model for the evaluation of toxicological effects. Here, zebrafish embryos were exposed for 96 h post fertilization (hpf) to sublethal concentrations (350 µg/L) of linuron and propamocarb, used separately and then combined in a single solution. We investigated the effects on morphological traits and the expression of genes known to be implicated in synaptogenesis (neurexin1a and neuroligin3b). We observed alterations in some phenotypic parameters, such as head width and interocular distance, that showed a significant reduction (p &lt; 0.05) for the mixture treatment. After individual exposure, the analysis of gene expression showed an imbalance at the synaptic level, which was partially recovered by the simultaneous administration of linuron and propamocarb. This preliminary study demonstrates that the combined substances were responsible for some unpredictable effects, diverging from the effect observed after single exposure. Thus, it is clear that risk assessment should be performed not only on single pesticides but also on their mixtures, the toxicological dynamics of which can be totally unpredictable.  KEYWORDS:  MeSH Chemical: Carbamates| Pesticides| Water Pollutants, Chemical| Linuron| propamocarb MeSH: | Animals| Carbamates| Humans| Linuron/toxicity| Pesticides/majr| Water Pollutants, Chemical/majr/toxicity| Zebrafish Other:mixtures|pesticides|sublethal effects|synaptogenesis|zebrafish  TERMX:  |TX:Exclude:occupation |TX:Exclude:human</t>
  </si>
  <si>
    <t>08/19/2021  Fixed next/previous and TermMap color</t>
  </si>
  <si>
    <t>6</t>
  </si>
  <si>
    <t>13</t>
  </si>
  <si>
    <t>50</t>
  </si>
  <si>
    <t>2</t>
  </si>
  <si>
    <t>30</t>
  </si>
  <si>
    <t>5</t>
  </si>
  <si>
    <t>Scientific reports</t>
  </si>
  <si>
    <t>7</t>
  </si>
  <si>
    <t>97</t>
  </si>
  <si>
    <t>3</t>
  </si>
  <si>
    <t>56</t>
  </si>
  <si>
    <t>26</t>
  </si>
  <si>
    <t>31</t>
  </si>
  <si>
    <t>61</t>
  </si>
  <si>
    <t>Environmental toxicology and chemistry</t>
  </si>
  <si>
    <t>52</t>
  </si>
  <si>
    <t>154</t>
  </si>
  <si>
    <t xml:space="preserve">08/23/2021  Added wait to pubmed query </t>
  </si>
  <si>
    <t>brevetoxin AND (environmental exposure AND food)</t>
  </si>
  <si>
    <t>23593-75-1 OR Clotrimazole AND (environmental exposure AND food)</t>
  </si>
  <si>
    <t>192</t>
  </si>
  <si>
    <t>33-43</t>
  </si>
  <si>
    <t>Aquatic toxicology (Amsterdam, Netherlands)</t>
  </si>
  <si>
    <t>57</t>
  </si>
  <si>
    <t>45</t>
  </si>
  <si>
    <t>110</t>
  </si>
  <si>
    <t>Toxicology and applied pharmacology</t>
  </si>
  <si>
    <t>Journal of hazardous materials</t>
  </si>
  <si>
    <t>Pt B</t>
  </si>
  <si>
    <t>Journal of agricultural and food chemistry</t>
  </si>
  <si>
    <t>08/26/2021  Application wait added to batch run; fixed batch with queries returning 0</t>
  </si>
  <si>
    <t>A natural deep eutectic solvent as a novel dispersive solvent in dispersive liquid-liquid microextraction based on solidification of floating organic droplet for the determination of pesticide residues.</t>
  </si>
  <si>
    <t>A natural deep eutectic solvent as a novel dispersive solvent in dispersive liquid-liquid microextraction based on solidification of floating organic droplet for the determination of pesticide residues.    ABSTRACT:  Current trends in analytical chemistry encourage the use of innocuous solvents to develop modern methods aligned with green chemistry. In this sense, natural deep eutectic solvents (NADESs) have emerged as a novel generation of green solvents which can be employed in sample treatments as an alternative to the toxic organic solvents commonly used so far. In this work, a new extraction method employs dispersive liquid-liquid microextraction based on a solid floating organic droplet (DLLME-SFO), by using a mixture composed of a less dense than water extraction solvent, 1-dodecanol, and a novel dispersive solvent, NADES. The methodology was proposed to extract and preconcentrate some pesticide residues (fipronil, fipronil-sulfide, fipronil-sulfone, and boscalid) from environmental water and white wine samples before analysis by liquid-chromatography coupled to ultraviolet detection (HPLC-UV). Limits of quantification (LOQs) lower than 4.5 μg L-1, recoveries above 80%, and precision, expressed as RSD, below 15% were achieved in both samples showing that the proposed method is a powerful, efficient, and green alternative for the determination of these compounds and, therefore, demonstrating a new application for NADES in sample preparation. In addition, the DLLME-SFOD-HPLC-UV method was evaluated and compared with other reported approaches using the Analytical GREEnness metric approach, which highlighted the greenness of the proposed method.© 2021. Springer-Verlag GmbH Germany, part of Springer Nature.  KEYWORDS:  Other:DLLME-SFO|Liquid-chromatography|NADES|Pesticides</t>
  </si>
  <si>
    <t>Carbonell-Rozas L, Canales R, Lara FJ, García-Campaña AM, Silva MF</t>
  </si>
  <si>
    <t>Analytical and bioanalytical chemistry</t>
  </si>
  <si>
    <t>Differential proteomic analysis under pesticides stress and normal conditions in Bacillus cereus 2D.</t>
  </si>
  <si>
    <t xml:space="preserve">Differential proteomic analysis under pesticides stress and normal conditions in Bacillus cereus 2D.    ABSTRACT:  A potential pesticide degrading bacterial isolate (2D), showing maximum tolerance (450 mg∙L-1) for cypermethrin, fipronil, imidacloprid and sulfosulfuron was recovered from a pesticide contaminated agricultural field. The isolate degraded cypermethrin, imidacloprid, fipronil and sulfosulfuron in minimal salt medium with 94, 91, 89 and 86% respectively as revealed by high performance liquid chromatography (HPLC) and gas chromatography (GC) analysis after 15 days of incubation. Presence of cyclobutane, pyrrolidine, chloroacetic acid, formic acid and decyl ester as major intermediate metabolites of cypermethrin biodegradation was observed in gas chromatography mass spectrometry (GC-MS) analysis. Results based on 16S rDNA sequencing, and phylogenetic analysis showed maximum similarity of 2D with Bacillus cereus (Accession ID: MH341691). Stress responsive and catabolic/pesticide degrading proteins were over expressed in the presence of cypermethrin in bacteria. Enzymatic kinetics of laccase was deduced in the test isolate under normal and pesticide stress conditions which suggested that the production of enzyme was induced significantly in pesticide stress (163 μg.μL-1) as compare to normal conditions(29 μg.μL-1) while the Km value was decreased in pesticides stress condition (Km = 10.57 mM) and increases in normal condition (Km = 14.33 mM).Amplification of laccase gene showed a major band of 1200bp. The present study highlights on the potential of 2D bacterial strain i.e., high tolerance level of pesticide, effective biodegradation rate, and presence of laccase gene in bacterial strain 2D, could become a potential biological agent for large-scale treatment of mixture of pesticide (cypermethrin, fipronil, imidacloprid and sulfosulfuron) in natural environment (soil and water).  KEYWORDS: </t>
  </si>
  <si>
    <t>Gangola S, Joshi S, Kumar S, Sharma B, Sharma A</t>
  </si>
  <si>
    <t>PloS one</t>
  </si>
  <si>
    <t>16</t>
  </si>
  <si>
    <t>8</t>
  </si>
  <si>
    <t>e0253106</t>
  </si>
  <si>
    <t>Study on the environmental fate of three insecticides in garlic by in vivo sampling rate calibrated-solid phase microextraction-gas chromatography-mass spectrometry.</t>
  </si>
  <si>
    <t>Study on the environmental fate of three insecticides in garlic by in vivo sampling rate calibrated-solid phase microextraction-gas chromatography-mass spectrometry.    ABSTRACT:  Traditional sample preparation methods for insecticide analysis are laborious and fatal to living organisms. In the work, an in vivo sampling rate calibrated-solid phase microextraction-gas chromatography-mass spectrometry method was established and successfully used for in vivo sampling and quantitative determination of three insecticides (hexachlorobenzene, fipronil and chlorfenapyr) by direct exposing micron-sized fiber in living garlic. Absorption, enrichment, migration and elimination behavior of insecticides in garlic were investigated. Bioaccumulative effects with obvious tissue differences were observed to all three insecticides, especially for chlorfenapyr. Bioconcentration factors (BCFs) ranging from 0.0342 to 1.0887 were obtained, and the closer to roots, the higher BCFs. The half-life of insecticides in garlic ranged from 0.43 to 0.96 d. In the first 24 h, 55.0% - 80.3% insecticides residues in garlic were eliminated with first-order elimination kinetics. The research provides in vivo insights into the environmental fates of insecticides in complex living system with minimized organism damage.Copyright © 2021 Elsevier Ltd. All rights reserved.  KEYWORDS:  Other:Edible biota|Gas chromatography-mass spectrometry|In vivo solid phase microextraction|Insecticide</t>
  </si>
  <si>
    <t>Chen T, Yu X, Tian X, Hu J, Chen Y, Long G, Xu H, Yang GF</t>
  </si>
  <si>
    <t>Food chemistry</t>
  </si>
  <si>
    <t>367</t>
  </si>
  <si>
    <t>130740</t>
  </si>
  <si>
    <t>Electrochemical Sensing of Neonicotinoids Using Laser-Induced Graphene.</t>
  </si>
  <si>
    <t>Electrochemical Sensing of Neonicotinoids Using Laser-Induced Graphene.    ABSTRACT:  Neonicotinoids are the fastest-growing insecticide accounting for over 25% of the global pesticide market and are capable of controlling a range of pests that damage croplands, home yards/gardens, and golf course greens. However, widespread use has led to nontarget organism decline in pollinators, insects, and birds, while chronic, sublethal effects on humans are still largely unknown. Therefore, there is a need to understand how prevalent neonicotinoids are in the environment as there are currently no commercially available field-deployable sensors capable of measuring neonicotinoid concentrations in surface waters. Herein, we report the first example of a laser-induced graphene (LIG) platform that utilizes electrochemical sensing for neonicotinoid detection. These graphene-based sensors are created through a scalable direct-write laser fabrication process that converts polyimide into LIG, which eliminates the need for chemical synthesis of graphene, ink formulation, masks, stencils, pattern rolls, and postprint annealing commonly associated with other printed graphene sensors. The LIG electrodes were capable of monitoring four major neonicotinoids (CLO, IMD, TMX, and DNT) with low detection limits (CLO, 823 nM; IMD, 384 nM; TMX, 338 nM; and DNT, 682 nM) and a rapid response time (∼10 s) using square-wave voltammetry without chemical/biological functionalization. Interference testing exhibited negligible responses from widely used pesticides including the broad-leaf insecticides parathion, paraoxon, and fipronil, as well as systemic herbicides glyphosate (roundup), atrazine, dicamba, and 2,4-dichlorophenoxyacetic acid. These scalable, graphene-based sensors have the potential for wide-scale mapping of neonicotinoids in watersheds and potential use in numerous electrochemical sensor devices.  KEYWORDS:  Other:biosensor|electrochemical sensor|graphene|neonicotinoid|pesticide|square-wave voltammetry</t>
  </si>
  <si>
    <t>Johnson ZT, Williams K, Chen B, Sheets R, Jared N, Li J, Smith EA, Claussen JC</t>
  </si>
  <si>
    <t>ACS sensors</t>
  </si>
  <si>
    <t>Silencing of CYP6AS160 in Solenopsis invicta Buren by RNA interference enhances worker susceptibility to fipronil.</t>
  </si>
  <si>
    <t>Silencing of CYP6AS160 in Solenopsis invicta Buren by RNA interference enhances worker susceptibility to fipronil.    ABSTRACT:  Cytochrome P450 monooxygenases play a key role in pest resistance to insecticides by detoxification. Four new P450 genes, CYP6AS160, CYP6AS161, CYP4AB73 and CYP4G232 were identified from Solenopsis invicta. CYP6AS160 was highly expressed in the abdomen and its expression could be induced significantly with exposure to fipronil, whereas CYP4AB73 was not highly expressed in the abdomen and its expression could not be significantly induced following exposure to fipronil. Expression levels of CYP6AS160 and CYP4AB73 in workers were significantly higher than that in queens. RNA interference-mediated gene silencing by feeding on double-stranded RNA (dsRNA) found that the levels of this transcript decreased (by maximum to 64.6%) when they fed on CYP6AS160-specific dsRNA. Workers fed dsCYP6AS160 had significantly higher mortality after 24 h of exposure to fipronil compared to controls. Workers fed dsCYP6AS160 had reduced total P450 activity of microsomal preparations toward model substrates p-nitroanisole. However, the knockdown of a non-overexpressed P450 gene, CYP4AB73 did not lead to an increase of mortality or a decrease of total P450 activity. The knockdown effects of CYP6AS160 on worker susceptibility to fipronil, combined with our other findings, indicate that CYP6AS160 is responsible for detoxification of fipronil. Feeding insects dsRNA may be a general strategy to trigger RNA interference and may find applications in entomological research and in the control of insect pests in the field.  KEYWORDS:  Other:Fipronil|P450|RNAi|Solenopsis invicta|tolerance</t>
  </si>
  <si>
    <t>Zhang BZ, Hu GL, Lu LY, Chen XL, Gao XW</t>
  </si>
  <si>
    <t>Bulletin of entomological research</t>
  </si>
  <si>
    <t>1-8</t>
  </si>
  <si>
    <t>Neurotoxic Effect of Fipronil in Male Wistar Rats: Ameliorative Effect of L-Arginine and L-Carnitine.</t>
  </si>
  <si>
    <t>Neurotoxic Effect of Fipronil in Male Wistar Rats: Ameliorative Effect of L-Arginine and L-Carnitine.    ABSTRACT:  The ameliorative effect of L-arginine (LA) and L-carnitine (LC) against fipronil (FPN)-induced neurotoxicity was explored. In this case, 36 adult male rats were randomly divided into six groups: group I received distilled water, group II received 500 mg/kg LA, group III received 100 mg/kg LC, group IV received 4.85 mg/kg FPN, group V received 4.85 mg/kg FPN and 500 mg/kg LA and group VI received 4.85 mg/kg FPN and 100 mg/kg LC for 6 weeks. Cognitive performance was assessed using Barnes maze (BM). Serum corticosterone, brain total antioxidant capacity (TAC), malondialdehyde (MDA) and dopamine were measured. Histopathology and immunohistochemistry of ionized calcium-binding adaptor (Iba-1), doublecortin (DCX) and serotonin (S-2A) receptors were performed. Fipronil induced noticeable deterioration in spatial learning and memory performance. In addition, FPN significantly (p &lt; 0.05) diminished brain antioxidant defense system and dopamine coincide with elevated serum corticosterone level. Histopathological examination revealed degenerative and necrotic changes. Furthermore, Iba-1 and DCX were significantly expressed in cortex and hippocampus whereas S-2A receptors were significantly lowered in FPN group. However, administration of LA or LC alleviated FPN-induced deteriorations. In conclusion, LA and LC could be prospective candidates for mitigation of FPN-induced neurotoxicity via their antioxidant, anti-inflammatory and neuropotentiating effects.  KEYWORDS:  Other:Iba-1|L-arginine|L-carnitine|S-2A receptors|doublecortin|fipronil|oxidative stress</t>
  </si>
  <si>
    <t>Mahmoud YK, Ali AA, Abdelrazek HMA, Aldayel TS, Abdel-Daim MM, El-Menyawy MAI</t>
  </si>
  <si>
    <t>Biology</t>
  </si>
  <si>
    <t>10</t>
  </si>
  <si>
    <t>Fipronil induced oxidative stress in neural tissue of albino rat with subsequent apoptosis and tissue reactivity.</t>
  </si>
  <si>
    <t>Awad MA, Ahmed ZSO, AbuBakr HO, Elbargeesy GAEH, Moussa MHG</t>
  </si>
  <si>
    <t>Acta histochemica</t>
  </si>
  <si>
    <t>123</t>
  </si>
  <si>
    <t>151764</t>
  </si>
  <si>
    <t>Oxidative stress, apoptosis and histopathological alterations in brain stem and diencephalon induced by subacute exposure to fipronil in albino rats.</t>
  </si>
  <si>
    <t>Oxidative stress, apoptosis and histopathological alterations in brain stem and diencephalon induced by subacute exposure to fipronil in albino rats.    ABSTRACT:  Fipronil (FIP) is a highly effective insecticide that has been used in agriculture and veterinary medicine. Its neurotoxic effect to insects and to non-target organisms, after nonintentional exposure, was reported. Many studies were conducted to evaluate FIP effects on mammals. However, slight is known about its effect on the brain stem and diencephalon. The current study was designed to investigate the ability of FIP to induce oxidative stress as a molecular mechanism of FIP neurotoxicity that resulted in apoptosis and neural tissue reactivity in these regions. Ten adult male rats received 10 mg/kg of FIP technical grade by oral gavage, daily for 45 days. Brain stem and diencephalon were processed to examine oxidative stress-induced macromolecular alteration (MDA, PCC and DNA fragmentation). Also, the histopathological assessment and immunoreactivity for caspase-3 (active form), iNOS and GFAP were performed on the thalamus, hypothalamus and medulla oblongata. Our results revealed that FIP significantly raised MDA, PCC and DNA fragmentation (p ≤ 0.05). In addition, significantly increased immunoreactivity to GFAP, iNOS and caspase-3 (active form) in the FIP-treated group was noticed (p ≤ 0.05). Moreover, alterations in the histoarchitecture of the neural tissue of these regions were observed. We conclude that FIP can induce oxidative stress, leading to apoptosis and tissue reaction in brain stem and diencephalon.© 2021. The Author(s), under exclusive licence to Springer-Verlag GmbH Germany, part of Springer Nature.  KEYWORDS:  Other:Apoptosis|Brain regions|Fipronil|Neurotoxicity|Oxidative stress|Tissue reaction</t>
  </si>
  <si>
    <t>Environmental science and pollution research international</t>
  </si>
  <si>
    <t>Toxicogenomic differentiation of functional responses to fipronil and imidacloprid in Daphnia magna.</t>
  </si>
  <si>
    <t>Pfaff J, Reinwald H, Ayobahan SU, Alvincz J, Göckener B, Shomroni O, Salinas G, Düring RA, Schäfers C, Eilebrecht S</t>
  </si>
  <si>
    <t>238</t>
  </si>
  <si>
    <t>105927</t>
  </si>
  <si>
    <t>Oral pharmacokinetic profile of fipronil and efficacy against flea and tick in dogs.</t>
  </si>
  <si>
    <t>Oral pharmacokinetic profile of fipronil and efficacy against flea and tick in dogs.    ABSTRACT:  Fipronil (FIP) is an ectoparasiticide of the phenylpyrazole class, used in veterinary medicine in topical form. Supported by evidence of uncontrolled human exposure to FIP and environmental damage caused by commercially available formulations, its use by oral administration has become promising. The effectiveness of FIP against the flea Ctenocephalides felis felis and the tick Rhipicephalus sanguineus and its pharmacokinetics and main active metabolite, fipronil sulfone (SULF) were evaluated after single oral administration of tablets in three different doses (2, 4, and 6 mg/kg) in dogs. Through the plasma concentration curves, it was possible to observe that the FIP showed rapid absorption and metabolization and slow elimination. The values of Cmax (β = 0.7653) and AUC0- t (β = 0.3209) did not increase proportionally with increasing dose. At 48 h after treatment, doses of 4 mg/kg (AUC0- t  = 442.39 ± 137.35 µg/ml*h) and 6 mg/kg (AUC0- t  = 421.32 ± 102.84 µg/ml*h) provided 100% and 99% efficacy against fleas, and 95% and 98% against ticks, respectively. The estimated EC90 of FIP +SULF was 1.30 µg/ml against C. felis felis and 2.16 µg/ml against R. sanguineus. The correlation between the FIP pharmacokinetic and efficacy data demonstrated its potential for oral administration in the form of tablets for the control of ectoparasites in dogs, as a safer alternative for animals, humans, and the environment, aligned with the One Health concept.© 2021 John Wiley &amp; Sons Ltd.  KEYWORDS:  Other:dose|ectoparasites|efficacy|oral|pharmacokinetics|phenylpyrazoles</t>
  </si>
  <si>
    <t>Dos Santos GCM, Scott FB, Campos DR, Magalhães VS, Borges DA, Miranda FR, Alves MCC, Pereira GA, Moreira LO, Lima EAS, Rocha MBDS, Cid YP</t>
  </si>
  <si>
    <t>Journal of veterinary pharmacology and therapeutics</t>
  </si>
  <si>
    <t>Simple monitoring of endocrine-disrupting chemicals using transgenic Arabidopsis plants expressing medaka estrogen receptor.</t>
  </si>
  <si>
    <t>Simple monitoring of endocrine-disrupting chemicals using transgenic Arabidopsis plants expressing medaka estrogen receptor.    ABSTRACT:  Endocrine-disrupting chemicals (EDCs) are widespread contaminants that severely affect the endocrine systems of living organisms. In addition to the conventional instrument-based approaches for quantifying organic pollutants, a monitoring method using transgenic plants has also been proposed. Plants carrying a recombinant receptor gene combined with a reporter gene represent a system for the easy detection of ligands that specifically bind to the receptor molecule. Here, the EDC detection sensitivity of transgenic Arabidopsis plants expressing the medaka (Oryzias latipes) estrogen receptor (mER) and green fluorescent protein (GFP) genes, was assessed. Four transgenic Arabidopsis lines, obtained by transformation with expression plasmids constructed using combinations of two types of the ligand-binding domains of mER, the DNA-binding domain of LexA and the transactivation domain of VP16 in the chimeric receptors, showed significant induction of GFP when germinated on a medium contaminated with 1 ng/mL 4-t-octylphenol (OP). The most sensitive XmEV19-2 plants detected 0.1 ng/mL OP and 1 pg/mL 17β-estradiol. GFP expression was suppressed by the insecticides imidacloprid and fipronil, whereas perfluorooctanesulfonic acid induced it at 0.1 ng/mL. Experiments with river water-based medium showed that XmEV19-2 can be used for monitoring polluted waters, detecting OP at concentrations as low as 5 ng/mL. Notably, XmEV19-2 showed a significant decrease in root length when grown on 0.1 ng/mL OP. mER transgenic plants can be a promising tool for simple monitoring of EDCs, without the need for extraction and concentration steps in sample preparation.Copyright © 2021 Elsevier Ltd. All rights reserved.  KEYWORDS:  Other:4-t-Octylphenol|Biomonitoring|Endocrine disruptors|Environmental contamination|Estrogen receptor|Transgenic plants</t>
  </si>
  <si>
    <t>Stoykova P, Ohkawa H, Inui H</t>
  </si>
  <si>
    <t>Chemosphere</t>
  </si>
  <si>
    <t>286</t>
  </si>
  <si>
    <t>Pt 1</t>
  </si>
  <si>
    <t>131633</t>
  </si>
  <si>
    <t>Introducing the Rapid Alert Supply Network Extractor (RASNEX) tool to mine supply chain information from food and feed contamination notifications in Europe.</t>
  </si>
  <si>
    <t>Lorenzen MC, Weiser AA, Pieper R, Lahrssen-Wiederholt M, Numata J</t>
  </si>
  <si>
    <t>e0254301</t>
  </si>
  <si>
    <t>Neurotoxicity of fipronil affects sensory and motor systems in zebrafish.</t>
  </si>
  <si>
    <t>Wu CH, Lu CW, Hsu TH, Wu WJ, Wang SE</t>
  </si>
  <si>
    <t>Pesticide biochemistry and physiology</t>
  </si>
  <si>
    <t>177</t>
  </si>
  <si>
    <t>104896</t>
  </si>
  <si>
    <t>The roles of GSTs in fipronil resistance in Nilaparvata lugens: Over-expression and expression induction.</t>
  </si>
  <si>
    <t>The roles of GSTs in fipronil resistance in Nilaparvata lugens: Over-expression and expression induction.    ABSTRACT:  As one of the most important detoxification enzymes in insects, Glutathione S-transferases (GSTs) play key roles in insecticide resistance via direct metabolism and protection against oxidative stress induced by insecticide exposure. Insect GSTs are often considered as the phase II detoxification enzymes, they have potential function to metabolize fipronil as well as its fipronil's metabolites. In the fipronil-resistant Nilaparvata lugens strain G28, GSTs' inhibitor DEM (diethyl maleate) showed the optimal synergistic effects (5.73-fold), indicating the essential roles of GSTs in the resistance to fipronil in this insect species. Four GST genes, NlGSTs1, NlGSTs2, NlGSTe1 and NlGSTd1, were found over-expressed in G28 when compared to its relative susceptible counterpart strain S28. The roles of these four GSTs in fipronil resistance were confirmed via RNAi. The four GST genes were highly over-expressed in the midgut and/or fat body with detoxification action, which might provide more chances for insects to metabolize fipronil and its metabolites. Additionally, the higher induction levels in the GST gene expression by insecticides in the midgut and/or fat body compared to the whole insect also supported the significant roles of the four GSTs in the detoxification. Above all, the results provided evidences to understand the functions of GSTs in fipronil resistance in N. lugens, and gave a reference for other insects in fipronil resistance.Copyright © 2021 Elsevier Inc. All rights reserved.  KEYWORDS:  MeSH Chemical: Insecticides| Pyrazoles| Glutathione Transferase| fipronil MeSH: | Animals| Glutathione Transferase/genetics| Hemiptera/majr/genetics| Insecticide Resistance/genetics| Insecticides/majr/pharmacology| Pyrazoles Other:Fipronil|Glutathione S-transferase|Nilaparvata lugens|Resistance</t>
  </si>
  <si>
    <t>Gao H, Lin X, Yang B, Liu Z</t>
  </si>
  <si>
    <t>104880</t>
  </si>
  <si>
    <t>Multibiomarker responses and bioaccumulation of fipronil in Prochilodus lineatus exposed to spiked sediments: Oxidative stress and antioxidant defenses.</t>
  </si>
  <si>
    <t>Santillán Deiú A, Ondarza PM, Miglioranza KSB, de la Torre FR</t>
  </si>
  <si>
    <t>104876</t>
  </si>
  <si>
    <t>Interactions between risk assessors and risk managers during three major food incidents in Europe.</t>
  </si>
  <si>
    <t>Interactions between risk assessors and risk managers during three major food incidents in Europe.    ABSTRACT:  Risk analysis consists of risk assessment (RA), risk management (RM), and risk communication (RC). In most countries, RA and RM of food safety are separated to achieve a high scientific integrity, and typically occur in sequential order. However, in case of a food safety incident, even though being separate processes, RA and RM are performed simultaneously due to great time pressure and expected high impacts. The aim of this study was to analyze and evaluate the observed interactions between RA and RM processes, during three major food incidents in Europe, and to provide suggestions for possible improvement. Based on the differences observed between the three cases, strengths and weaknesses of each system have been identified. The enterohemorrhagic Escherichia coli (EHEC) crisis in 2011 in Germany, the horsemeat scandal in 2013 in Ireland, and the fipronil incident in 2017 in the Netherlands were used as case studies. Timelines of these incidents and crisis management procedures in place in each of the three countries provided the basis for further analysis. First, results showed that details of the communication processes between RA and RM bodies were frequently lacking in crisis management protocols. Second, RA, RM, and RC processes differed for each incident, due to differences in estimated risk for public health, but also due to differences in the organization within a country. Based on our results, we recommend that crisis management protocols should contain a section on communication between RA, RM, and on communication between member states in the EU.© 2021 The Authors. Journal of Food Science published by Wiley Periodicals LLC on behalf of Institute of Food Technologists.  KEYWORDS:  Other:chemical food safety|food safety|mycotoxins|public health|toxicology</t>
  </si>
  <si>
    <t>Focker M, van den Borne BHP, Fischer M, Schuh E, Mader A, Andersson MG, Ali BM, van der Fels-Klerx HJ</t>
  </si>
  <si>
    <t>Journal of food science</t>
  </si>
  <si>
    <t>86</t>
  </si>
  <si>
    <t>3611-3627</t>
  </si>
  <si>
    <t>The adverse effects of injected functionalized multi-walled carbon nanotube (f-MWCNT) on in vivo neurosecretory brain cells of Jamaican field cricket, Gryllus assimilis.</t>
  </si>
  <si>
    <t>Zacouteguy AMB, Limberger GM, de Oliveira PSC, da Fonseca DB, Bruch GE, Barros DM</t>
  </si>
  <si>
    <t>[Determination of 118 pesticide residues in dried wolfberry by gas chromatography-triple quadrupole mass spectrometry in dynamic multiple reaction monitoring mode].</t>
  </si>
  <si>
    <t>Yang Z, Zhang W, Wu F, Wang X, Xu X</t>
  </si>
  <si>
    <t>Se pu = Chinese journal of chromatography</t>
  </si>
  <si>
    <t>39</t>
  </si>
  <si>
    <t>659-669</t>
  </si>
  <si>
    <t>Fluorescence assay for the sensitive detection of fipronil based on an "on-off" oxidized SWCNH/aptamer sensor.</t>
  </si>
  <si>
    <t>Fluorescence assay for the sensitive detection of fipronil based on an "on-off" oxidized SWCNH/aptamer sensor.    ABSTRACT:  A simple, quick, effective turn-on fluorescence assay for the determination of fipronil (FIP) was built based on the yellow fluorescence of FAM-aptamer and excellent quenching capability of the oxidized single-walled carbon nanohorns (The oxidized SWCNHs). Oxidized SWCNHs with the great advantage of good dispersibility in solution were generated by link to carboxyl group and were added to a specific FAM-aptamer at an optimal concentration to form an "on-off" oxidized SWCNH/FAM-aptamer fluorescent sensor. The structures of the oxidized SWCNHs were verified, and the comprehensive properties were evaluated by characterization techniques. This paper has exploited oxidized SWCNHs as a quenching agent to detect fipronil for the first time. Under the optimized conditions, the limit of detection (LOD) for fipronil was 3 nM, and the recovery of fipronil varied from 88.6% to 112.7% in different real samples with relative standard deviations (RSDs) not more than 5%. The developed method could be successfully applied for the determination of fipronil in tap water, honey and corn samples.  KEYWORDS:  MeSH Chemical: Aptamers, Nucleotide| Nanotubes, Carbon| Pyrazoles| fipronil MeSH: | Aptamers, Nucleotide/majr| Limit of Detection| Nanotubes, Carbon/majr| Pyrazoles</t>
  </si>
  <si>
    <t>Zhang J, Feng T, Zhang J, Liang N, Zhao L</t>
  </si>
  <si>
    <t>Analytical methods : advancing methods and applications</t>
  </si>
  <si>
    <t>29</t>
  </si>
  <si>
    <t>3282-3291</t>
  </si>
  <si>
    <t>Harmful effects of fipronil exposure on the behavior and brain of the stingless bee Partamona helleri Friese (Hymenoptera: Meliponini).</t>
  </si>
  <si>
    <t>Harmful effects of fipronil exposure on the behavior and brain of the stingless bee Partamona helleri Friese (Hymenoptera: Meliponini).    ABSTRACT:  Fipronil is a pesticide widely used to control agricultural and household insect pests. However, fipronil is highly toxic to non-target insects, including pollinators. In this study, we investigated the acute effects of fipronil on the behavior, brain morphology, antioxidant activity, and proteins related to signaling pathways on the brain of workers of the stingless bee Partamona helleri. The ingestion of fipronil increases both the walking distance and velocity and causes enlarged intercellular spaces in the Kenyon cells and intense vacuolization in the neuropils of the brain. Moreover, fipronil decreases the activity of catalase (CAT) and increases the activity of glutathione S-transferase (GST). However, there is no difference in superoxide dismutase (SOD) activity between the control and fipronil. Regarding immunofluorescence analysis, bees exposed to fipronil showed an increase in the number of cells positive for cleaved caspase-3 and peroxidase, but a reduction in the number of cells positive for ERK 1/2, JNK and Notch, suggesting neuron death and impaired brain function. Our results demonstrate that fipronil has harmful effects on the behavior and brain of a stingless bee, which may threaten the individuals and colonies of this pollinator.Copyright © 2021 Elsevier B.V. All rights reserved.  KEYWORDS:  Other:Brain|Cell signaling|Detoxification enzymes|Fipronil|Native pollinator</t>
  </si>
  <si>
    <t>Farder-Gomes CF, Fernandes KM, Bernardes RC, Bastos DSS, Oliveira LL, Martins GF, Serrão JE</t>
  </si>
  <si>
    <t>794</t>
  </si>
  <si>
    <t>148678</t>
  </si>
  <si>
    <t>Ephedra sinica mitigates hepatic oxidative stress and inflammation via suppressing the TLR4/MyD88/NF-κB pathway in fipronil-treated rats.</t>
  </si>
  <si>
    <t>Ephedra sinica mitigates hepatic oxidative stress and inflammation via suppressing the TLR4/MyD88/NF-κB pathway in fipronil-treated rats.    ABSTRACT:  Ephedra sinica (ES) is a promising medicinal plant with a wide range of pharmacological aspects, including antioxidant and anti-inflammatory properties. Fipronil (FN) is a popularly used systemic insecticide in agriculture and veterinary applications. FN exposure can result in a variety of negative health consequences. The study aimed to explore the prophylactic effects of Ephedra sinica extract (ESE) against hepatotoxicity in FN-treated rats by following the TLR4/ MyD88/ NF-κB pathway. ESE was tested for polyphenolic and antioxidant activity. Forty rats were separated into four groups and given orally by FN (10 mg/kg B.W.) and/or ESE (150 mg/kg B.W.). Blood and tissue samples were collected at the end of the experiment and prepared for pathophysiological, gene expression, and pathological analysis. ESE showed strong antioxidant activity, as well as reduced levels of hepatic MDA and oxidative stress markers (H2O2, NO). Hepatic SOD and CAT activities were increased even further. Furthermore, in FN-treated rats, ESE improved liver functions (ALT, AST, ALP, and LDH) and recovered the lipid profile (Cho, TriG, HDL, and LDL). Moreover, by inhibiting TLR4/ MyD88/ NF-κB induction, ESE alleviated hepatic pathological changes and decreased FN-induced elevations of TNF-α, IL-6, and IL-1β mRNA/protein levels. These findings suggested that ESE mitigated FN-induced hepatotoxicity via combating oxidative stress and relieving inflammation.  KEYWORDS:  Other:Anti-inflammation,|Ephedra sinica,|Liver injury,|Rats,|TLR4/MyD88/NF-κB</t>
  </si>
  <si>
    <t>Seif M, Deabes M, El-Askary A, El-Kott AF, Albadrani GM, Seif A, Wang Z</t>
  </si>
  <si>
    <t>The effect of cattle-administered ivermectin and fipronil on the mortality and fecundity of Anopheles arabiensis Patton.</t>
  </si>
  <si>
    <t>Makhanthisa TI, Braack L, Lutermann H</t>
  </si>
  <si>
    <t>Parasites &amp; vectors</t>
  </si>
  <si>
    <t>14</t>
  </si>
  <si>
    <t>349</t>
  </si>
  <si>
    <t>Nuclear magnetic resonance chiral discrimination of fipronil and malathion agrochemicals: A case study.</t>
  </si>
  <si>
    <t>Nuclear magnetic resonance chiral discrimination of fipronil and malathion agrochemicals: A case study.    ABSTRACT:  The aim of the present study was to optimize a protocol for nuclear magnetic resonance (NMR) chiral discrimination to be used to determine the enantiomers ratio of agrochemicals. For this goal, the commercial agrochemicals fipronil and malathion were employed as active targets due the distinct physicochemical properties. We used the cyclodextrins to evaluate the chiral discrimination in aqueous media and chiral solvent agents to check in organic media. The fipronil chiral discrimination was accessed by β-CD in aqueous solution, although this procedure was ineffective for malathion due the low solubility. In organic media, the NMR chiral discrimination was successful for both agrochemicals and sensitive to dilution process. The NMR experiments explore very sensitive nuclei, for instance 1 H, 19 F, and 31 P, in a simple, practical and low residue experimental protocol.© 2021 Wiley Periodicals LLC.  KEYWORDS:  Other:NMR spectroscopy|agrochemicals|chiral discrimination|fipronil|malathion</t>
  </si>
  <si>
    <t>Iarocz LEB, Silva MS</t>
  </si>
  <si>
    <t>Chirality</t>
  </si>
  <si>
    <t>33</t>
  </si>
  <si>
    <t>528-534</t>
  </si>
  <si>
    <t>Is there an urban pesticide signature? Urban streams in five U.S. regions share common dissolved-phase pesticides but differ in predicted aquatic toxicity.</t>
  </si>
  <si>
    <t>Nowell LH, Moran PW, Bexfield LM, Mahler BJ, Van Metre PC, Bradley PM, Schmidt TS, Button DT, Qi SL</t>
  </si>
  <si>
    <t>793</t>
  </si>
  <si>
    <t>148453</t>
  </si>
  <si>
    <t>Conservation genomics reveals pesticide and pathogen exposure in the declining bumble bee Bombus terricola.</t>
  </si>
  <si>
    <t>Conservation genomics reveals pesticide and pathogen exposure in the declining bumble bee Bombus terricola.    ABSTRACT:  In recent years, many pollinators have experienced large population declines, which threaten food security and the stability of natural ecosystems. Bumble bees are particularly important because their ability to "buzz" pollinate and tolerate cooler conditions make them critical pollinators for certain plants and regions. Here, we apply a conservation genomics approach to study the vulnerable Bombus terricola. We sequenced RNA from 30 worker abdomens, 18 of which were collected from agricultural sites and 12 of which were collected from nonagricultural sites. We found transcriptional signatures associated with exposure to insecticides, with gene expression patterns suggesting that bumble bees were exposed to neonicotinoids and/or fipronil-two compounds known to negatively impact bees. We also found transcriptional signatures associated with pathogen infections. In addition to the transcriptomic analysis, we carried out a metatranscriptomic analysis and detected five pathogens in the abdomens of workers, three of which are common in managed honey bee and bumble bee colonies. Our conservation genomics study provides functional support for the role of pesticides and pathogen spillover in the decline of B. terricola. We demonstrate that conservation genomics is an invaluable tool which allows researchers to quantify the effects of multiple stressors that impact pollinator populations in the wild.© 2021 The Authors. Molecular Ecology published by John Wiley &amp; Sons Ltd.  KEYWORDS:  Other:insecticides|pollinators|transcriptional signs|transcriptomics</t>
  </si>
  <si>
    <t>Tsvetkov N, MacPhail VJ, Colla SR, Zayed A</t>
  </si>
  <si>
    <t>Molecular ecology</t>
  </si>
  <si>
    <t>Direct analysis of metabolites in the liver tissue of zebrafish exposed to fiproles by internal extractive electrospray ionization mass spectrometry.</t>
  </si>
  <si>
    <t>Direct analysis of metabolites in the liver tissue of zebrafish exposed to fiproles by internal extractive electrospray ionization mass spectrometry.    ABSTRACT:  Exploring the metabolic disturbance of fipronil and its derivatives in aquatic organisms may provide a more comprehensive understanding of the impact of fipronil on the ecological environment. In this work, internal extractive electrospray ionization mass spectrometry (iEESI-MS) was used to directly analyze metabolites in the liver tissue of zebrafish exposed to fipronil and its three derivatives. Partial least squares-discriminant analysis (PLS-DA) revealed that 32 signals were considered as differential signals in zebrafish after the exposure treatment of fipronil and its derivatives, including phosphatidylcholines (PCs), lysophosphatidylcholines (LPCs), phosphatidylethanolamines (PEs), fatty acids and so on. The pathway analysis result showed that both fipronil and its derivatives have a significant impact on the glycerophospholipid metabolism of zebrafish. Besides, the intensities of PC signals in the liver samples of each group showed such a trend: mixed fiprole exposed group &gt; fipronil sulfone exposed group ≈ fipronil sulfide exposed group &gt; fipronil exposed group &gt; fipronil desulfinyl exposed group &gt; control group, indicating that mixed exposure of fipronil and its derivatives exhibited more significant metabolic disturbance in zebrafish. Taken together, iEESI-MS is applied to environmental toxicology and investigating the metabolic disturbance induced by fipronil and its derivatives in aquatic organisms, providing a new analytical method for this field.  KEYWORDS:  MeSH Chemical: Insecticides MeSH: | Animals| Insecticides/majr/analysis| Liver/chemistry| Spectrometry, Mass, Electrospray Ionization| Zebrafish/majr</t>
  </si>
  <si>
    <t>Liu J, Lu H, Hua X, Gu Y, Pan W, Dong D, Liang D</t>
  </si>
  <si>
    <t>The Analyst</t>
  </si>
  <si>
    <t>146</t>
  </si>
  <si>
    <t>4480-4486</t>
  </si>
  <si>
    <t>Covalent Triazine Framework Sorbent for Solid Phase Extraction of Fipronil and its Metabolite in Eggs with Ultra-High Performance Liquid Chromatography-Tandem Mass Spectrometry.</t>
  </si>
  <si>
    <t>Covalent Triazine Framework Sorbent for Solid Phase Extraction of Fipronil and its Metabolite in Eggs with Ultra-High Performance Liquid Chromatography-Tandem Mass Spectrometry.    ABSTRACT:  A solid-phase extraction (SPE) method was established for fipronil and its metabolite residues (fipronil desulfinyl, fipronil sulphone and fipronil sulphide) in eggs with a covalent triazine framework (CTF) porous material as the adsorbent followed by ultra-high performance liquid chromatography-tandem mass spectrometry (UHPLC-MS/MS) detection. Multiple probes and quantum chemistry theory calculations were conducted to describe the versatile adsorption property directly and quantifiably. The conjugated structure of CTF and N-containing triazine generated π-π interactions and hydrogen bonds between the CTF and the targets, which led to high extraction efficiency and recoveries. The solid-phase extraction parameters, including amount of the adsorbent, type of eluent, amount of eluent and loading rate were investigated. Under the optimal experimental conditions, the recoveries of the analytes were between 85.5% and 103.2%, and the RSD (n = 5) was between 1.8% and 3.6%. The LODs and LOQs were 0.13-0.2 ng g-1 and 0.5-0.8 ng g-1, respectively. The sorbent can effectively reduce the interference of the matrix and meet the detection requirements of fipronil and its metabolites in eggs. These results imply that the CTF as adsorbents have great potential in the analysis of trace targets in samples with complex matrices.  KEYWORDS:  Other:Covalent triazine framework|egg samples|fipronil and its metabolite|solid-phase extraction|ultra-high performance liquid chromatography-tandem mass spectrometry</t>
  </si>
  <si>
    <t>Ba X, Yun G, Hou Y, Zhang W, Zhao W, Yuan H, Zhang S</t>
  </si>
  <si>
    <t>Food additives &amp; contaminants. Part A, Chemistry, analysis, control, exposure &amp; risk assessment</t>
  </si>
  <si>
    <t>1-11</t>
  </si>
  <si>
    <t>The adverse effects of the phenylpyrazole, fipronil, on juvenile white shrimp Litopenaeus setiferus.</t>
  </si>
  <si>
    <t>The adverse effects of the phenylpyrazole, fipronil, on juvenile white shrimp Litopenaeus setiferus.    ABSTRACT:  Chemical pesticides are commonly used world-wide, and they can flow into estuaries and affect non-targeted organisms. We evaluated the effects of six concentrations of the phenylpyrazole, fipronil (0.0, 0.005, 0.01, 0.1, 1.0, and 3.0 μg/L), which are environmentally relevant, on white shrimp Litopenaeus setiferus (initially averaging 0.80 ± 0.08 g/shrimp). Compared with the control, survivorship of shrimp over 45 days declined significantly at the higher concentration treatments. Growth was affected at all concentrations, and the percent weight gain decreased significantly. Inter-molt intervals were longer in all treatments. Changes in swimming and feeding behavior of shrimp were observed under all treatments, and change in body color was observed at higher concentration treatments. Lipid content in shrimp decreased significantly while ash content increased with fipronil concentration. Fipronil adversely affected white shrimp under the concentrations observed in the environment and monitoring of fipronil use is needed in coastal areas.  KEYWORDS:  Other:Ecotoxicology|Fipronil|Insecticides|Litopenaeus setiferus|Phenylpyrazole insecticide|White shrimp</t>
  </si>
  <si>
    <t>Al-Badran AA, Fujiwara M, Mora MA, Gatlin DM</t>
  </si>
  <si>
    <t>Enantioselective metabolism of phenylpyrazole insecticides by rat liver microsomal CYP3A1, CYP2E1 and CYP2D2.</t>
  </si>
  <si>
    <t>Enantioselective metabolism of phenylpyrazole insecticides by rat liver microsomal CYP3A1, CYP2E1 and CYP2D2.    ABSTRACT:  The stereoselective difference of chiral pesticide enantiomers is an important factor of risk evaluation and the subject has received wide attention. In the present work, enantioselective metabolism of chiral phenylpyrazole insecticides including fipronil, ethiprole and flufiprole in rat liver microsomes was investigated in vitro. The result showed remarkable enantioselectivity for fipronil and ethiprole with the EF values of 0.11-0.58. The metabolite fipronil-sulfone was formed with the degradation of fipronil. R-Ethiprole to S-ethiprole transformation was observed, but not S-ethiprole to R-ethiprole. No enantioselective metabolism was observed for flufiprole with the EF values of 0.49-0.51. The enzymatic assays showed that the inhibition ratio of R-fipronil and S-ethiprole was 1.5-2.1times that of the corresponding enantiomers on CYP2E1 and CYP2D2 activity, leading to the enantioselective metabolism. The result of the homology modeling and molecular docking further revealed that S-fipronil (-7.56 kcal mol-1) and R-ethiprole (-6.45 kcal mol-1) performed better binding with CYP2E1 and CYP2D2, respectively. The results provided useful data for the risk evaluation of chiral phenylpyrazole insecticides on ecological safety and human health.Copyright © 2021 Elsevier Inc. All rights reserved.  KEYWORDS:  MeSH Chemical: Insecticides| Cytochrome P-450 CYP2E1 MeSH: | Animals| Cytochrome P-450 CYP2E1| Insecticides/majr/toxicity| Liver| Molecular Docking Simulation| Rats| Stereoisomerism Other:Enantiomer transformation|Enantioselectivity metabolism|Enzyme activity|Molecular docking|Phenylpyrazole insecticide</t>
  </si>
  <si>
    <t>Zhang Z, Wang Z, Li QX, Hua R, Wu X</t>
  </si>
  <si>
    <t>176</t>
  </si>
  <si>
    <t>104861</t>
  </si>
  <si>
    <t>Association of CYP4G19 Expression With Gel Bait Performance in Pyrethroid-Resistant German Cockroaches (Blattodea: Ectobiidae) From Taiwan.</t>
  </si>
  <si>
    <t>Association of CYP4G19 Expression With Gel Bait Performance in Pyrethroid-Resistant German Cockroaches (Blattodea: Ectobiidae) From Taiwan.    ABSTRACT:  Overexpression of a cytochrome P450 gene, CYP4G19, is known to associate with pyrethroid resistance in the German cockroach, Blattella germanica (L.) (Blattodea: Ectobiidae). In this study, we investigated the CYP4G19 expression level in 20 field-collected strains of B. germanica in Taiwan. We also examined the level of adult male susceptibility to imidacloprid, fipronil, indoxacarb, and hydramethylnon using single-diagnostic dose bioassays and their susceptibility to corresponding gel baits to determine how the CYP4G19 expression level influences the cockroach gel bait performance. Results showed that the CYP4G19 gene expression level among the field-collected German cockroach was 1.8- to 9.7-fold higher than that of the susceptible strain. It was negatively correlated (P &lt; 0.05) with the % mortality after treatments with imidacloprid and fipronil diagnostic doses. However, no correlation was found between CYP4G19 gene expression with the % mortality after treatment with indoxacarb and hydramethylnon diagnostic doses. Indoxacarb and hydramethylnon baits showed high efficacy against the field strains with a mean mortality of 97.58 ± 1.35% and 90.95 ±1.65%, respectively. This study provided the first evidence of cross-resistance to imidacloprid and fipronil in pyrethroid-resistant German cockroaches due to overexpression of CYP4G19.© The Author(s) 2021. Published by Oxford University Press on behalf of Entomological Society of America. All rights reserved. For permissions, please e-mail: journals.permissions@oup.com.  KEYWORDS:  Other:cytochrome P450 monooxygenase|insecticide resistance management|metabolic resistance|pyrethroid</t>
  </si>
  <si>
    <t>Hu IH, Tzeng HY, Chen ME, Lee CY, Neoh KB</t>
  </si>
  <si>
    <t>Journal of economic entomology</t>
  </si>
  <si>
    <t>114</t>
  </si>
  <si>
    <t>1764-1770</t>
  </si>
  <si>
    <t>Molecular survey of pyrethroid and fipronil resistance in isolates of Rhipicephalus microplus in the north of Uruguay.</t>
  </si>
  <si>
    <t>Janer EC, Díaz A, Fontes F, Baraibar F, Saporiti T, Olhagaray ME</t>
  </si>
  <si>
    <t>Ticks and tick-borne diseases</t>
  </si>
  <si>
    <t>12</t>
  </si>
  <si>
    <t>101747</t>
  </si>
  <si>
    <t>Fipronil degradation kinetics and resource recovery potential of Bacillus sp. strain FA4 isolated from a contaminated agricultural field in Uttarakhand, India.</t>
  </si>
  <si>
    <t>Fipronil degradation kinetics and resource recovery potential of Bacillus sp. strain FA4 isolated from a contaminated agricultural field in Uttarakhand, India.    ABSTRACT:  This study investigates the potential role of Bacillus sp. FA4 for the bioremediation of fipronil in a contaminated environment and resource recovery from natural sites. The degradation parameters for fipronil were optimized using response surface methodology (RSM): pH - 7.0, temperature - 32 °C, inocula - 6.0 × 108 CFU mL-1, and fipronil concentration - 50 mg L-1. Degradation of fipronil was confirmed in the mineral salt medium (MSM), soil, immobilized agar discs, and sodium alginate beads. The significant reduction of the half-life of fipronil suggested that the strain FA4 could be used for the treatment of large-scale fipronil degradation from contaminated environments. The kinetic parameters, such as qmax, Ks, and Ki for fipronil degradation with strain FA4, were 0.698 day-1, 12.08 mg L-1, and 479.35 mg L-1, respectively. Immobilized FA4 cells with sodium alginate and agar disc beads showed enhanced degradation with reductions in half-life at 7.83 and 7.34 days, respectively. The biodegradation in soil further confirmed the degradation potential of strain FA4 with a half-life of 7.40 days as compared to the sterilized soil control's 169.02 days. The application of the strain FA4 on fipronil degradation, under different in vitro conditions, showed that the strain could be used for bioremediation and resource recovery of contaminated wastewater and soil in natural contaminated sites.Copyright © 2021 Elsevier Ltd. All rights reserved.  KEYWORDS:  MeSH Chemical: Pyrazoles| Soil Pollutants| fipronil MeSH: | Bacillus/majr| India| Kinetics| Pyrazoles| Soil Microbiology| Soil Pollutants/majr/analysis Other:Bacillus sp. FA4|Bioremediation|Fipronil|Resource recovery|Soil</t>
  </si>
  <si>
    <t>Bhatt P, Rene ER, Kumar AJ, Gangola S, Kumar G, Sharma A, Zhang W, Chen S</t>
  </si>
  <si>
    <t>276</t>
  </si>
  <si>
    <t>130156</t>
  </si>
  <si>
    <t>Alternative Methods of Ant (Hymenoptera: Formicidae) Control with Emphasis on the Argentine Ant, Linepithema humile.</t>
  </si>
  <si>
    <t>Alternative Methods of Ant (Hymenoptera: Formicidae) Control with Emphasis on the Argentine Ant, Linepithema humile.    ABSTRACT:  Ants (Hymenoptera: Formicidae), especially the Argentine ant, Linepithema humile (Mayr), can be significant nuisance pests in urban and suburban environments. Conventional interventions have primarily relied on the use of chemical insecticides, namely fipronil and bifenthrin, applied as residual, contact treatments around the outside perimeter of infested structures. Despite tightening regulation limiting the scope of insecticide applications in urban settings, dependence on these products to manage ants continues, resulting in significant water contamination. The U.S. EPA, in response, has further restricted the use patterns of many insecticides used for ant control in professional and over-the-counter markets. The purpose of this review is to summarize the relevant literature associated with controlling nuisance pest ants, with emphasis on L. humile, without the use of liquid broadcast applications of EPA-registered insecticides while focusing on low-impact, alternative (to broadcast applications) pest control methods. Specific subsections include Trail Pheromone; Use of Behavior-Modifying Chemicals; Mass Trapping; Hydrogels, "Virtual" Baiting, and Exceedingly-Low Bait Concentrations; Food Source Reduction; Deterrents; and RNA Interference (RNAi).  KEYWORDS:  Other:(Z)-9-hexadecenal|Argentine ant|Linepithema humile|alternative ant control|ant trapping|baits|essential oil|fipronil|hydrogel|trail pheromone</t>
  </si>
  <si>
    <t>Suiter DR, Gochnour BM, Holloway JB, Vail KM</t>
  </si>
  <si>
    <t>Insects</t>
  </si>
  <si>
    <t>Ameliorative Role of Cerium Oxide Nanoparticles Against Fipronil Impact on Brain Function, Oxidative Stress, and Apoptotic Cascades in Albino Rats.</t>
  </si>
  <si>
    <t>Elshony N, Nassar AMK, El-Sayed YS, Samak D, Noreldin A, Wasef L, Saleh H, Elewa YHA, Tawfeek SE, Saati AA, Batiha GE, Tomczyk M, Umezawa M, Shaheen HM</t>
  </si>
  <si>
    <t>Frontiers in neuroscience</t>
  </si>
  <si>
    <t>15</t>
  </si>
  <si>
    <t>651471</t>
  </si>
  <si>
    <t>Prevention of Lyme and other tickborne diseases using a rodent-targeted approach: A randomized controlled trial in Connecticut.</t>
  </si>
  <si>
    <t>Prevention of Lyme and other tickborne diseases using a rodent-targeted approach: A randomized controlled trial in Connecticut.    ABSTRACT:  Tickborne diseases are an increasing public health problem in the northeastern USA. Bait boxes that apply acaricide to rodents have been shown in small field studies to significantly reduce abundance of Ixodes scapularis ticks as well as their pathogen infection rates in treated areas. The effectiveness of this intervention for preventing human tickborne diseases (TBDs) has not been demonstrated. During 2012-2016, TickNET collaborators conducted a randomized, blinded, placebo-controlled trial among 622 Connecticut households. Each household received active (containing fipronil wick) or placebo (empty) bait boxes in their yards over two consecutive years. Information on tick encounters and TBDs among household members was collected through biannual surveys. Nymphal ticks were collected from a subset of 100 properties during spring at baseline, during treatment, and in the year post-intervention. Demographic and property characteristics did not differ between treatment groups. There were no significant differences post-intervention between treatment groups with respect to tick density or pathogen infection rates, nor for tick encounters or TBDs among household members. We found no evidence that rodent-targeted bait boxes disrupt pathogen transmission cycles or significantly reduce household risk of tick exposure or TBDs. The effectiveness of this intervention may depend on scale of use or local enzootic cycles.© 2021 Wiley-VCH GmbH.  KEYWORDS:  Other:bait boxes|humans|pesticide|prevention|rodents|tickborne diseases|ticks</t>
  </si>
  <si>
    <t>Hinckley AF, Niesobecki SA, Connally NP, Hook SA, Biggerstaff BJ, Horiuchi KA, Hojgaard A, Mead PS, Meek JI</t>
  </si>
  <si>
    <t>Zoonoses and public health</t>
  </si>
  <si>
    <t>Mitochondrial and transcriptome responses in rat dopaminergic neuronal cells following exposure to the insecticide fipronil.</t>
  </si>
  <si>
    <t>Souders CL, Rushin A, Sanchez CL, Toth D, Adamovsky O, Martyniuk CJ</t>
  </si>
  <si>
    <t>Neurotoxicology</t>
  </si>
  <si>
    <t>85</t>
  </si>
  <si>
    <t>173-185</t>
  </si>
  <si>
    <t>Multi-generational exposure to fipronil, 2,4-D, and their mixtures in Chironomus sancticaroli: Biochemical, individual, and population endpoints.</t>
  </si>
  <si>
    <t>Pinto TJDS, Rocha GS, Moreira RA, Silva LCMD, Yoshii MPC, Goulart BV, Montagner CC, Daam MA, Espindola ELG</t>
  </si>
  <si>
    <t>283</t>
  </si>
  <si>
    <t>117384</t>
  </si>
  <si>
    <t>Dissipation behaviour and risk assessment of fipronil and its metabolites in paddy ecosystem using GC-ECD and confirmation by GC-MS/MS.</t>
  </si>
  <si>
    <t>Dissipation behaviour and risk assessment of fipronil and its metabolites in paddy ecosystem using GC-ECD and confirmation by GC-MS/MS.    ABSTRACT:  Fipronil -a broad spectrum phenylpyrazole insecticide has high level of toxicity towards environment. Therefore, an easy and reliable analytical method was developed for residue estimation of fipronil to ensure food and environmental safety. A modified QuEChERS technique was followed for estimation of fipronil (5% SC) in paddy ecosystem using GC-ECD and confirmation by GC-MS/MS. The initial residues (0.168-0.794 μg g-1) of total fipronil i.e., sum of fipronil and its metabolites (viz., desulfinyl and sulfone) in leaf and soil were dissipated following first order kinetics. About 92-96% of fipronil residues were degraded after 15 days with half-life of 3.4-4.1 days and pre-harvest interval of 19.4-25.7 days in plant. Residues were below level of quantification (&lt;0.005 μg g-1) in plant and soil at harvest. The fipronil residues in rice grain present low dietary risk (RQd &lt; 1) to human health. However, high risk (RQd &gt; 1) was predicted for cattle health due to fipronil residues in paddy leaf up to 10 days. The residual level in soil was also at highrisk (RQs &gt; 1) for soil ecological health.© 2021 Published by Elsevier Ltd.  KEYWORDS:  Other:Dietary and ecological risk|Fipronil residues|Paddy|Persistence|Soil</t>
  </si>
  <si>
    <t>Mukherjee A, Mondal R, Biswas S, Saha S, Ghosh S, Kole RK</t>
  </si>
  <si>
    <t>Heliyon</t>
  </si>
  <si>
    <t>e06889</t>
  </si>
  <si>
    <t>Analysis of gaps in feline ectoparasiticide purchases from veterinary clinics in the United States.</t>
  </si>
  <si>
    <t>Lavan R, Normile D, Husain I, Singh A, Heaney K</t>
  </si>
  <si>
    <t>264</t>
  </si>
  <si>
    <t>Population model analyses of the combined effects of insecticide use and habitat degradation on the past sharp declines of the dragonfly Sympetrum frequens.</t>
  </si>
  <si>
    <t>Nakanishi K, Yokomizo H, Hayashi TI</t>
  </si>
  <si>
    <t>787</t>
  </si>
  <si>
    <t>147526</t>
  </si>
  <si>
    <t>The effects of fipronil on emotional and cognitive behaviors in mammals.</t>
  </si>
  <si>
    <t>Suzuki T, Hirai A, Khidkhan K, Nimako C, Ichise T, Takeda K, Mizukawa H, Nakayama SMM, Nomiyama K, Hoshi N, Maeda M, Hirano T, Sasaoka K, Sasaki N, Takiguchi M, Ishizuka M, Ikenaka Y</t>
  </si>
  <si>
    <t>175</t>
  </si>
  <si>
    <t>104847</t>
  </si>
  <si>
    <t>A comprehensive review of environmental fate and degradation of fipronil and its toxic metabolites.</t>
  </si>
  <si>
    <t>A comprehensive review of environmental fate and degradation of fipronil and its toxic metabolites.    ABSTRACT:  The use of pesticides to increase crop production has become one of the inevitable components of modern agriculture. Fipronil, a phenylpyrazoles insecticide, is one of the most widely used, systemic, broad-spectrum insecticides. Owing to its unique mode of action and selective toxicity, it was once regarded as safer alternatives to more toxic and persistent organochlorine insecticides. However, with the increased use, many studies have reported the toxicity of fipronil and its metabolites in various non-target organisms during the last two decades. Currently, it is regarded as one of the most persistent and lipophilic insecticides in the market. In the environment, fipronil can undergo oxidation, reduction, hydrolysis, or photolysis to form fipronil sulfone, fipronil sulfide, fipronil amide, or fipronil desulfinyl respectively. These metabolites except fipronil amide are more or less toxic and persistent than fipronil and have been reported from diverse environmental samples. Recently many studies have focused on the degradation and removal of fipronil residues from the environment. However, a comprehensive review summarizing and combining these recent findings is lacking. In the present review, we evaluate, summarize, and combine important findings from recent degradation studies of fipronil and its metabolites. An attempt has been made to elucidate the possible mechanism and pathways of degradation of fipronil and its toxic metabolites.Copyright © 2021 Elsevier Inc. All rights reserved.  KEYWORDS:  MeSH Chemical: Insecticides| Pesticides| Pyrazoles| fipronil MeSH: | Agriculture| Insecticides/majr/toxicity| Pesticides/majr| Pyrazoles Other:Degradation|Fipronil|Metabolites|Pathways|Phenylpyrazole</t>
  </si>
  <si>
    <t>Singh NS, Sharma R, Singh SK, Singh DK</t>
  </si>
  <si>
    <t>199</t>
  </si>
  <si>
    <t>111316</t>
  </si>
  <si>
    <t>Contamination routes and mortality of the leaf-cutting ant Atta sexdens (Hymenoptera: Formicidae) by the insecticides fipronil and sulfluramid through social interactions.</t>
  </si>
  <si>
    <t>Contamination routes and mortality of the leaf-cutting ant Atta sexdens (Hymenoptera: Formicidae) by the insecticides fipronil and sulfluramid through social interactions.    ABSTRACT:  Leaf-cutting ants (LCAs) of the genera Atta and Acromyrmex (Hymenoptera: Formicidae) are important pests of forest plantations, agriculture and livestock. Toxic baits containing the active ingredients fipronil or sulfluramid are the main method used to control LCAs. Insecticide dispersion among members of an LCA colony during control with toxic bait is not well understood. The objective of the study was to determine whether self-grooming, allogrooming or touching behavior among Atta sexdens (Hymenoptera: Formicidae) workers disperses the insecticides fipronil and sulfluramid among members of the colony. The insecticides were topically applied on groups of A. sexdens workers and social interactions between ants with and without insecticide, and group mortality were evaluated.Behavioral analysis showed an increase in interaction among LCA workers as the numbers of individuals increased, with touches between workers being the most frequent behavior. The frequency of observed behaviors was higher in groups treated with sulfluramid compared with fipronil. The mortality of groups treated with fipronil was almost twice as high compared with ants treated with sulfluramid. The insecticides are probably dispersed by excessive touching among workers and subsequent self-grooming and allogrooming.These behaviors were responsible for the rapid dispersion of insecticides among members of the colony. Corroboration of the hypothesis that social interactions contaminate nestmates is a model for future studies on contamination of ant workers with active insecticide ingredients.© 2021 Society of Chemical Industry.  KEYWORDS:  Other:Atta|insecticides|social interactions|trophallaxis</t>
  </si>
  <si>
    <t>Mota Filho TMM, Camargo RS, Zanuncio JC, Stefanelli LEP, de Matos CAO, Forti LC</t>
  </si>
  <si>
    <t>Pest management science</t>
  </si>
  <si>
    <t>Development and Demonstration of Low-Impact IPM Strategy to Control Argentine Ants (Hymenoptera: Formicidae) in Urban Residential Settings.</t>
  </si>
  <si>
    <t>Development and Demonstration of Low-Impact IPM Strategy to Control Argentine Ants (Hymenoptera: Formicidae) in Urban Residential Settings.    ABSTRACT:  Argentine ants are one of the most common nuisance pest ants treated by pest management professionals (PMPs) in southern and western urban residential areas of the United States. Two new technologies (spraying with a pheromone adjuvant and using a biodegradable hydrogel bait delivery method) were used to develop a unique low-impact integrated pest management (IPM) protocol for Argentine ants in urban residential settings. The IPM protocol included a one-time perimeter spray treatment with 0.03% fipronil (mixed with a pheromone adjuvant) at the beginning of the ant season to achieve a quick knockdown. The initial spray application was followed by a biodegradable hydrogel baiting with 1% boric acid as a maintenance treatment. This low-impact IPM protocol was compared with two other conventional methods: (1) one initial fipronil application and one pyrethroid spray application for maintenance, or (2) one initial fipronil application and one essential oil insecticide spray application for maintenance. Based on Argentine ant foraging activity, the protocols were compared for their control efficacy. Insecticide use information and treatment time were also recorded and compared among different treatment protocols. Our results provided empirical data to support the effectiveness and economic feasibility of the low-impact IPM protocol for managing Argentine ants in urban residential settings.© The Author(s) 2021. Published by Oxford University Press on behalf of Entomological Society of America. All rights reserved. For permissions, please e-mail: journals.permissions@oup.com.  KEYWORDS:  Other:Fipronil|adjuvant pheromone|boric acid|hydrogel ant bait|perimeter treatment spray</t>
  </si>
  <si>
    <t>Choe DH, Tay JW, Campbell K, Park H, Greenberg L, Rust MK</t>
  </si>
  <si>
    <t>1752-1757</t>
  </si>
  <si>
    <t>Insecticide fipronil and its transformation products in human blood and urine: Assessment of human exposure in general population of China.</t>
  </si>
  <si>
    <t>Shi L, Wan Y, Liu J, He Z, Xu S, Xia W</t>
  </si>
  <si>
    <t>786</t>
  </si>
  <si>
    <t>147342</t>
  </si>
  <si>
    <t>Ameliorative Effects of Boswellic Acid on Fipronil-Induced Toxicity: Antioxidant State, Apoptotic Markers, and Testicular Steroidogenic Expression in Male Rats.</t>
  </si>
  <si>
    <t>Tohamy HG, El-Kazaz SE, Alotaibi SS, Ibrahiem HS, Shukry M, Dawood MAO</t>
  </si>
  <si>
    <t>Animals : an open access journal from MDPI</t>
  </si>
  <si>
    <t>Assessing pesticide uses with potentials for down-the-drain transport to wastewater in California.</t>
  </si>
  <si>
    <t>Xie Y, Budd R, Teerlink J, Luo Y, Singhasemanon N</t>
  </si>
  <si>
    <t>773</t>
  </si>
  <si>
    <t>145636</t>
  </si>
  <si>
    <t>Boswellia serrata suppress fipronil-induced neuronal necrosis and neurobehavioral alterations via promoted inhibition of oxidative/inflammatory/apoptotic pathways.</t>
  </si>
  <si>
    <t>Khafaga AF, El-Kazaz SE, Noreldin AE</t>
  </si>
  <si>
    <t>785</t>
  </si>
  <si>
    <t>147384</t>
  </si>
  <si>
    <t>Colony Suppression and Possible Colony Elimination of the Subterranean Termites Coptotermes formosanus and Reticulitermes speratus by Discontinuous Soil Treatment Using a Diluent of Fipronil Suspension Concentrate.</t>
  </si>
  <si>
    <t>Colony Suppression and Possible Colony Elimination of the Subterranean Termites Coptotermes formosanus and Reticulitermes speratus by Discontinuous Soil Treatment Using a Diluent of Fipronil Suspension Concentrate.    ABSTRACT:  We assessed the efficacy of a discontinuous soil treatment using a diluent of fipronil suspension concentrate in controlling colonies of Coptotermes formosanus and Reticulitermes speratus. In-ground monitoring stations were installed at Isogi Park and Kindai University, and individual termites inhabiting the stations were collected for four or six years to determine the numbers and locations of colonies present in test areas before and after the discontinuous soil treatment. Microsatellite genotyping indicated that two C. formosanus and two R. speratus colonies in the test area at Isogi Park and five R. speratus colonies in the test area at Kindai University were active and that their territories fluctuated every year. One of the two C. formosanus colonies at Isogi Park and one of the five R. speratus colonies at Kindai University were subjected to discontinuous soil treatments with fipronil and were strongly affected by the treatment at the colony level, resulting in the suppression and possible elimination of colonies. Termite activity of the fipronil-treated colony of C. formosanus was detected within one week after the discontinuous soil treatment and was not found for more than two years (28 months), while termite activity of the fipronil-treated colony of R. speratus was detected within four days and three weeks after the discontinuous soil treatment and was not detected thereafter for three years. Fipronil residue analysis showed that workers of C. formosanus moved at least 28 m and that workers of R. speratus moved 6 m from the treated soil locations for up to three weeks.  KEYWORDS:  Other:colony elimination|colony suppression|discontinuous soil treatment|minimal use of insecticide|nonrepellent slow-acting termiticide</t>
  </si>
  <si>
    <t>Itakura S, Ohdake J, Takino T, Umezawa K</t>
  </si>
  <si>
    <t>The detection of fipronil residue in egg on layered gold nanorod-graphene oxide-based 3D SERS substrate.</t>
  </si>
  <si>
    <t>The detection of fipronil residue in egg on layered gold nanorod-graphene oxide-based 3D SERS substrate.    ABSTRACT:  Fipronil and its metabolite fipronil sulfone, when found in some food products, such as eggs, have caused major public health concerns. In this study, we used gold nanorods (AuNRs) and graphene oxide (GO) nanocomposites to fabricate a layer-by-layer assembled three dimensional (3D) substrate for toxin detection by surface enhanced Raman scattering (SERS). The 4-layers of GO-AuNR 3D SERS substrate were optimized using rhodamine 6G. The optimized SERS substrate was used to detect fipronil and fipronil sulfone in spiked eggs. The obtained limit of detection was 10-8 M (∼4.4 ppb), which is below the maximum residue limit in Taiwan of 10 ppb. Egg samples spiked with fipronil (10-7 and 10-3 M) and fipronil sulfone (10-8 and 10-4 M) were measured and the maximum departure of the measured SERS intensity from the calibrated SERS intensity was ∼14%. Thus, a facile screening method for the detection of fipronil/fipronil sulfone in food-grade eggs by SERS is demonstrated.  KEYWORDS:  MeSH Chemical: Pyrazoles| graphene oxide| Gold| Graphite| fipronil MeSH: | Gold| Graphite/majr| Nanotubes/majr| Pyrazoles| Spectrum Analysis, Raman</t>
  </si>
  <si>
    <t>Lai HL, Ghosh S, Chattopadhyay S</t>
  </si>
  <si>
    <t>3557-3567</t>
  </si>
  <si>
    <t>Developmental Neurotoxicity of Fipronil and Rotenone on a Human Neuronal In Vitro Test System.</t>
  </si>
  <si>
    <t>Developmental Neurotoxicity of Fipronil and Rotenone on a Human Neuronal In Vitro Test System.    ABSTRACT:  Pesticide exposure during in utero and early postnatal development can cause a wide range of neurological defects. However, relatively few insecticides have been recognized as developmental neurotoxicants, so far. Recently, discovery of the insecticide, fipronil, in chicken eggs has raised public concern. The status of fipronil as a potential developmental neurotoxicant is still under debate. Whereas several in vivo and in vitro studies suggest specific toxicity, other in vitro studies could not confirm this concern. Here, we tested fipronil and its main metabolic product, fipronil sulfone both at concentrations between 1.98 and 62.5 µM, alongside with the established developmental neurotoxicant, rotenone (0.004-10 µM) in vitro on the human neuronal precursor cell line NT2. We found that rotenone impaired all three tested DNT endpoints, neurite outgrowth, neuronal differentiation, and precursor cell migration in a dose-dependent manner and clearly separable from general cytotoxicity in the nanomolar range. Fipronil and fipronil sulfone specifically inhibited cell migration and neuronal differentiation, but not neurite outgrowth in the micromolar range. The rho-kinase inhibitor Y-27632 counteracted inhibition of migration for all three compounds (EC50 between 12 and 50 µM). The antioxidant, n-acetyl cysteine, could ameliorate the inhibitory effects of fipronil on all three tested endpoints (EC 50 between 84 and 164 µM), indicating the involvement of oxidative stress. Fipronil sulfone had a stronger effect than fipronil, confirming the importance to test metabolic products alongside original pesticides. We conclude that in vitro fipronil and fipronil sulfone display specific developmental neurotoxicity on developing human model neurons.© 2021. The Author(s).  KEYWORDS:  Other:DNT|Differentiation|Migration|NT2|NTera-2|Neurite outgrowth</t>
  </si>
  <si>
    <t>Schmitz A, Dempewolf S, Tan S, Bicker G, Stern M</t>
  </si>
  <si>
    <t>Neurotoxicity research</t>
  </si>
  <si>
    <t>1189-1202</t>
  </si>
  <si>
    <t>Neurotoxic responses of rainbow trout (Oncorhynchus mykiss) exposed to fipronil: multi-biomarker approach to illuminate the mechanism in brain.</t>
  </si>
  <si>
    <t>Neurotoxic responses of rainbow trout (Oncorhynchus mykiss) exposed to fipronil: multi-biomarker approach to illuminate the mechanism in brain.    ABSTRACT:  Insecticides have potential to non-target organisms, disrupting the healthy functioning of the aquatic environment as they are the ultimate receptor of the aquatic ecosystem. Insecticides, which are widely used in agriculture, have high neurotoxicity on aquatic organisms. In this study, the acute alterations [catalase (CAT), arylesterase (ARE), malondialdehyde (MDA), myeleperoxidase (MPO), paraoxonase (PON), glutathione peroxidase (GPX), superoxide dismutase (SOD), 8-hydroxy-2-deoxyguanosine (8-OHdG) level, caspase-3 activity, and Acetylcholinesterase (AChE) enzyme activity] caused by the different concentrations of Fipronil (FP) insecticide (0.05, 0.1, and 0.2 mg/L) on rainbow trout (Oncorhynchus mykiss) brain tissue were investigated. It has been determined that superoxide dismutase -catalase - glutathione peroxidase - paraoxonase and arylesterase enzyme activities were inhibited but MDA and MPO induced depending on the concentration in brain tissue. When compared with the control group, the changes between the pesticide exposed groups were found statistically significant (p &lt; 0.05). In brain tissue, while AChE enzyme activity was decreased depending on concentration, caspase-3 activity increased with 8-OHdG level. As a result, it has been determined that FP is a dangerous environmental pollutant for aquatic organisms, even at low concentrations, inducing oxidative stress, damaging the brain tissue of fish and stimulating apoptosis.  KEYWORDS:  Other:8-OHdG|AChE activity|ARE|MPO|Oncorhynchus mykiss|PON|caspase-3|fipronil|oxidative stress</t>
  </si>
  <si>
    <t>Uçar A, Özgeriş FB, Parlak V, Yeltekin AÇ, Kocaman EM, Alak G, Atamanalp M</t>
  </si>
  <si>
    <t>Drug and chemical toxicology</t>
  </si>
  <si>
    <t>1-6</t>
  </si>
  <si>
    <t>Use of anti-tick drugs in dairy farms in the microregion of Alfenas, Minas Gerais, Brazil.</t>
  </si>
  <si>
    <t>Use of anti-tick drugs in dairy farms in the microregion of Alfenas, Minas Gerais, Brazil.    ABSTRACT:  Ectoparasitic infestation in dairy cattle, the most common being Rhipicephalus (Boophilus) microplus, causes significant loss in production. The control of ectoparasites often occurs incorrectly, resulting in resistance to the active ingredients and residues in milk. To understand of acaricide use in the microregion of Alfenas, Minas Gerais (Brazil), questionnaires were applied to the owners of 100 dairy farms in the region and were selected randomly. Dairy farms were allocated according to production scale: up to 150 liters/day, 151-400 liters/day and more than 400 liters/day. The interviewees were asked about production characteristics, acaricide management and active ingredients. The interview answers were subjected to descriptive analysis. Results showed that all properties, independent of production-scale, used acaricides. The most cited was: Cypermethrin Chlorpyrifos Citronellal (31%), Fluazuron (18.6%) and Fipronil (17%). Among the interviewed, 41,1% use drugs that have restrictions that are not allowed in legislation for use in lactating dairy cows (fluazuron, fipronil, ivermectin). 15% affirmed they weren't aware of the "withdrawal period" of medication and 73% change in the active ingredient used. In order to revert this antiparasitic drug's resistance situation and contamination of milk with drug residues, it is necessary to focus on the awareness of milk producers and training of labor.  KEYWORDS:  MeSH Chemical: Acaricides| Pharmaceutical Preparations MeSH: | Acaricides/majr| Animals| Brazil| Cattle| Cattle Diseases/majr| Farms| Female| Lactation| Pharmaceutical Preparations/majr| Rhipicephalus/majr| Tick Infestations/majr/veterinary</t>
  </si>
  <si>
    <t>Nascimento AFD, Natel AS, Viana LM, Melo CL, Lacerda YG, Lima MK, Esteves GF</t>
  </si>
  <si>
    <t>Revista brasileira de parasitologia veterinaria = Brazilian journal of veterinary parasitology : Orgao Oficial do Colegio Brasileiro de Parasitologia Veterinaria</t>
  </si>
  <si>
    <t>e020620</t>
  </si>
  <si>
    <t>Transport of emerging contaminants: a column experimental study in granitic, gneissic, and quaternary alluvial soils from Porto Alegre, Southern Brazil.</t>
  </si>
  <si>
    <t>Transport of emerging contaminants: a column experimental study in granitic, gneissic, and quaternary alluvial soils from Porto Alegre, Southern Brazil.    ABSTRACT:  Emerging contaminants is a topic that has been in evidence, especially in the last decades. These compounds are pesticides, pharmaceuticals, and personal care products that are present in several locations, mainly in large urban centers. The aim of this work was to investigate the fate of seven compounds (atrazine, simazine, ametrine, tebuthiuron, 2,4-D, fipronil, and diclofenac) using leaching column experiments to evaluate accumulation and transfer in 5 different types of urban soils from Porto Alegre, Southern Brazil. Chemical analyses were carried out through liquid chromatography tandem mass spectrometry (LC-MS/MS). The results showed that the soil derived from quaternary sediments, with well-sorted sandy sediments, was the one in which the contaminants had higher mobility. This soil also has a pH above the average of the others in the city, a factor that may also be responsible for less retention of substances. Tebuthiuron is the substance with the greatest leaching potential overall. Column experiments are a relevant tool to understand the behavior of emerging contaminants in soils and implications on the population health.  KEYWORDS:  MeSH Chemical: Soil| Soil Pollutants| Water Pollutants, Chemical MeSH: | Brazil| Chromatography, Liquid| Environmental Monitoring| Gas Chromatography-Mass Spectrometry| Soil| Soil Pollutants/majr/analysis| Tandem Mass Spectrometry| Water Pollutants, Chemical/majr/analysis Other:Contaminant transport|Leaching experiment|Pesticides|Pharmaceuticals|Soil contamination</t>
  </si>
  <si>
    <t>Stefano PHP, Roisenberg A, Gomes EB, Goulart BV, Montagner CC</t>
  </si>
  <si>
    <t>Environmental monitoring and assessment</t>
  </si>
  <si>
    <t>193</t>
  </si>
  <si>
    <t>262</t>
  </si>
  <si>
    <t>Exposure to environmental concentrations of fipronil induces biochemical changes on a neotropical freshwater fish.</t>
  </si>
  <si>
    <t>Santillán Deiú A, Miglioranza KSB, Ondarza PM, de la Torre FR</t>
  </si>
  <si>
    <t>32</t>
  </si>
  <si>
    <t>43872-43884</t>
  </si>
  <si>
    <t>Lateral flow immunoassay for the simultaneous detection of fipronil and its metabolites in food samples.</t>
  </si>
  <si>
    <t>Lateral flow immunoassay for the simultaneous detection of fipronil and its metabolites in food samples.    ABSTRACT:  We developed a sensitive and rapid lateral flow immunochromatographic (LFI) assay for the simultaneous detection of fipronil and its metabolites in eggs and cucumbers using gold nanoparticle (GNP)-labeled monoclonal antibodies (mAbs). Anti-fipronil mAbs (1B6) were produced using two haptens and identified by heterologous indirect competitive enzyme-linked immunosorbent assay (icELISA) with half maximal inhibitory concentration (IC50) and limit of detection (LOD) values of 0.46 ± 0.07 and 0.05 ± 0.01 ng mL-1, respectively. The developed LFI strip showed high sensitivity and specificity in the detection of fipronil with cut-off and visual limit of detection (vLOD) values of 10 and 0.25 ng mL-1, respectively. Furthermore, the application of LFI in the detection of fipronil-spiked egg and cucumber samples was validated by liquid chromatography tandem mass spectrometry (LC-MS/MS). Our developed LFI assay is suitable for detection of fipronil and its metabolites in real samples.Copyright © 2021 Elsevier Ltd. All rights reserved.  KEYWORDS:  MeSH Chemical: Haptens| Pyrazoles| Gold| fipronil MeSH: | Animals| Chromatography, Liquid| Eggs/analysis| Food Analysis/majr/methods| Gold/chemistry| Haptens/chemistry| Immunoassay/majr/methods| Limit of Detection| Metal Nanoparticles/chemistry| Pyrazoles/majr/analysis/metabolism| Tandem Mass Spectrometry| Time Factors Other:Cucumbers|Eggs|Fipronil and metabolites|Immunochromatographic test strip|Lateral flow immunoassay|Monoclonal antibody</t>
  </si>
  <si>
    <t>Yao J, Wang Z, Guo L, Xu X, Liu L, Kuang H, Xu C</t>
  </si>
  <si>
    <t>356</t>
  </si>
  <si>
    <t>129710</t>
  </si>
  <si>
    <t>Resistance to Fipronil in the Common Bed Bug (Hemiptera: Cimicidae).</t>
  </si>
  <si>
    <t>González-Morales MA, DeVries Z, Sierras A, Santangelo RG, Kakumanu ML, Schal C</t>
  </si>
  <si>
    <t>Journal of medical entomology</t>
  </si>
  <si>
    <t>58</t>
  </si>
  <si>
    <t>1798-1807</t>
  </si>
  <si>
    <t>Biomarker responses and metabolism in Lumbricus terrestris exposed to drugs of environmental concern, an in vivo and in vitro approach.</t>
  </si>
  <si>
    <t>Solé M, Montemurro N, Pérez S</t>
  </si>
  <si>
    <t>277</t>
  </si>
  <si>
    <t>130283</t>
  </si>
  <si>
    <t>Luteolin attenuates Fipronil-induced neurotoxicity through reduction of the ROS-mediated oxidative stress in rat brain mitochondria.</t>
  </si>
  <si>
    <t>Luteolin attenuates Fipronil-induced neurotoxicity through reduction of the ROS-mediated oxidative stress in rat brain mitochondria.    ABSTRACT:  Luteolin (LUT) as a natural compound found in vegetables and fruits has various pharmacological effects. Fipronil (FPN), as a pesticide, has been considered for its effect on the antioxidant system and induction of oxidative stress. This study was designed to investigate the protective effects of LUT against the oxidative stress and mitochondrial toxicity induced by FPN on the rat brain. Several parameters such as mitochondrial reactive oxygen species (ROS) level, mitochondrial membrane potential (MMP) collapse, mitochondrial swelling, cytochrome c release, mitochondrial glutathione (GSH), lipid peroxidation (LPO) and Adenosine triphosphate (ATP) levels were assessed. Results indicated that the administration of LUT (25 μM) significantly improved oxidative stress and mitochondrial damages induced via FPN (6, 12 and 24 μM) in isolated mitochondria from the brain. These results show that LUT exerted protective effects against FPN-induced neurotoxicity in vitro through improving oxidative stress and mitochondrial damages.Copyright © 2021 Elsevier Inc. All rights reserved.  KEYWORDS:  MeSH Chemical: Pyrazoles| Reactive Oxygen Species| Luteolin| fipronil MeSH: | Animals| Brain/metabolism| Lipid Peroxidation| Luteolin/majr/pharmacology| Membrane Potential, Mitochondrial| Mitochondria/metabolism| Oxidative Stress/majr| Pyrazoles| Rats| Reactive Oxygen Species/metabolism Other:Brain|Fipronil|Luteolin|Mitochondria|Oxidative stress|Reactive oxygen species</t>
  </si>
  <si>
    <t>Seydi E, Mehrpouya L, Sadeghi H, Rahimi S, Pourahmad J</t>
  </si>
  <si>
    <t>173</t>
  </si>
  <si>
    <t>104785</t>
  </si>
  <si>
    <t>Oral and topical extra-label administration of fipronil to laying hens: Assessment of the egg residue patterns.</t>
  </si>
  <si>
    <t>Oral and topical extra-label administration of fipronil to laying hens: Assessment of the egg residue patterns.    ABSTRACT:  This experimental work reproduces the fipronil extra-label administration performed by producers in laying hens. The scientific goal was to characterize the residual concentrations in eggs from treated hens and suggest the withdrawal periods that should be respected to avoid risk for consumers. Thirty-four laying hens were allocated into two groups: Group A was treated with fipronil in feed, two single doses of 1 mg kg-1  day-1 ; Group B was administered a single dose of 1 mg kg-1 by the topical route. Fipronil egg residues were quantified by HPLC-MS/MS. Fipronil and its sulphone metabolite (fipronil-SO2 ) were measured in egg after both treatments. The highest egg residual profile was always for fipronil-SO2 . Mean maximum egg concentrations (Cmax ) of 228.5 ± 79.8 ng/g (fipronil) and 1,849 ± 867 ng/g (fipronil-SO2 ) were found after fipronil administration in feed. The lowest residual levels were quantified after the topical treatment with Cmax of 27.1 ± 4.9 and 163 ± 26 ng/g for fipronil and fipronil-SO2 . Mean fipronil marker residues and established MRLs allowed calculating the withdrawal periods, the shortest being 74 days after topical administration. Such a long withdrawal period is difficult to meet in egg production systems. Thus, the extra-label use of fipronil in laying hens should not be recommended under any circumstances.© 2021 John Wiley &amp; Sons Ltd.  KEYWORDS:  Other:egg residues|extra-label use|fipronil|laying hens</t>
  </si>
  <si>
    <t>Canton L, Canton C, Ceballos L, Domínguez P, Rodríguez J, Lanusse C, Alvarez L, Moreno L</t>
  </si>
  <si>
    <t>Inheritance, stability, cross-resistance, and life history parameters of a clothianidin-selected strain of house fly, Musca domestica Linnaeus.</t>
  </si>
  <si>
    <t>Shah RM, Shad SA</t>
  </si>
  <si>
    <t>278</t>
  </si>
  <si>
    <t>116880</t>
  </si>
  <si>
    <t>Toxicity of fipronil and 2,4-D formulations (alone and in a mixture) to the tropical amphipod Hyalella meinerti.</t>
  </si>
  <si>
    <t>Toxicity of fipronil and 2,4-D formulations (alone and in a mixture) to the tropical amphipod Hyalella meinerti.    ABSTRACT:  Conventional farming uses a large volume of pesticides that may reach aquatic ecosystems. This is also the case for the insecticide fipronil and the herbicide 2,4-D, which are widely used in many crops. This study aimed at evaluating the individual and mixture toxicity of these pesticides to the tropical amphipod Hyalella meinerti. To this end, acute toxicity tests (96 h) were conducted. Chronic bioassays (10 days) were also carried out, in which the body length and dry biomass were evaluated as endpoints. In addition, a complete factorial mixture chronic toxicity test was carried out. H. meinerti was sensitive to fipronil in the acute toxicity tests, with a LC50-96-h of 0.86 μg L-1 (95% CI 0.26-0.46), and no acute effects were observed after 2,4-D exposure even at the highest test concentration of 100 mg L-1. In the chronic toxicity tests, all tested concentrations of both pesticides decreased the growth of H. meinerti, in which losses on biomass reached 45% and 65% for 2,4-D and fipronil, respectively. The pesticide mixture indicated antagonism although it still significantly decreased the body growth. The results obtained indicate a high sensitivity of H. meinerti exposed to environmentally realistic concentrations, demonstrating that there are risks for the species in real field conditions.© 2021. The Author(s), under exclusive licence to Springer-Verlag GmbH Germany, part of Springer Nature.  KEYWORDS:  MeSH Chemical: Insecticides| Pyrazoles| Water Pollutants, Chemical| 2,4-Dichlorophenoxyacetic Acid| fipronil MeSH: | 2,4-Dichlorophenoxyacetic Acid/toxicity| Amphipoda/majr| Animals| Ecosystem| Insecticides/majr/toxicity| Pyrazoles| Water Pollutants, Chemical/majr/toxicity Other:Antagonism|DMA® 806BR|Growth|Herbicide|Insecticide|Macroinvertebrate|Pesticides|Regent® 800WG</t>
  </si>
  <si>
    <t>da Silva Pinto TJ, Moreira RA, da Silva LCM, Yoshii MPC, Goulart BV, Fraga PD, da Silva Rolim VL, Montagner CC, Daam MA, Espindola ELG</t>
  </si>
  <si>
    <t>38308-38321</t>
  </si>
  <si>
    <t>Multiplex allele-specific polymerase chain reaction to detect kdr and rdl mutations in the cattle tick Rhipicephalus microplus (Acari: Ixodidae).</t>
  </si>
  <si>
    <t>Castro-Janer EA, Klafke GM, Díaz A, Fontes F, Baraibar F</t>
  </si>
  <si>
    <t>Veterinary parasitology</t>
  </si>
  <si>
    <t>292</t>
  </si>
  <si>
    <t>109397</t>
  </si>
  <si>
    <t>Inclusion of Pesticide Transformation Products Is Key to Estimating Pesticide Exposures and Effects in Small U.S. Streams.</t>
  </si>
  <si>
    <t>Inclusion of Pesticide Transformation Products Is Key to Estimating Pesticide Exposures and Effects in Small U.S. Streams.    ABSTRACT:  Improved analytical methods can quantify hundreds of pesticide transformation products (TPs), but understanding of TP occurrence and potential toxicity in aquatic ecosystems remains limited. We quantified 108 parent pesticides and 116 TPs in more than 3 700 samples from 442 small streams in mostly urban basins across five major regions of the United States. TPs were detected nearly as frequently as parents (90 and 95% of streams, respectively); 102 TPs were detected at least once and 28 were detected in &gt;20% samples in at least one region-TPs of 9 herbicides, 2 fungicides (chlorothalonil and thiophanate-methyl), and 1 insecticide (fipronil) were the most frequently detected. TPs occurred commonly during baseflow conditions, indicating chronic environmental TP exposures to aquatic organisms and the likely importance of groundwater as a TP source. Hazard quotients based on acute aquatic-life benchmarks for invertebrates and nonvascular plants and vertebrate-centric molecular endpoints (sublethal effects) quantify the range of the potential contribution of TPs to environmental risk and highlight several TP exposure-response data gaps. A precautionary approach using equimolar substitution of parent benchmarks or endpoints for missing TP benchmarks indicates that potential aquatic effects of pesticide TPs could be underestimated by an order of magnitude or more.  KEYWORDS:  MeSH Chemical: Pesticides| Water Pollutants, Chemical MeSH: | Animals| Ecosystem| Environmental Monitoring| Pesticides/majr/analysis| Rivers| United States| Water Pollutants, Chemical/majr/analysis</t>
  </si>
  <si>
    <t>Mahler BJ, Nowell LH, Sandstrom MW, Bradley PM, Romanok KM, Konrad CP, Van Metre PC</t>
  </si>
  <si>
    <t>Environmental science &amp; technology</t>
  </si>
  <si>
    <t>55</t>
  </si>
  <si>
    <t>4740-4752</t>
  </si>
  <si>
    <t>A randomized, controlled field study to assess the efficacy and safety of lotilaner flavored chewable tablets (Credelio™ CAT) in eliminating fleas in client-owned cats in the USA.</t>
  </si>
  <si>
    <t>Chappell K, Paarlberg T, Seewald W, Karadzovska D, Nanchen S</t>
  </si>
  <si>
    <t>127</t>
  </si>
  <si>
    <t>Short-term effects of pesticide fipronil on behavioral and physiological endpoints of Daphnia magna.</t>
  </si>
  <si>
    <t>Short-term effects of pesticide fipronil on behavioral and physiological endpoints of Daphnia magna.    ABSTRACT:  Fipronil (FIP) is an organic pesticide with many practical uses. Although some results indicated toxic effects in some terrestrial and aquatic animal species, little is known on its influence on behavioral and physiological endpoints of cladocerans. The aim of our study was to determine the short-term effects of FIP at concentrations of 0.1 μg/L, 1 μg/L, 10 μg/L, and 100 μg/L on Daphnia magna sublethal indices: behavioral (swimming speed, distance traveled) and physiological endpoints (heart rate, post-abdominal claw activity and thoracic limb movements). The results showed that FIP induced reduction of swimming speed and distance traveled in a concentration- and time-dependent manner at all the concentrations used. The lowest concentration of the insecticide temporarily stimulated post-abdominal claw activity after 24 h and thoracic limb activity after 48 h; however, the highest concentrations reduced all the studied physiological endpoints. IC50 values showed that thoracic limb activity, swimming speed, and distance traveled were most sensitive to FIP after 24-h exposure. The most sensitive parameter after 48 h and 72 h was swimming speed and post-abdominal claw activity, respectively. The study indicated that (i) behavioral and physiological endpoints of Daphnia magna are reliable and valuable sublethal indicators of toxic alterations induced by FIP; however, they respond with different sensitivity at various times of exposure, (ii) FIP may alter cladoceran behavior and physiological processes at concentrations detected in the aquatic environment; therefore, it should be considered as an ecotoxicological hazard to freshwater cladocerans.  KEYWORDS:  Other:Behavior|Crustacean|Insecticides|Motility|Physiological activity</t>
  </si>
  <si>
    <t>Bownik A, Szabelak A</t>
  </si>
  <si>
    <t>Fipronil Pellets Reduce Flea Abundance on Black-Tailed Prairie Dogs: Potential Tool for Plague Management and Black-Footed Ferret Conservation.</t>
  </si>
  <si>
    <t>Fipronil Pellets Reduce Flea Abundance on Black-Tailed Prairie Dogs: Potential Tool for Plague Management and Black-Footed Ferret Conservation.    ABSTRACT:  In western North America, sylvatic plague (a flea-borne disease) poses a significant risk to endangered black-footed ferrets (Mustela nigripes) and their primary prey, prairie dogs (Cynomys spp.). Pulicides (flea-killing agents) can be used to suppress fleas and thereby manage plague. In South Dakota, US, we tested edible "FipBit" pellets, each containing 0.84 mg fipronil, on free-living black-tailed prairie dogs (Cynomys ludivicianus). FipBits were applied along transects at 125 per ha and nearly eliminated fleas for 2 mo. From 9-14 mo post-treatment, we found only 10 fleas on FipBit sites versus 1,266 fleas on nontreated sites. This degree and duration of flea control should suppress plague transmission. FipBits are effective, inexpensive, and easily distributed but require federal approval for operational use.© Wildlife Disease Association 2021.  KEYWORDS:  MeSH Chemical: Insecticides| Pyrazoles| fipronil MeSH: | Animals| Ferrets/majr| Flea Infestations/majr/prevention &amp; control/veterinary| Insecticides/administration &amp; dosage/pharmacology| Plague/majr/prevention &amp; control/veterinary| Pyrazoles/majr/administration &amp; dosage/pharmacology| Sciuridae/majr/parasitology| Siphonaptera/majr/drug effects Other:Cynomys|Mustela nigripes|Yersinia pestis|Siphonaptera|pulicide</t>
  </si>
  <si>
    <t>Eads DA, Livieri TM, Dobesh P, Childers E, Noble LE, Vasquez MC, Biggins DE</t>
  </si>
  <si>
    <t>Journal of wildlife diseases</t>
  </si>
  <si>
    <t>434-438</t>
  </si>
  <si>
    <t>A comparison of insecticide susceptibility levels in 12 species of urban pest ants with special focus on the odorous house ant, Tapinoma sessile.</t>
  </si>
  <si>
    <t>Buczkowski G</t>
  </si>
  <si>
    <t>77</t>
  </si>
  <si>
    <t>2948-2954</t>
  </si>
  <si>
    <t>Acute exposure to fipronil induces oxidative stress, apoptosis and impairs epithelial homeostasis in the midgut of the stingless bee Partamona helleri Friese (Hymenoptera: Apidae).</t>
  </si>
  <si>
    <t>Acute exposure to fipronil induces oxidative stress, apoptosis and impairs epithelial homeostasis in the midgut of the stingless bee Partamona helleri Friese (Hymenoptera: Apidae).    ABSTRACT:  Partamona helleri is an important pollinator in natural and agricultural ecosystems in the neotropics. However, the foraging activity of this bee increases its risk of exposure to pesticides, which may affect both the individuals and the colony. Thus, this study aims to evaluate the side effects of LC50 of fipronil (0.28 ng a.i. μL-1) on the midgut morphology, antioxidant activity and some pathways of cell death, proliferation and differentiation in workers of P. helleri, after 24 h of oral exposure. Fipronil caused morphological alterations in the midgut of the bees. The activities of the detoxification enzymes superoxide dismutase, catalase and glutathione S-transferase increased after exposure, which suggests the occurrence of a detoxification mechanism. Furthermore, exposure to fipronil changed the number of positive cells for signaling-pathway proteins in the midgut of bees, which indicates the induction of cell death by the apoptotic pathway and impairment of the midgut epithelial regeneration. These results demonstrate that fipronil may negatively affect the morphology and physiology of the midgut of the stingless bee P. helleri and impose a threat to the survival of non-target organisms.Copyright © 2021 Elsevier B.V. All rights reserved.  KEYWORDS:  MeSH Chemical: Insecticides| Pyrazoles| fipronil MeSH: | Animals| Apoptosis| Bees| Ecosystem| Homeostasis| Hymenoptera/majr| Insecticides/majr/toxicity| Oxidative Stress| Pyrazoles Other:Cell death|Cell regeneration|Detoxification enzymes|Insecticide|Pollinator</t>
  </si>
  <si>
    <t>Farder-Gomes CF, Fernandes KM, Bernardes RC, Bastos DSS, Martins GF, Serrão JE</t>
  </si>
  <si>
    <t>774</t>
  </si>
  <si>
    <t>145679</t>
  </si>
  <si>
    <t>Status of Rhipicephalus microplus resistance to ivermectin, fipronil and fluazuron in Mato Grosso do Sul, Brazil.</t>
  </si>
  <si>
    <t>Status of Rhipicephalus microplus resistance to ivermectin, fipronil and fluazuron in Mato Grosso do Sul, Brazil.    ABSTRACT:  Southern cattle tick resistance to pour-on and injectable acaricides has yet to be evaluated on a broader scope, and the paucity of information on the subject may hinder efforts to control this parasite. The objective of this study was to evaluate the resistance profile of ten populations of Rhipicephalus microplus to the acaricides fluazuron, fipronil and ivermectin in cattle herds in Mato Grosso do Sul, Brazil. The larval immersion test (LIT) was used to evaluate susceptibility to ivermectin and fipronil and the adult immersion test (AIT) was performed to evaluate fluazuron. Samples were randomly obtained in ten farms, and in general, we found resistance in five samples to fluazuron and in four samples to ivermectin and fipronil. Six samples showed incipient resistance to ivermectin and fipronil. Five of the ten evaluated samples showed resistance and/or incipient resistance to all the active ingredients, and the other five to two active ingredients. Among the samples classified as resistant, the average resistance ratio for ivermectin was 2.75 and 3.26 for fipronil. These results demonstrate the advanced status of resistance to the most modern chemical groups for the control of R. microplus in the state of Mato Grosso do Sul.  KEYWORDS:  MeSH Chemical: Acaricides| Phenylurea Compounds| Pyrazoles| Ivermectin| fipronil| fluazuron MeSH: | Acaricides/majr/pharmacology| Animals| Brazil| Cattle| Cattle Diseases/majr/parasitology| Drug Resistance/majr| Ivermectin/pharmacology| Phenylurea Compounds/pharmacology| Pyrazoles/pharmacology| Rhipicephalus/majr/drug effects| Tick Infestations/majr/parasitology/veterinary</t>
  </si>
  <si>
    <t>Valsoni LM, Freitas MG, Borges DGL, Borges FA</t>
  </si>
  <si>
    <t>e025220</t>
  </si>
  <si>
    <t>The molecular targets of ivermectin and lotilaner in the human louse Pediculus humanus humanus: New prospects for the treatment of pediculosis.</t>
  </si>
  <si>
    <t>Lamassiaude N, Toubate B, Neveu C, Charnet P, Dupuy C, Debierre-Grockiego F, Dimier-Poisson I, Charvet CL</t>
  </si>
  <si>
    <t>PLoS pathogens</t>
  </si>
  <si>
    <t>17</t>
  </si>
  <si>
    <t>e1008863</t>
  </si>
  <si>
    <t>The effects of fipronil exposure on oxidative stress, non-specific immunity, autophagy, and apoptosis in the common carp.</t>
  </si>
  <si>
    <t>Chen J, Liu N, Li B, Zhang H, Zhao Y, Cao X</t>
  </si>
  <si>
    <t>22</t>
  </si>
  <si>
    <t>27799-27810</t>
  </si>
  <si>
    <t>Rapid Screening and Quantitative Analysis of 74 Pesticide Residues in Herb by Retention Index Combined with GC-QQQ-MS/MS.</t>
  </si>
  <si>
    <t xml:space="preserve">Rapid Screening and Quantitative Analysis of 74 Pesticide Residues in Herb by Retention Index Combined with GC-QQQ-MS/MS.    ABSTRACT:  In this research, a very practical QuEChERS-GC-MS/MS analytical approach for 74 pesticide residues in herb based on retention index was established. This novel analytical approach has two important technical advantages. One advantage is to quickly screen pesticide compounds in herbs without having to use a large number of pesticide standard substances at the beginning of the experiment. The other advantage is to assist in identifying the target pesticide compound accurately. A total of 74 kinds of pesticides were quickly prescreened in all chuanxiong rhizoma samples. The results showed that three kinds of pesticides were screened out in all the samples, including chlorpyrifos, fipronil, and procymidone, and the three pesticides were qualitatively and quantitatively determined. The RSD values for interday and intraday variation were acquired to evaluate the precision of the analytical approach, and the overall interday and intraday variations are not more than 1.97% and 3.82%, respectively. The variations of concentrations of the analyzed three pesticide compounds in sample CX16 are 0.74%-4.15%, indicating that the three pesticides in the sample solutions were stable in 48 h. The spiked recoveries of the three pesticides are 95.22%, 93.03%, and 94.31%, and the RSDs are less than ± 6.0%. The methodological verification results indicated the good reliability and accuracy of the new analytical method. This research work is a new application of retention index, and it will be a valuable tool to assist quickly and accurately in the qualitative and quantitative analysis of multipesticide residues in herbs.Copyright © 2021 Peng Tan et al.  KEYWORDS: </t>
  </si>
  <si>
    <t>Tan P, Xu L, Wei XC, Huang HZ, Zhang DK, Zeng CJ, Geng FN, Bao XM, Hua H, Zhao JN</t>
  </si>
  <si>
    <t>Journal of analytical methods in chemistry</t>
  </si>
  <si>
    <t>2021</t>
  </si>
  <si>
    <t>8816854</t>
  </si>
  <si>
    <t>Multi-Residue Analysis of Fipronil and Its Metabolites in Eggs by SinChERS-Based UHPLC-MS/MS.</t>
  </si>
  <si>
    <t>Multi-Residue Analysis of Fipronil and Its Metabolites in Eggs by SinChERS-Based UHPLC-MS/MS.    ABSTRACT:  A method for simultaneous detection of fipronil (F) and its metabolites fipronil desulfinyl (FD), fipronil sulfide (FS), fipronil sulfone (FSO) in chicken eggs was applied and validated. It includes single-step, cheap, effective, rugged, safe-based method (SinChERS) for sample preparation and ultra high performance liquid chromatography coupled with mass spectrometry (UHPLC-MS/MS) for chemical analysis. Results suggested that formic acid enhanced the recovery of 4 target residues and 1% supplementation to acetonitrile gained higher recoveries than that of 5%. SinChERS integrated extraction and clean-up steps into one, with shorter time (1.5 h) to operate and higher recoveries (97%-100%) than HLB, Envi-Carb-NH2 and quik-easy-cheap-effective-rugged-safe method (QuEChERS), and it consumed the smallest volume of extracting solvent (10 mL) as QuEChERS. Quantitative analyses using external standard method suggested the linear ranges of 4 target compounds were 1-20 μg/L with R2&gt;0.9947. The limit of detection (S/N&gt;3) and quantification (S/N&gt;10) were 0.3 μg/kg and 1 μg/kg. Recoveries ranged from 89.0% to 104.4%, and the relative standard deviations (n=6) at 1, 10, and 20 μg/kg were lower than 6.03%. Thirty batches of domestic eggs (500 g each) were detected by the established SinChERS-based UHPLC-MS/MS and no target residues were detected in all samples. The method developed in this study is a rapid, sensitive, accurate and economic way for multi-residue analysis of fipronil and its metabolites in eggs.© Korean Society for Food Science of Animal Resources.  KEYWORDS:  Other:cheap|effective|egg|fipronil|rugged|safe-based method (SinChERS)|single-step|ultra high performance liquid chromatography coupled with mass spectrometry (UHPLC-MS/MS)</t>
  </si>
  <si>
    <t>Han K, Hua J, Zhang Q, Gao Y, Liu X, Cao J, Huo N</t>
  </si>
  <si>
    <t>Food science of animal resources</t>
  </si>
  <si>
    <t>41</t>
  </si>
  <si>
    <t>59-70</t>
  </si>
  <si>
    <t>Ameliorative effects of jojoba oil on fipronil-induced hepatorenal- and neuro-toxicity: the antioxidant status and apoptotic markers expression in rats.</t>
  </si>
  <si>
    <t>Ameliorative effects of jojoba oil on fipronil-induced hepatorenal- and neuro-toxicity: the antioxidant status and apoptotic markers expression in rats.    ABSTRACT:  Jojoba (Simmondsia chinensis) is an economically important plant due to its high oil content in the seeds. Fipronil is an extensively used phenylpyrazole insecticide. The present investigation aimed to assess the possible ameliorative effect of jojoba oil on fipronil induced toxicity in rats. Animals orally received the insecticide dissolved in corn oil by stomach tube at 1/10th LD50 for 28 days. Fipronil induced hepatorenal toxic effects evidenced by elevated serum ALT, AST, ALP, and LDH activities, and urea and creatinine levels, with histomorphological changes in the liver and kidney. Brain GABA was elevated with histopathological alterations in the brain tissue. Oxidative stress was demonstrated in liver, brain, and kidney as indicated by elevated MDA and NO levels with reduction in GSH level and activities of SOD and CAT. In addition, caspase-3 gene expression was enhanced, while Bcl2 gene expression was downregulated in the three organs. Increased DNA fragmentation was recorded in the liver and kidney. Cotreatment of jojoba oil with fipronil ameliorated the toxic effects of fipronil on various organs with improvement of the antioxidant status, the rate of apoptosis and the histopathological alterations. In conclusion, jojoba oil provided significant protection against fipronil induced hepatorenal- and neuro-toxicity, by its antioxidant and antiapoptic effects, making it a possible beneficial protective of natural origin.  KEYWORDS:  MeSH Chemical: Antioxidants| Pyrazoles| Waxes| jojoba wax| fipronil MeSH: | Animals| Antioxidants/majr/metabolism| Kidney/metabolism| Liver/majr/metabolism| Oxidative Stress| Pyrazoles/metabolism| Rats| Waxes Other:Apoptosis|Fipronil|GABA|Jojoba oil|Oxidative stress</t>
  </si>
  <si>
    <t>Abou-Zeid SM, Tahoun EA, AbuBakr HO</t>
  </si>
  <si>
    <t>20</t>
  </si>
  <si>
    <t>25959-25971</t>
  </si>
  <si>
    <t>Fusion expression of nanobodies specific for the insecticide fipronil on magnetosomes in Magnetospirillum gryphiswaldense MSR-1.</t>
  </si>
  <si>
    <t>Fusion expression of nanobodies specific for the insecticide fipronil on magnetosomes in Magnetospirillum gryphiswaldense MSR-1.    ABSTRACT:  Magnetic nanoparticles such as magnetosomes modified with antibodies allow a high probability of their interaction with targets of interest. Magnetosomes biomineralized by magnetotactic bacteria are in homogeneous nanoscale size and have crystallographic structure, and high thermal and colloidal stability. Camelidae derived nanobodies (Nbs) are small in size, thermal stable, highly water soluble, easy to produce, and fusible with magnetosomes. We aimed to functionalize Nb-magnetosomes for the analysis of the insecticide fipronil.Three recombinant magnetotactic bacteria (CF, CF+ , and CFFF) biomineralizing magnetosomes with different abundance of Nbs displayed on the surface were constructed. Compared to magnetosomes from the wild type Magnetospirillum gryphiswaldense MSR-1, all of the Nb-magnetosomes biosynthesized by strains CF, CF+ , and CFFF showed a detectable level of binding capability to fipronil-horseradish peroxidase (H2-HRP), but none of them recognized free fipronil. The Nb-magnetosomes from CFFF were oxidized with H2O2 or a glutathione mixture consisting of reduced glutathione and oxidized glutathione in vitro and their binding affinity to H2-HRP was decreased, whereas that to free fipronil was enhanced. The magnetosomes treated with the glutathione mixture were employed to develop an enzyme-linked immunosorbent assay for the detection of fipronil in water samples, with average recoveries in a range of 78-101%.The economical and environmental-friendly Nb-magnetosomes biomineralized by the bacterial strain MSR-1 can be potentially applied to nanobody-based immunoassays for the detection of fipronil or nanobody-based assays in general.  KEYWORDS:  Other:Fipronil|Immunoassay|Magnetosome|Magnetospirillum gryphiswaldense|Nanobody</t>
  </si>
  <si>
    <t>Wu S, Ma F, He J, Li QX, Hammock BD, Tian J, Xu T</t>
  </si>
  <si>
    <t>Journal of nanobiotechnology</t>
  </si>
  <si>
    <t>19</t>
  </si>
  <si>
    <t>27</t>
  </si>
  <si>
    <t>A facile, sensitive and rapid sensing platform based on CoZnO for detection of fipronil; an environmental toxin.</t>
  </si>
  <si>
    <t>A facile, sensitive and rapid sensing platform based on CoZnO for detection of fipronil; an environmental toxin.    ABSTRACT:  A sensitive detection of extremely toxic phenylpyrazole insecticide, 'Fipronil' is presented. Currently, the advancement of approaches for the detection of insecticides at low concentrations with less time is important for environmental safety assurance. Considering this fact, an effort has been made to develop an electrospun CoZnO nanofiber (NF) based label-free electrochemical system for the detection of fipronil. The CoZnO NF were characterized using different techniques including field emission scanning electron microscopy (FE-SEM), Energy Dispersive X-Ray Analysis (EDX), X-ray diffraction (XRD), Fourier-transform infrared spectroscopy (FTIR), and Raman Spectroscopy. Based on the experimental results, the proposed platform displayed a linear response for fipronil in the attogram/mL range despite the multiple interfering agents. The sensitivity of the device was found to be 3.99 Kῼ (g/ml)-1 cm-2. Limit of detection (LOD) and limit of quantification (LOQ) were calculated and found to be 112 ag mL-1 and 340 ag mL-1 respectively. Further, this proposed sensor will be implemented in the fields for the rapid and proficient detection of the real samples.  KEYWORDS:  Other:Biosensors|Insecticides|Nanofibers</t>
  </si>
  <si>
    <t>Kumar S, Vasylieva N, Singh V, Hammock B, Singh SG</t>
  </si>
  <si>
    <t>Electroanalysis</t>
  </si>
  <si>
    <t>2056-2064</t>
  </si>
  <si>
    <t>The potential ameliorative impacts of cerium oxide nanoparticles against fipronil-induced hepatic steatosis.</t>
  </si>
  <si>
    <t>Wasef L, Nassar AMK, El-Sayed YS, Samak D, Noreldin A, Elshony N, Saleh H, Elewa YHA, Hassan SMA, Saati AA, Hetta HF, Batiha GE, Umezawa M, Shaheen HM</t>
  </si>
  <si>
    <t>1310</t>
  </si>
  <si>
    <t>A method for topical dosing of invertebrates with pesticide for use in feeding experiments.</t>
  </si>
  <si>
    <t>A method for topical dosing of invertebrates with pesticide for use in feeding experiments.    ABSTRACT:  The ability to produce large numbers of pesticide-exposed insects (e.g. crickets) is important for feeding studies into the effects of pesticides on key predatory species. House crickets (Acheta domesticus L. 1758) were submersed in serial dilutions of the pesticides, fenitrothion and fipronil, used for the control of locusts in Australia, and then rapidly frozen for residue analysis. Good correlations were found between increasing concentrations of serial pesticide dilutions and the resultant residual concentrations of the parent compounds in crickets, with R2 values of 0.949 (fenitrothion) and 0.946 (fipronil). R2 values for the much less abundant fipronil metabolites were lower 0.858 (sulfone), 0.368 (desulfinyl) and 0.785 (sulfide). This method enables insecticide exposure mimicking the field conditions to be assessed, and can be done immediately prior to an experiment. This ensures locusts remain alive when introduced to the feeding chambers, and enables multiple prey items to be dosed with a known pesticide burden.  KEYWORDS:  MeSH Chemical: Insecticides| Pesticides| Fenitrothion MeSH: | Animals| Australia| Fenitrothion/toxicity| Insecticides/majr/analysis/toxicity| Invertebrates| Pesticides/majr/toxicity Other:Feeding studies|Fenitrothion|Fipronil|Invertebrate residues|Spiking method</t>
  </si>
  <si>
    <t>Story P, French K, Maute K, Warden AC, Dojchinov G, Hose GC</t>
  </si>
  <si>
    <t>381-386</t>
  </si>
  <si>
    <t>Distinct roles of two RDL GABA receptors in fipronil action in the diamondback moth (Plutella xylostella).</t>
  </si>
  <si>
    <t>Distinct roles of two RDL GABA receptors in fipronil action in the diamondback moth (Plutella xylostella).    ABSTRACT:  The phenylpyrazole insecticide fipronil blocks resistance to dieldrin (RDL) γ-aminobutyric acid (GABA) receptors in insects, thereby impairing inhibitory neurotransmission. Some insect species, such as the diamondback moth (Plutella xylostella), possess more than one Rdl gene. The involvement of multiple Rdls in fipronil toxicity and resistance remains largely unknown. In this study, we investigated the roles of two Rdl genes, PxRdl1 and PxRdl2, in P. xylostella fipronil action. In Xenopus oocytes, PxRDL2 receptors were 40 times less sensitive to fipronil than PxRDL1. PxRDL2 receptors were also less sensitive to GABA compared with PxRDL1. Knockout of the fipronil-sensitive PxRdl1 reduced the fipronil potency 10-fold, whereas knockout of the fipronil-resistant PxRdl2 enhanced the fipronil potency 4.4-fold. Furthermore, in two fipronil-resistant diamondback moth field populations, PxRdl2 expression was elevated 3.7- and 4.1-fold compared with a susceptible strain, whereas PxRdl1 expression was comparable among the resistant and susceptible strains. Collectively, our results indicate antagonistic effects of PxRDL1 and PxRDL2 on fipronil action in vivo and suggest that enhanced expression of fipronil-resistant PxRdl2 is potentially a new mechanism of fipronil resistance in insects.© 2020 Institute of Zoology, Chinese Academy of Sciences.  KEYWORDS:  Other:CRISPR-Cas9|Plutella xylostella|RDL|fipronil</t>
  </si>
  <si>
    <t>Li BJ, Wang KK, Chen DP, Yan Y, Cai XL, Chen HM, Dong K, Lin F, Xu HH</t>
  </si>
  <si>
    <t>Insect science</t>
  </si>
  <si>
    <t>Film seeds coating with hexane extracts from Illicium verum Hook.f. and Syzygium aromaticum (L.) Merrill &amp; Perry for controlling Callosobruchus maculatus (F.) and Callosobruchus chinensis L.</t>
  </si>
  <si>
    <t>Pumnuan J, Sarapothong K, Sikhao P, Pattamadilok C, Insung A</t>
  </si>
  <si>
    <t>2512-2521</t>
  </si>
  <si>
    <t>A 3D Plasmonic Crossed-Wire Nanostructure for Surface-Enhanced Raman Scattering and Plasmon-Enhanced Fluorescence Detection.</t>
  </si>
  <si>
    <t>A 3D Plasmonic Crossed-Wire Nanostructure for Surface-Enhanced Raman Scattering and Plasmon-Enhanced Fluorescence Detection.    ABSTRACT:  In this manuscript, silver nanowire 3D random crossed-wire woodpile (3D-RCW) nanostructures were designed and prepared. The 3D-RCW provides rich "antenna" and "hot spot" effects that are responsive for surface-enhanced Raman scattering (SERS) effects and plasmon-enhanced fluorescence (PEF). The optimal construction mode for the 3D-RCW, based on the ratio of silver nanowire and control compound R6G, was explored and established for use in PEF and SERS analyses. We found that the RCW nanochip capable of emission and Raman-enhanced detections uses micro levels of analysis volumes. Consequently, and SERS and PEF of pesticides (thiram, carbaryl, paraquat, fipronil) were successfully measured and characterized, and their detection limits were within 5 μM~0.05 µM in 20 µL. We found that the designed 3D plasmon-enhanced platform cannot only collect the SERS of pesticides, but also enhance the fluorescence of a weak emitter (pesticides) by more than 1000-fold via excitation of the surface plasmon resonance, which can be used to extend the range of a fluorescence biosensor. More importantly, solid-state measurement using a 3D-RCW nanoplatform shows promising potential based on its dual applications in creating large SERS and PEF enhancements.  KEYWORDS:  MeSH Chemical: Silver MeSH: | Fluorescence/majr| Nanowires/majr/chemistry| Silver/majr/chemistry| Spectrum Analysis, Raman| Surface Plasmon Resonance/majr Other:antenna effect|crossed-wire woodpile|hot spot effects|nanowire|plasmon-enhanced fluorescence (PEF)|surface-enhanced Raman scattering (SERS)</t>
  </si>
  <si>
    <t>Huang CT, Jan FJ, Chang CC</t>
  </si>
  <si>
    <t>Acute and chronic toxicity tests of systemic insecticides, four neonicotinoids and fipronil, using the tadpoles of the western clawed frog Silurana tropicalis.</t>
  </si>
  <si>
    <t>Saka M, Tada N</t>
  </si>
  <si>
    <t>270</t>
  </si>
  <si>
    <t>129418</t>
  </si>
  <si>
    <t>Genotoxic and melanic alterations in Lithobates catesbeianus (anura) tadpoles exposed to fipronil insecticide.</t>
  </si>
  <si>
    <t>Santos AT, Valverde BSL, De Oliveira C, Franco-Belussi L</t>
  </si>
  <si>
    <t>20072-20081</t>
  </si>
  <si>
    <t>Differences in Bifenthrin and Fipronil Susceptibility Among Invasive Latrodectus spp. (Araneae: Theridiidae) and Nontarget Spiders in Japan.</t>
  </si>
  <si>
    <t>Hayasaka D, Numa T, Sawahata T</t>
  </si>
  <si>
    <t>257-264</t>
  </si>
  <si>
    <t>Assessing single effects of sugarcane pesticides fipronil and 2,4-D on plants and soil organisms.</t>
  </si>
  <si>
    <t>Triques MC, Oliveira D, Goulart BV, Montagner CC, Espíndola ELG, de Menezes-Oliveira VB</t>
  </si>
  <si>
    <t>208</t>
  </si>
  <si>
    <t>111622</t>
  </si>
  <si>
    <t>Laboratory induced selection of pyriproxyfen resistance in Oxycarenus hyalinipennis Costa (Hemiptera: Lygaeidae): Cross-resistance potential, realized heritability, and fitness costs determination using age-stage, two-sex life table.</t>
  </si>
  <si>
    <t>Naeem A, Hafeez F, Iftikhar A, Waaiz M, Güncan A, Ullah F, Shah FM</t>
  </si>
  <si>
    <t>269</t>
  </si>
  <si>
    <t>129367</t>
  </si>
  <si>
    <t>In vitro and in silico studies of the larvicidal and anticholinesterase activities of berberine and piperine alkaloids on Rhipicephalus microplus.</t>
  </si>
  <si>
    <t>da Silva GD, de Lima HG, de Freitas HF, da Rocha Pita SS, Dos Santos Luz Y, de Figueiredo MP, Uzêda RS, Branco A, Costa SL, Batatinha MJM, Botura MB</t>
  </si>
  <si>
    <t>101643</t>
  </si>
  <si>
    <t>Multivariate optimization of a dispersive liquid-liquid microextraction method for the determination of six antiparasite drugs in kennel effluent waters by using second-order chromatographic data.</t>
  </si>
  <si>
    <t>Carabajal M, Teglia CM, Maine MA, Goicoechea HC</t>
  </si>
  <si>
    <t>Talanta</t>
  </si>
  <si>
    <t>224</t>
  </si>
  <si>
    <t>121929</t>
  </si>
  <si>
    <t>Influence of acute exposure to a low dose of systemic insecticide fipronil on locomotor activity and emotional behavior in adult male mice.</t>
  </si>
  <si>
    <t>Influence of acute exposure to a low dose of systemic insecticide fipronil on locomotor activity and emotional behavior in adult male mice.    ABSTRACT:  Fipronil (FPN) is a systemic insecticide that antagonizes the gamma-aminobutyric acid type A (GABAA) receptors in insects. Recently, adverse effects of FPN on mammals have been reported, but most of those were caused by high doses of FPN and additives in the products. We investigated the effects of low-dose pure FPN on the emotional behavior of mice. Nine-week-old male mice conducted behavioral tests 24 hr after FPN administration by gavage at doses of 0.05 or 5 mg/kg based on the no-observed-effect level (NOEL), showed a significant increase in locomotor activity and dose-dependent responses on the time they spent in the central zone in the open field test. Pure FPN below the NOEL dose may affect the emotional behavior of mice.  KEYWORDS:  MeSH Chemical: Insecticides| Pyrazoles| gamma-Aminobutyric Acid| fipronil MeSH: | Animals| Insecticides/majr/toxicity| Locomotion| Male| Mice| Pyrazoles/toxicity| gamma-Aminobutyric Acid Other:behavioral test|fipronil|gamma-aminobutyric acid (GABA)|insecticide|locomotor activity</t>
  </si>
  <si>
    <t>Maeda M, Yokoyama T, Kitauchi S, Hirano T, Mantani Y, Tabuchi Y, Hoshi N</t>
  </si>
  <si>
    <t>The Journal of veterinary medical science</t>
  </si>
  <si>
    <t>83</t>
  </si>
  <si>
    <t>344-348</t>
  </si>
  <si>
    <t>Functional responses of Hyalella meinerti after exposure to environmentally realistic concentrations of 2,4-D, fipronil, and vinasse (individually and in mixture).</t>
  </si>
  <si>
    <t>Pinto TJDS, Freitas JS, Moreira RA, Silva LCMD, Yoshii MPC, Lopes LFP, Goulart BV, Vanderlei MR, Athayde DB, Fraga PD, Ogura AP, Schiesari L, Montagner CC, Daam MA, Espindola ELG</t>
  </si>
  <si>
    <t>231</t>
  </si>
  <si>
    <t>105712</t>
  </si>
  <si>
    <t>Impact of 2,4-D and fipronil on the tropical midge Chironomus sancticaroli (Diptera: Chironomidae).</t>
  </si>
  <si>
    <t>Pinto TJDS, Moreira RA, Silva LCMD, Yoshii MPC, Goulart BV, Fraga PD, Montagner CC, Daam MA, Espindola ELG</t>
  </si>
  <si>
    <t>209</t>
  </si>
  <si>
    <t>111778</t>
  </si>
  <si>
    <t>Evaluating the use of a low dose fipronil bait in reducing black-tailed prairie dog (Cynomys ludovicianus) fleas at reduced application rates.</t>
  </si>
  <si>
    <t>Evaluating the use of a low dose fipronil bait in reducing black-tailed prairie dog (Cynomys ludovicianus) fleas at reduced application rates.    ABSTRACT:  Plague is a virulent zoonosis, vectored by fleas, posing danger to black-tailed prairie dogs (BTPDs) (Cynomys ludovicianus), black-footed ferrets (Mustela nigripes), and humans in North America. During prior research, a fipronil grain bait (0.005%) applied at rates of 1-½ cup/burrow, reduced flea abundance by &gt; 95-100% when applied three times February-March in northern Colorado. The objective of the current study was to determine the efficacy of fipronil bait against fleas in northern Colorado at reduced application rates (½ cup/burrow) and frequencies (1-2 applications). The field study was conducted in Larimer county, Colorado USA between June-November 2018. Three test plots were selected: two treatment plots (1 vs. 2 fipronil bait applications) and one untreated control. Fipronil was applied at a rate of ½ cup (~95 g)/burrow. Fleas were collected from captured BTPDs and swabs of active burrows prior to bait application and up to 134-days post-treatment. A total of 203 BTPDs and 210 active burrows were sampled. Within the treatment plots, no fleas were collected from BTPDs up to 134-days post-treatment (100% efficacy). Five fleas were recovered from burrows within the one-application plot (&lt;40-days post-application) with efficacy ranging from 97.1 to 100%. No fleas were recovered from burrows within the two-application plot. We caution that while fleas were present within the control plot throughout the study, abundances were low. The efficacy results are supported by those of prior field research conducted in South Dakota and suggest that fipronil bait may be applied at lower rates and frequencies than initially proposed, with potential to sustain flea removal &gt;4-months.© 2020 The Authors.  KEYWORDS:  Other:Black-tailed prairie dog|Cynomys ludovicianus|Fipronil|Fleas|Oropsylla hirsuta|Plague|Vector control|Yersinia pestis</t>
  </si>
  <si>
    <t>Poché D, Clarke T, Tseveenjav B, Torres-Poché Z</t>
  </si>
  <si>
    <t>International journal for parasitology. Parasites and wildlife</t>
  </si>
  <si>
    <t>292-298</t>
  </si>
  <si>
    <t>Multi-Walled Carbon Nanotubes for Magnetic Solid-Phase Extraction of Six Heterocyclic Pesticides in Environmental Water Samples Followed by HPLC-DAD Determination.</t>
  </si>
  <si>
    <t>Multi-Walled Carbon Nanotubes for Magnetic Solid-Phase Extraction of Six Heterocyclic Pesticides in Environmental Water Samples Followed by HPLC-DAD Determination.    ABSTRACT:  Magnetic multi-walled carbon nanotubes were prepared as magnetic solid-phase extraction (MSPE) adsorbent for the enrichment of six heterocyclic pesticides in environmental water samples, including imidacloprid, triadimefon, fipronil, flusilazole, chlorfenapyr and fenpyroximate. Then six heterocyclic pesticides were separated and determined by high-performance liquid chromatography-diode-array detector (HPLC-DAD). Major factors influencing MSPE efficiency, including the dose of mag-multi-walled carbon nanotubes (mag-MWCNTs), extraction time, solution pH, salt concentration, type and volume of eluent and desorption time were investigated. Under the optimized conditions, the enrichment factor of the method reached to 250. The linearity was achieved within 0.05-10.0 μg/L for imidacloprid and chlorfenapyr, 0.10-10.0 μg/L for fipronil, flusilazole, triadimefon and fenpyroximate. Limits of detection were in the range of 0.01-0.03 μg/L. Good precision at three spiked levels were 1.1-11.2% (intra-day) and 1.7-11.0% (inter-day) with relative standard deviation of peak area, respectively. The developed method was utilized to analyze tap water, river water and reservoir water samples and recoveries at three spiked concentration levels ranged from 72.2% to 107.5%. The method was proved to be a convenient, rapid and practical method for sensitive determination of heterocyclic pesticides.  KEYWORDS:  Other:heterocyclic pesticides|mag-multi-walled carbon nanotubes (mag-MWCNTs)|magnetic solid-phase extraction (MSPE)|water samples</t>
  </si>
  <si>
    <t>Ma J, Hou L, Wu G, Wang L, Wang X, Chen L</t>
  </si>
  <si>
    <t>Materials (Basel, Switzerland)</t>
  </si>
  <si>
    <t>24</t>
  </si>
  <si>
    <t>Limited Scope Risk Assessment for Nontarget Ground-Dwelling Arthropods From Systemic Insecticide Applications to Young Pines.</t>
  </si>
  <si>
    <t>Cassidy VC, McCarty EP, Asaro C</t>
  </si>
  <si>
    <t>Environmental entomology</t>
  </si>
  <si>
    <t>359-366</t>
  </si>
  <si>
    <t>Dissipation of the pesticides fipronil, cypermethrin, and tebuconazole in vegetables: A case study in Thua Thien-Hue province, Central Vietnam.</t>
  </si>
  <si>
    <t>Dissipation of the pesticides fipronil, cypermethrin, and tebuconazole in vegetables: A case study in Thua Thien-Hue province, Central Vietnam.    ABSTRACT:  This study was designed to understand the dissipation of fipronil, cypermethrin, and tebuconazole in green onions and mustard greens grown in Central Vietnam. A field trial on ca. 400 m2 was implemented for two months with three different cropping regimes (natural plot-fully exposed to natural conditions; bed plot-fenced in by plastic sheets with an open roof; and protected plot-fully covered by plastic sheets) for each vegetable. A first-order kinetic model was successfully employed to interpret the dissipation data of each studied pesticide. A comparing the dissipation rate constants obtained under the same crop and growing regime between chemicals suggested that, among the chemicals examined, fipronil dissipated most readily. The pesticides were also proven to be more persistent in crops grown in protected plots than those grown in natural plots. The half-lives for fipronil, cypermethrin, and tebuconazole fluctuated, occurring at 0.4-2.2 days, 2.0-6.0 days, and 0.9-3.3 days, respectively.© Pesticide Science Society of Japan 2020. This is an open access article distributed under the Creative Commons Attribution-NonCommercial-NoDerivatives 4.0 International (CC BY-NC-ND 4.0) License (https://creativecommons.org/licenses/by-nc-nd/4.0/).  KEYWORDS:  Other:cypermethrin|dissipation|fipronil|tebuconazole|vegetables</t>
  </si>
  <si>
    <t>Chau NDG, Son LL, Hop NV</t>
  </si>
  <si>
    <t>Journal of pesticide science</t>
  </si>
  <si>
    <t>245-252</t>
  </si>
  <si>
    <t>Design, Synthesis, and Insecticidal Activity of 5,5-Disubstituted 4,5-Dihydropyrazolo[1,5-a]quinazolines as Novel Antagonists of GABA Receptors.</t>
  </si>
  <si>
    <t>Jiang X, Yang S, Yan Y, Lin F, Zhang L, Zhao W, Zhao C, Xu H</t>
  </si>
  <si>
    <t>68</t>
  </si>
  <si>
    <t>15005-15014</t>
  </si>
  <si>
    <t>Matrix effect challenges to quantify 2,4-D and fipronil in aquatic systems.</t>
  </si>
  <si>
    <t>Goulart BV, Vizioli BC, Espindola ELG, Montagner CC</t>
  </si>
  <si>
    <t>797</t>
  </si>
  <si>
    <t>The impact of the fipronil crisis on the financial performance of Dutch laying hen farms.</t>
  </si>
  <si>
    <t>Sok J, van Horne P, Meuwissen M</t>
  </si>
  <si>
    <t>589</t>
  </si>
  <si>
    <t>Hyalomma anatolicum resistance against ivermectin and fipronil is associated with indiscriminate use of acaricides in southwestern Balochistan, Pakistan.</t>
  </si>
  <si>
    <t>Kamran K, Ali A, Villagra CA, Bazai ZA, Iqbal A, Sajid MS</t>
  </si>
  <si>
    <t>Parasitology research</t>
  </si>
  <si>
    <t>120</t>
  </si>
  <si>
    <t>15-25</t>
  </si>
  <si>
    <t>Efficacy of a combined insecticide-rodenticide product on ectoparasite and commensal rodent mortality.</t>
  </si>
  <si>
    <t>Efficacy of a combined insecticide-rodenticide product on ectoparasite and commensal rodent mortality.    ABSTRACT:  Ectoparasites may transfer zoonotic pathogens from rodents to humans or livestock when rodents are managed with rodenticides. This could be minimized using a product combining a rodenticide with a delayed action and a systemic insecticide/acaricide that rapidly kills ectoparasites. Such a combination was tested in commensal pest rodent species to assess efficacy and timing of responses in rodents, and fleas and ticks feeding on them. Ticks or fleas attached to rats (Rattus norvegicus) and house mice (Mus musculus domesticus) were exposed to a product containing brodifacoum (50 ppm) and fipronil (40 ppm) for three days.98-100% of fleas on treated rodents died within one to two days after first exposure, whereas &gt;90% fleas survived on control rodents. The effect persisted for four or more days after bait uptake. Ticks started to succumb to the effect of the combination product within one day (mice) and within four days (rats) of first exposure, with all ticks dying by Day (D)8. Tick survival in control rodents was 90-100%. Rodent mortality began at D3 (rats) and D4 (mice) after first consumption of product and all were dead by D9 (rats) and D7 (mice).This product effectively killed ectoparasites and rodents. Flea mortality was swift and complete, generally within one day of exposure, whereas it took ticks up to four days to die, but before the rats and house mice died. The combination product might help to prevent ectoparasites migrating from dying rodents to another host. Field trials are warranted. © 2020 Society of Chemical Industry.© 2020 Society of Chemical Industry.  KEYWORDS:  MeSH Chemical: Insecticides| Rodenticides MeSH: | Animals| Insecticides/majr| Mice| Rats| Rodentia| Rodenticides/majr| Siphonaptera/majr| Symbiosis Other:acaricide|arthropod vector|rodent management|rodent-borne pathogens|ticks|zoonotic diseases</t>
  </si>
  <si>
    <t>Hinds LA, Grice D, Watson DM, Jacob J</t>
  </si>
  <si>
    <t>1160-1168</t>
  </si>
  <si>
    <t>Potential role of veterinary flea products in widespread pesticide contamination of English rivers.</t>
  </si>
  <si>
    <t>Perkins R, Whitehead M, Civil W, Goulson D</t>
  </si>
  <si>
    <t>755</t>
  </si>
  <si>
    <t>143560</t>
  </si>
  <si>
    <t>Toxicity thresholds of three insecticides and two fungicides to larvae of the coral Acropora tenuis.</t>
  </si>
  <si>
    <t>Toxicity thresholds of three insecticides and two fungicides to larvae of the coral Acropora tenuis.    ABSTRACT:  Tropical marine ecosystems, such as coral reefs, face several threats to their health and resilience, including poor water quality. Previous studies on the risks posed by pesticides have focused on five priority herbicides; however, as the number of pesticides applied in coastal agriculture increases, a suite of 'alternative' pesticides is being detected in tropical nearshore waters. To improve our understanding of the risks posed by alternative pesticides to tropical marine organisms, the effects of three insecticides (diazinon, fipronil, imidacloprid) and two fungicides (chlorothalonil, propiconazole) were tested on larval metamorphosis of the coral Acropora tenuis. A. tenuis larvae were affected by all five pesticides and the reference toxicant copper. The no effect concentration (NEC) and the 10% and 50% effect concentrations (EC10 and EC50, respectively) for larval metamorphosis were estimated from concentration-response curves after 48 h exposure. The NEC, EC10 and EC50 (in µg L-1), respectively, of each pesticide were as follows: chlorothalonil (2.4, 2.8, 6.0); fipronil (12.3, 13.9, 29.1); diazinon (38.0, 40.8, 54.7); imidacloprid (263, 273, 347); and propiconazole (269, 330, 1008). These toxicity thresholds are higher than reported concentrations in monitoring programs; however, these data will contribute to improving water quality guideline values, which inform the total risk assessments posed by complex contaminant mixtures to which these pesticides contribute.© 2020 Flores et al.  KEYWORDS:  Other:Coral|Fungicide|Great Barrier Reef|Insecticide|Toxicity</t>
  </si>
  <si>
    <t>Flores F, Kaserzon S, Elisei G, Ricardo G, Negri AP</t>
  </si>
  <si>
    <t>PeerJ</t>
  </si>
  <si>
    <t>e9615</t>
  </si>
  <si>
    <t>Research on the distribution of neonicotinoid and fipronil pollution in the Yangtze River by high-performance liquid chromatography.</t>
  </si>
  <si>
    <t xml:space="preserve">Research on the distribution of neonicotinoid and fipronil pollution in the Yangtze River by high-performance liquid chromatography.    ABSTRACT:  Neonicotinoid and fipronil insecticides have been consumed worldwide, particularly in China. There is growing interest in the environmental research community about the occurrence, sources, and risks of neonicotinoids and fipronil. A new method based on high-performance liquid chromatography-tandem mass spectrometry (HPLC-MS/MS) and disc solid phase extraction (SPE) techniques were developed for the determination of neonicotinoids and fipronil in seawater in this research. The effects of the styrene divinyl benzene-reverse phase sulfonated (SDB-RPS) membrane-based solid phase extraction optimization process and the HPLC separation parameters on the detection results of the target compounds were studied. Under the optimized conditions, the detection limit of this method for 12 target compounds ranged from 0.05 ng L-1 to 0.50 ng L-1 and absolute recovery was achieved from 58.9-106.5%. The results proved that this method can effectively detect neonicotinoid and fipronil pesticides in seawater. At the same time, dinotefuran, nitenpyram, thiamethoxam, imidacloprid, thiacloprid, fipronil and its metabolites were found in seawater samples from the Yangtze River Estuary and the adjacent sea area. Among them, the total concentration of neonicotinoid insecticides ranged from ND-12.45 ng L-1 and the average total concentration was 3.5 ng L-1; the total concentration of fipronil and its metabolites ranged from ND-2.45 ng L-1, and the average total concentration was 0.79 ng L-1. The results showed that there was contamination of neonicotinoids and fipronil in the Yangtze River Estuary and its adjacent area.  KEYWORDS: </t>
  </si>
  <si>
    <t>Pan X, Wang Z, Chen C, Li H, Li X, Zhang Q, Wang X, Zhang Y</t>
  </si>
  <si>
    <t>46</t>
  </si>
  <si>
    <t>5581-5590</t>
  </si>
  <si>
    <t>Bioaccumulation of pesticide contaminants in tissue matrices of dogs suffering from malignant canine mammary tumors in Punjab, India.</t>
  </si>
  <si>
    <t>Gautam S, Sood NK, Gupta K, Joshi C, Gill KK, Kaur R, Chauhan I</t>
  </si>
  <si>
    <t>e05274</t>
  </si>
  <si>
    <t>Systemic Control of Cutaneous Leishmaniasis Sand-Fly Vectors: Fipronil-Treated Rodent Bait Is Effective in Reducing Phlebotomus papatasi (Diptera: Psychodidae) Female Emergence Rate From Rodent Burrows.</t>
  </si>
  <si>
    <t>Tsurim I, Wasserberg G, Ben Natan G, Abramsky Z</t>
  </si>
  <si>
    <t>974-978</t>
  </si>
  <si>
    <t>The Potential of Systemic Control of Sand Flies Using Fipronil in the Novel Leishmania major (Kinetoplastida: Trypanosomatidae) Reservoirs Meriones tristrami (Rodentia: Muridea) and Meriones crassus (Rodentia: Muridea).</t>
  </si>
  <si>
    <t>969-973</t>
  </si>
  <si>
    <t>Transcriptome network data in larval zebrafish (Danio rerio) following exposure to the phenylpyrazole fipronil.</t>
  </si>
  <si>
    <t>Transcriptome network data in larval zebrafish (Danio rerio) following exposure to the phenylpyrazole fipronil.    ABSTRACT:  Fipronil is a phenylpyrazole pesticide that is used in both residential and agricultural applications. Fipronil is detected in run-off and water systems that are near areas in which the pesticide has been applied. The pesticide acts to antagonize gamma aminobutyric acid receptors, leading to over-excitation in the central nervous system. Fipronil has relatively high toxicity to fish, but the mechanisms underlying the toxicity are not well understood in embryonic stages. Zebrafish embryos were exposed to a single concentration of fipronil for 48 h at ∼3-4 h-post-fertilization. Following a 7-day depuration phase, transcriptome and behavioral analyses were conducted. Transcriptomics identified neural processes as those differentially expressed with different doses of fipronil (0.2 µg, 200 µg and 2 mg fipronil/L). Gene networks associated with astrocyte differentiation, myelination, neural tube development, brain stem response, innervation, nerve regeneration, astrocyte differentiation, among other pathways were altered with exposure. In addition, miRNA-related events are disrupted by fipronil exposure and genes associated with primary or pri-miRNA processing were increased in larval fish exposed to the pesticide. These data present putative mechanisms associated with neurological impacts at later ages of zebrafish. This is important because it is not clear how early exposure to pesticides like fipronil affect central nervous system function and organisms later in life.© 2020 The Author(s). Published by Elsevier Inc.  KEYWORDS:  Other:Agrochemical|Environmental toxicology|Gene network|Neurotoxicity|Pesticide</t>
  </si>
  <si>
    <t>Eadie A, Vásquez IC, Liang X, Wang X, Souders CL, Chehouri JE, Hoskote R, Feswick A, Cowie AM, Loughery JR, Martyniuk CJ</t>
  </si>
  <si>
    <t>Data in brief</t>
  </si>
  <si>
    <t>106413</t>
  </si>
  <si>
    <t>[Analytical Method for Fipronil and Fipronil Sulfone in Livestock Products Using LC-MS/MS].</t>
  </si>
  <si>
    <t>[Analytical Method for Fipronil and Fipronil Sulfone in Livestock Products Using LC-MS/MS].    ABSTRACT:  A rapid and sensitive method for the simultaneous determination of fipronil and fipronil sulfone (metabolite B) in livestock products was developed. The analytes were extracted from samples with acidic acetonitrile. The crude extracts were subjected to clean-up step using neutral alumina cartridge column. The HPLC separation was performed on a C18 column with isocratic elution of acetonitrile and ammonium formate solution. For the determination of the analytes, a tandem mass spectrometry with negative ion electrospray ionization was used. In the recovery tests using 6 livestock products fortified with MRLs levels of analytes, the truenesses for fipronil and fipronil sulfone were 95 to 115 and 94 to 101% with the repeatabilities of 0.8 to 4.1 and 0.9 to 5.1 RSD%, respectively. The limits of quantification for both analytes were estimated to be 0.001 mg/kg. The developed method is considered suitable for regulatory analysis of fipronil and fipronil sulfone.  KEYWORDS:  MeSH Chemical: Pyrazoles| fipronil sulfone| fipronil MeSH: | Animals| Chromatography, High Pressure Liquid| Chromatography, Liquid| Food Analysis/majr/methods| Livestock| Meat Products/majr/analysis| Pyrazoles/majr/analysis| Tandem Mass Spectrometry Other:LC-MS/MS|fipronil|fipronil sulfone|livestock products</t>
  </si>
  <si>
    <t>Sakai T, Kikuchi H, Nawata H, Nemoto S, Akiyama H</t>
  </si>
  <si>
    <t>Shokuhin eiseigaku zasshi. Journal of the Food Hygienic Society of Japan</t>
  </si>
  <si>
    <t>171-177</t>
  </si>
  <si>
    <t>Adherence to veterinary recommendations for ectoparasiticides purchased by cat owners in the USA.</t>
  </si>
  <si>
    <t>Lavan R, Armstrong R, Normile D, Vaala W</t>
  </si>
  <si>
    <t>541</t>
  </si>
  <si>
    <t>Effects of the insecticide fipronil in freshwater model organisms and microbial and periphyton communities.</t>
  </si>
  <si>
    <t>Pino-Otín MR, Ballestero D, Navarro E, Mainar AM, Val J</t>
  </si>
  <si>
    <t>764</t>
  </si>
  <si>
    <t>142820</t>
  </si>
  <si>
    <t>Human health risk assessment of pesticide residues in honeysuckle samples from different planting bases in China.</t>
  </si>
  <si>
    <t>Wu P, Wang P, Gu M, Xue J, Wu X</t>
  </si>
  <si>
    <t>759</t>
  </si>
  <si>
    <t>142747</t>
  </si>
  <si>
    <t>Apparent Ixodes tick paralysis in a cat from North America.</t>
  </si>
  <si>
    <t>Apparent Ixodes tick paralysis in a cat from North America.    ABSTRACT:  A 2-year-old castrated male domestic longhair cat presented for acute, diffuse, flaccid paralysis. Thoracic and abdominal radiographs, biochemistry panel and complete blood count were unremarkable. Titers to Toxoplasma gondii, myasthenia gravis radioimmunoassay testing and creatinine kinase levels were within normal limits. The most likely differentials included acute toxicity (coral snake envenomation, organophosphate toxicity), botulism and, less likely, acute polyradiculoneuritis. A thorough physical examination revealed a single engorged tick attached to the ventral neck of the cat, which was later identified as an adult female Ixodes species. Topical fipronil and (S)-methoprene was administered. Over the next 48 h, the cat recovered full motor function and at 5 days post-tick removal the cat had resumed all normal activities.Tick paralysis is considered endemic in Australia by bites from, most commonly, the Ixodes holocyclus tick. However, this phenomenon is rarely reported in the USA. This is the first report of a domestic cat suffering from acute tick paralysis in North America.© The Author(s) 2020.  KEYWORDS:  Other:Ixodes|North America|Tick paralysis|flaccid paralysis</t>
  </si>
  <si>
    <t>Honnas CM, Athey JM, Verocai GG, Snowden KF, Esteve-Gasent MD, Mankin JM</t>
  </si>
  <si>
    <t>JFMS open reports</t>
  </si>
  <si>
    <t>2055116920964001</t>
  </si>
  <si>
    <t>Surveillance assessment for veterinary biocidal products in Korea: A laboratory investigation.</t>
  </si>
  <si>
    <t>Surveillance assessment for veterinary biocidal products in Korea: A laboratory investigation.    ABSTRACT:  Veterinary biocides used in animal husbandry have the potential to cause human health concerns. Biocidal products for veterinary use, which contain pesticides approved in Korea, comprise 49 active ingredients within 234 products. Within 17 of these products there are 3 ingredients which are highly hazardous pesticides: coumaphos, dichlorvos and methomyl. In this study, the content of the active ingredients of 160 products sold domestically was investigated. Samples were collected for 119 biocidal products for veterinary use. These were analysed by high-performance liquid chromatography (HPLC) and gas chromatography (GC). Seventeen products were noncompliant (insufficient or excess quantity of active ingredients). The ingredients that were below the stated concentrations were amitraz, chlorpyrifos-methyl, cypermethrin, cyromazine, dichlorvos, fipronil, muscamone and trichlorfon. The ingredients that exceeded the stated concentrations were abamectin, fluvalinate and pyriproxyfen. The noncompliance rate in biocidal products for veterinary use was 9.19%. The results of this study show that three highly hazardous pesticides (coumaphos, dichlorvos and methomyl) and 10 active ingredients (abamectin, amitraz, chlorpyrifos-methyl, cypermethrin, cyromazine, fipronil, fluvalinate, muscamone, pyriproxyfen and trichlorfon) deviated from the stated concentrations. Thus, management plans should be established to ensure compliant veterinary drugs by post-distribution quality control, such as planning for regular inspection.© 2020 The Authors. Veterinary Medicine and Science published by John Wiley &amp; Sons Ltd.  KEYWORDS:  Other:biocides|monitoring|pesticides|quality control</t>
  </si>
  <si>
    <t>Kang J, Hossain MA, Park HC, Song JY, Kim YS, Jeong MY, Chung GS, Lee HS, Yoon HJ, Park SW, Lee KJ</t>
  </si>
  <si>
    <t>Veterinary medicine and science</t>
  </si>
  <si>
    <t>289-296</t>
  </si>
  <si>
    <t>Determination of Fipronil and Its Metabolites in Eggs by Indirect Competitive ELISA and Lateral-flow Immunochromatographic Strip.</t>
  </si>
  <si>
    <t>Determination of Fipronil and Its Metabolites in Eggs by Indirect Competitive ELISA and Lateral-flow Immunochromatographic Strip.    ABSTRACT:  NOABSTRACT. No abstract found.  KEYWORDS:  MeSH Chemical: Antibodies, Monoclonal| Insecticides| Pyrazoles| Sulfur Compounds| Gold| fipronil MeSH: | Antibodies, Monoclonal/chemistry| Chromatography, Affinity| Eggs/majr/analysis| Enzyme-Linked Immunosorbent Assay| Food Contamination/analysis| Gold/chemistry| Insecticides/majr/analysis/chemistry| Metal Nanoparticles/chemistry| Pyrazoles/majr/analysis/chemistry| Sulfur Compounds/chemistry</t>
  </si>
  <si>
    <t>Zhou XH, Zhang CQ, Zhang X, Sun C, Li J, Xiao X, Zhao YS, Ouyang Q, Wang Y</t>
  </si>
  <si>
    <t>Biomedical and environmental sciences : BES</t>
  </si>
  <si>
    <t>731-734</t>
  </si>
  <si>
    <t>Common insecticide disrupts aquatic communities: A mesocosm-to-field ecological risk assessment of fipronil and its degradates in U.S. streams.</t>
  </si>
  <si>
    <t xml:space="preserve">Common insecticide disrupts aquatic communities: A mesocosm-to-field ecological risk assessment of fipronil and its degradates in U.S. streams.    ABSTRACT:  Insecticides in streams are increasingly a global concern, yet information on safe concentrations for aquatic ecosystems is sparse. In a 30-day mesocosm experiment exposing native benthic aquatic invertebrates to the common insecticide fipronil and four degradates, fipronil compounds caused altered emergence and trophic cascades. Effect concentrations eliciting a 50% response (EC50) were developed for fipronil and its sulfide, sulfone, and desulfinyl degradates; taxa were insensitive to fipronil amide. Hazard concentrations for 5% of affected species derived from up to 15 mesocosm EC50 values were used to convert fipronil compound concentrations in field samples to the sum of toxic units (∑TUFipronils). Mean ∑TUFipronils exceeded 1 (indicating toxicity) in 16% of streams sampled from five regional studies. The Species at Risk invertebrate metric was negatively associated with ∑TUFipronils in four of five regions sampled. This ecological risk assessment indicates that low concentrations of fipronil compounds degrade stream communities in multiple regions of the United States.Copyright © 2020 The Authors, some rights reserved; exclusive licensee American Association for the Advancement of Science. No claim to original U.S. Government Works. Distributed under a Creative Commons Attribution NonCommercial License 4.0 (CC BY-NC).  KEYWORDS: </t>
  </si>
  <si>
    <t>Miller JL, Schmidt TS, Van Metre PC, Mahler BJ, Sandstrom MW, Nowell LH, Carlisle DM, Moran PW</t>
  </si>
  <si>
    <t>Science advances</t>
  </si>
  <si>
    <t>43</t>
  </si>
  <si>
    <t>Dispersal of boll weevil toward and within the cotton plant and implications for insecticide exposure.</t>
  </si>
  <si>
    <t>Arruda LS, Torres JB, Rolim GG, Silva-Torres CS</t>
  </si>
  <si>
    <t>1339-1347</t>
  </si>
  <si>
    <t>Efficacy of a topical combination of eprinomectin, praziquantel, fipronil and (S)-methoprene against developing and adult Troglostrongylus brevior lungworms (Nematoda, Crenosomatidae) in cats.</t>
  </si>
  <si>
    <t>Knaus M, Visser M, Mayr S, Rehbein S</t>
  </si>
  <si>
    <t>Veterinary parasitology: X</t>
  </si>
  <si>
    <t>100032</t>
  </si>
  <si>
    <t>Fiproles as a proxy for ecological risk assessment of mixture of fipronil and its degradates in effluent-dominated surface waters.</t>
  </si>
  <si>
    <t>Lao W</t>
  </si>
  <si>
    <t>Water research</t>
  </si>
  <si>
    <t>188</t>
  </si>
  <si>
    <t>116510</t>
  </si>
  <si>
    <t>Impact of pesticides in properties of Bradyrhizobium spp. and in the symbiotic performance with soybean.</t>
  </si>
  <si>
    <t>Rodrigues TF, Bender FR, Sanzovo AWS, Ferreira E, Nogueira MA, Hungria M</t>
  </si>
  <si>
    <t>World journal of microbiology &amp; biotechnology</t>
  </si>
  <si>
    <t>Assesment of hematotoxic, oxidative and genotoxic damage potentials of fipronil in rainbow trout Oncorhynchus mykiss, Walbaum.</t>
  </si>
  <si>
    <t>Assesment of hematotoxic, oxidative and genotoxic damage potentials of fipronil in rainbow trout Oncorhynchus mykiss, Walbaum.    ABSTRACT:  In this study, changes in the blood tissue of rainbow trout (Oncorhynchus mykiss, Walbaum, 1792) caused by Fipronil (FP) insecticide were investigated using different biomarkers (Hematology parameters, superoxide dismutase (SOD), catalase (CAT), glutathione peroxidase (GPX), malondialdehyde (MDA), paraoxonase (PON), arylesterase (ARE), myeleperoxidase (MPO), micronucleus (MN), 8-hydroxy-2-deoxyguanosine (8-OHdG)) level and caspase-3 activity. Statistically significant alterations in hematology parameters occurred with FP effect. In blood tissue, dose-dependent inhibition was determined in SOD-CAT-GPX-PON and ARE enzyme activities, but MDA and MPO were induced statistically significant. The results of MN assay were compared with the control group and it was obtained that genotoxicity of different dose groups was similar. The level of 8-OHdG and the activity and caspase-3 examined in blood tissue was increased depending on the dose. It was determined with different biomarkers that this insecticide caused physiological stress changes in the tissues examined.  KEYWORDS:  MeSH Chemical: Biomarkers| Fish Proteins| Insecticides| Pyrazoles| Water Pollutants, Chemical| 8-Hydroxy-2'-Deoxyguanosine| Caspase 3| fipronil MeSH: | 8-Hydroxy-2'-Deoxyguanosine/blood| Animals| Apoptosis/majr/drug effects| Biomarkers/blood| Caspase 3/blood| DNA Damage/majr| Dose-Response Relationship, Drug| Fish Proteins/blood| Insecticides/majr/toxicity| Micronuclei, Chromosome-Defective/majr/chemically induced| Oncorhynchus mykiss/majr/blood/genetics/metabolism| Oxidative Stress/majr/drug effects| Pyrazoles/majr/toxicity| Water Pollutants, Chemical/majr/toxicity Other:8-OHdG|Fipronil|O. mykiss|caspase-3|enzyme parameters|hematology</t>
  </si>
  <si>
    <t>Uçar A, Parlak V, Çilingir Yeltekin A, Özgeriş FB, Çağlar Ö, Türkez H, Alak G, Atamanalp M</t>
  </si>
  <si>
    <t>Toxicology mechanisms and methods</t>
  </si>
  <si>
    <t>73-80</t>
  </si>
  <si>
    <t>Corrigendum to "Thyroxine modulation of immune toxicity induced by mixture pesticides mancozeb and fipronil in mice" [Life Sci. 240 (2020) 117078].</t>
  </si>
  <si>
    <t xml:space="preserve">Corrigendum to "Thyroxine modulation of immune toxicity induced by mixture pesticides mancozeb and fipronil in mice" [Life Sci. 240 (2020) 117078].    ABSTRACT:  NOABSTRACT. No abstract found.  KEYWORDS: </t>
  </si>
  <si>
    <t>Bano F, Mohanty B</t>
  </si>
  <si>
    <t>Life sciences</t>
  </si>
  <si>
    <t>260</t>
  </si>
  <si>
    <t>118539</t>
  </si>
  <si>
    <t>Removal of urban-use insecticides in a large-scale constructed wetland.</t>
  </si>
  <si>
    <t>Cryder Z, Wolf D, Carlan C, Gan J</t>
  </si>
  <si>
    <t>268</t>
  </si>
  <si>
    <t>115586</t>
  </si>
  <si>
    <t>Multichannel nanoplasmonic platform for imidacloprid and fipronil residues rapid screen detection.</t>
  </si>
  <si>
    <t>Wang SH, Lo SC, Tung YJ, Kuo CW, Tai YH, Hsieh SY, Lee KL, Hsiao SR, Sheen JF, Hsu JC, Wei PK</t>
  </si>
  <si>
    <t>Biosensors &amp; bioelectronics</t>
  </si>
  <si>
    <t>170</t>
  </si>
  <si>
    <t>112677</t>
  </si>
  <si>
    <t>Vitamin C Attenuates Oxidative Stress and Behavioral Abnormalities Triggered by Fipronil and Pyriproxyfen Insecticide Chronic Exposure on Zebrafish Juvenile.</t>
  </si>
  <si>
    <t>Vitamin C Attenuates Oxidative Stress and Behavioral Abnormalities Triggered by Fipronil and Pyriproxyfen Insecticide Chronic Exposure on Zebrafish Juvenile.    ABSTRACT:  Chronic exposure to synthetic insecticides in the early life of a child can lead to a series of disorders. Several causes as parental age, maternal smoking, birth complications, and exposure to toxins such as insecticides on childhood can lead to Autism spectrum disorder (ASD) occurrence. The aim of this study was to evaluate the potential protective role of vitamin C (Vit. C) from children's supplements after 14 days chronic exposure to insecticide mixture fipronil (Fip) + pyriproxyfen (Pyr) on juvenile zebrafish for swimming performances, social behavior and oxidative stress associated with ASD model. Juvenile (14-17 mm) wild-type AB zebrafish (Danio rerio) (45 days) were exposed to relevant concentrations: vit. C (25 µg L-1), Fip (600 µg L-1/1.372 μM) + Pyr (600 µg L-1/1.89 μM), and [Fip (600 µg L-1/1.372 μM) + Pyr (600 µg L-1 /1.89 μM)] + vit. C (25 µg L-1). Our results showed that insecticides can disturb the social behavior of zebrafish during 14 days of the administration, decreased the swimming performances, and elevated the oxidative stress biomarkers of SOD (superoxide dismutase), GPx (glutathione peroxidase), and MDA (malondialdehyde). The vitamin C supplement significantly attenuated the neurotoxicity of insecticide mixture and oxidative stress. This study provides possible in vivo evidence to show that vitamin C supplements could attenuate oxidative stress and brain damage of fipronil and pyriproxyfen insecticide chronic exposure on zebrafish juvenile.  KEYWORDS:  Other:autism spectrum disorder|insecticides|neurotoxicity|protective role|social behavior|vitamin C</t>
  </si>
  <si>
    <t>Robea MA, Jijie R, Nicoara M, Plavan G, Ciobica AS, Solcan C, Audira G, Hsiao CD, Strungaru SA</t>
  </si>
  <si>
    <t>Antioxidants (Basel, Switzerland)</t>
  </si>
  <si>
    <t>Recent Advancements in the Control of Cat Fleas.</t>
  </si>
  <si>
    <t>Recent Advancements in the Control of Cat Fleas.    ABSTRACT:  With the advent of imidacloprid and fipronil spot-on treatments and the oral ingestion of lufenuron, the strategies and methods to control cat fleas dramatically changed during the last 25 years. New innovations and new chemistries have highlighted this progress. Control strategies are no longer based on the tripartite approach of treating the pet, the indoor environment, and outdoors. The ability of modern therapies to break the cat flea life cycle and prevent reproduction has allowed for the stand-alone treatments that are applied or given to the pet. In doing so, we have not only controlled the cat flea, but we have prevented or reduced the impact of many of the diseases associated with ectoparasites and endoparasites of cats and dogs. This review provides an update of newer and non-conventional approaches to control cat fleas.  KEYWORDS:  Other:Ctenocephalides felis felis|essential oils|insecticide resistance|isoxazolines</t>
  </si>
  <si>
    <t>Rust MK</t>
  </si>
  <si>
    <t>Design, synthesis, and insecticidal activities of novel 5-substituted 4,5-dihydropyrazolo[1,5-a]quinazoline derivatives.</t>
  </si>
  <si>
    <t>Yang S, Lai Q, Lai F, Jiang X, Zhao C, Xu H</t>
  </si>
  <si>
    <t>1013-1022</t>
  </si>
  <si>
    <t>Mechanisms underlying the selectivity of meta-diamides between insect resistance to dieldrin (RDL) and human γ-aminobutyric acid (GABA) and glycine receptors.</t>
  </si>
  <si>
    <t>Nakao T, Banba S</t>
  </si>
  <si>
    <t>3744-3752</t>
  </si>
  <si>
    <t>In vitro diagnosis of resistance of the cattle tick Rhipicephalus (Boophilus) microplus to fipronil in Argentina.</t>
  </si>
  <si>
    <t>In vitro diagnosis of resistance of the cattle tick Rhipicephalus (Boophilus) microplus to fipronil in Argentina.    ABSTRACT:  The aim of this work was to adapt and apply the in vitro larval bioassay packet test (LPT) to diagnose resistance of Rhipicephalus microplus ticks to fipronil in Argentina. Ten serial dilutions of fipronil were included in the LPT bioassay. Seven populations of R. microplus from six Argentinean Provinces were evaluated. Samples from Colonia Benítez, Quimilí and Intiyaco were unambiguously classified in the category 'resistant'. In all these cases the 95% confidence intervals did not overlap with that of the susceptible reference strain and the slope values were lower than the slope value obtained for the susceptible reference strain. The resistance ratio (RR50) values of the populations from Colonia Benítez I and II, Quimilí and Intiyaco were 2.23, 3.49, 6.84 and 3.39, respectively. Populations from El Colorado I and II, Acambuco, Vera and Feliciano were classified as 'susceptible' because the 95% confidence intervals overlapped with that of the susceptible reference strain and the RR50 values never exceeded 1.32. The results of these LPT bioassays indicate the presence of fipronil resistant R. microplus populations in Argentina.  KEYWORDS:  MeSH Chemical: Acaricides| Pyrazoles| fipronil MeSH: | Acaricides/majr| Animals| Argentina| Drug Resistance/majr| Larva| Pyrazoles/majr| Rhipicephalus/majr Other:Argentina|Bioassay|Fipronil|Resistance|Ticks</t>
  </si>
  <si>
    <t>Torrents J, Morel N, Rossner MV, Martínez NC, Toffaletti JR, Nava S</t>
  </si>
  <si>
    <t>Experimental &amp; applied acarology</t>
  </si>
  <si>
    <t>82</t>
  </si>
  <si>
    <t>397-403</t>
  </si>
  <si>
    <t>Reverse genetics reveals contrary effects of two Rdl-homologous GABA receptors of Helicoverpa armigera on the toxicity of cyclodiene insecticides.</t>
  </si>
  <si>
    <t>Wang J, Zhao X, Yan R, Wu S, Wu Y, Yang Y</t>
  </si>
  <si>
    <t>104699</t>
  </si>
  <si>
    <t>An integrated solid phase extraction with ionic liquid-thiol-graphene oxide as adsorbent for rapid isolation of fipronil residual in chicken eggs.</t>
  </si>
  <si>
    <t>An integrated solid phase extraction with ionic liquid-thiol-graphene oxide as adsorbent for rapid isolation of fipronil residual in chicken eggs.    ABSTRACT:  A rapid and economic integrated solid-phase extraction (ISPE) method with ionic liquid-thiol-graphene oxide composite (IL-TGO) as a new adsorbent was established for the extraction of fipronil in chicken eggs. In this study, ISPE, a new form of solid-phase extraction, which combined the advantages of pipette-tip solid phase extraction (PT-SPE) and dispersive solid-phase extraction (DSPE), achieving rapid extraction of analyte with only a small amount of adsorbent. The three-dimensional porous IL-TGO was a new ideal adsorbent for fipronil due to the multiple adsorption interactions (π-π interaction, hydrophobic interaction and hydrogen bond), large adsorption capacity and fast adsorption rate. For this ISPE procedure, the analyte was adsorbed by IL-TGO through the pipette tip mode and then eluted through dispersive mode. Under the optimized condition, the proposed method performed following merits: good linearity (r = 0.9999), precision (RSD ≤ 6.3%), high recoveries (83.7% to 97.7%), rapid extraction (16 min), low consumption of adsorbent (3.00 mg of IL-TGO). The excellent recyclability of the ISPE device and the reusability of IL-TGO were observed and high recovery of fipronil (&gt; 90%) was obtained after fifteen cycles. This work might provide promising strategy for the sensitive extraction and analysis of trace levels of fipronil from egg products.Copyright © 2020. Published by Elsevier B.V.  KEYWORDS:  Other:Egg samples|Fipronil|Integrated solid-phase extraction|Ionic liquid-thiol-graphene oxide composite</t>
  </si>
  <si>
    <t>Li M, Yang C, Yan H, Han Y, Han D</t>
  </si>
  <si>
    <t>Journal of chromatography. A</t>
  </si>
  <si>
    <t>1631</t>
  </si>
  <si>
    <t>461568</t>
  </si>
  <si>
    <t>Residual molecular and behavioral effects of the phenylpyrazole pesticide fipronil in larval zebrafish (Danio rerio) following a pulse embryonic exposure.</t>
  </si>
  <si>
    <t>Eadie A, Vasquez IC, Liang X, Wang X, Souders CL, El Chehouri J, Hoskote R, Feswick A, Cowie AM, Loughery JR, Martyniuk CJ</t>
  </si>
  <si>
    <t>Comparative biochemistry and physiology. Part D, Genomics &amp; proteomics</t>
  </si>
  <si>
    <t>100743</t>
  </si>
  <si>
    <t>Molecular cloning and pharmacology of Min-UNC-49B, a GABA receptor from the southern root-knot nematode Meloidogyne incognita.</t>
  </si>
  <si>
    <t>Nomura K, Yoshizumi S, Ozoe F, Ozoe Y</t>
  </si>
  <si>
    <t>3763-3776</t>
  </si>
  <si>
    <t>Pesticide mixtures show potential toxicity to aquatic life in U.S. streams, water years 2013-2017.</t>
  </si>
  <si>
    <t>Covert SA, Shoda ME, Stackpoole SM, Stone WW</t>
  </si>
  <si>
    <t>745</t>
  </si>
  <si>
    <t>141285</t>
  </si>
  <si>
    <t>Multi-organ characterisation of B-esterases in the European sea bass (Dicentrarchus labrax): Effects of the insecticide fipronil at two temperatures.</t>
  </si>
  <si>
    <t>Sanahuja I, Dallarés S, Ibarz A, Solé M</t>
  </si>
  <si>
    <t>228</t>
  </si>
  <si>
    <t>105617</t>
  </si>
  <si>
    <t>Cypermethrin- and fipronil-based insecticides cause biochemical changes in Physalaemus gracilis tadpoles.</t>
  </si>
  <si>
    <t>Rutkoski CF, Macagnan N, Folador A, Skovronski VJ, do Amaral AMB, Leitemperger JW, Costa MD, Hartmann PA, Müller C, Loro VL, Hartmann MT</t>
  </si>
  <si>
    <t>4377-4387</t>
  </si>
  <si>
    <t>Magnetic solid-phase extraction based on magnetic amino modified multiwalled carbon nanotubes for the fast determination of seven pesticide residues in water samples.</t>
  </si>
  <si>
    <t xml:space="preserve">Magnetic solid-phase extraction based on magnetic amino modified multiwalled carbon nanotubes for the fast determination of seven pesticide residues in water samples.    ABSTRACT:  A rapid and simple analytical method based on magnetic solid-phase extraction with magnetic amino modified multiwalled carbon nanotubes with ultra-high performance liquid chromatography-tandem mass spectrometry is reported for the determination of seven pesticides (futriafol, metalaxyl, myclobutanil, napropamide, epoxiconazole, fipronil and diniconazole) in water samples. In this study, magnetic amino modified multi-walled carbon nanotubes were synthesized and selected as a new kind of material to adsorb pesticides in the water samples. Various magnetic solid-phase extraction parameters, such as the amount and type of adsorbent, extraction methods, extraction time, the type and volume of desorption solvent, desorption time and solution ionic strength, were systematically optimized. Under optimum conditions, the method validation results showed good linearity and recoveries. The calibration curves were in the range of 1.0-100 ng mL-1 for napropamide, epoxiconazole, metalaxyl, and fipronil, while they were 5.0-500 ng mL-1 for futriafol, myclobutanil, and diniconazole, with determination coefficients (R2) higher than 0.9909. The limits of quantification were 1.0-5.0 ng mL-1 and the limits of detection were 0.3-1.5 ng mL-1. The recoveries of the seven pesticides ranged from 80.4% to 103.2%. This developed method, which is more convenient and effective in comparison with traditional methods, has been successfully applied for the analysis of pesticides in water samples qualitatively and quantitatively.  KEYWORDS: </t>
  </si>
  <si>
    <t>Dong J, Feng Z, Kang S, An M, Wu G</t>
  </si>
  <si>
    <t>21</t>
  </si>
  <si>
    <t>2747-2756</t>
  </si>
  <si>
    <t>Development of a simple method to quantify fipronil and its intermediates in soil.</t>
  </si>
  <si>
    <t xml:space="preserve">Development of a simple method to quantify fipronil and its intermediates in soil.    ABSTRACT:  A simple and reproducible method was developed and validated for simultaneous quantification of the pesticide fipronil and its intermediates fipronil desulfinyl, fipronil sulfone and fipronil sulfide, in soil. The analytes were extracted by ultrasonic bath and the ratio of solvents (hexane/acetone), number and time of cycles were optimized by Box-Behnken design with a triplicate central point. The optimal extraction conditions were achieved through a response surface analysis. The clean-up step was conducted by cartridges of solid phase extraction (SPE) containing silica (Florisil®) and aluminum oxide. Gas chromatography with electron capture detection (GC-ECD) was employed for separating fipronil and its intermediates with a suitable resolution and runtime of 20 minutes. The best quantification was achieved with 1 : 1 (v/v) acetone/hexane and 2 ultrasound cycles of 15 minutes each. The recovery values were between 81 to 108%, with relative standard deviation (RSD) lower than 6%, with no effect of the used matrix. Analytical curves presented regression coefficients values above 0.9908 for a concentration range from 0.005 to 0.6 μg g-1. Limits of detection (LOD) from 0.002 to 0.006 μg g-1 and limits of quantification (LOQ) from 0.006 to 0.020 μg g-1 were reached for all analytes. This method can be used to monitor and quantify fipronil and its intermediates in soil.  KEYWORDS: </t>
  </si>
  <si>
    <t>Tomazini R, Grosseli GM, Nara Ribeiro de Sousa D, Fadini PS, Talarico Saia F, Langenhoff A, van der Zaan B, Mozeto AA</t>
  </si>
  <si>
    <t>25</t>
  </si>
  <si>
    <t>3242-3249</t>
  </si>
  <si>
    <t>Experimental assessment of permethrin-fipronil combination in preventing Leishmania infantum transmission to dogs under natural exposures.</t>
  </si>
  <si>
    <t>Papadopoulos E, Angelou A, Madder M, Lebon W, Beugnet F</t>
  </si>
  <si>
    <t>100026</t>
  </si>
  <si>
    <t>Efficacy of Broadline® in cats against induced infections with developing fourth-stage larval and adult Ancylostoma ceylanicum hookworms.</t>
  </si>
  <si>
    <t>Efficacy of Broadline® in cats against induced infections with developing fourth-stage larval and adult Ancylostoma ceylanicum hookworms.    ABSTRACT:  Ancylostoma ceylanicum hookworms parasitize dogs and cats in subtropical and tropical South East Asia and Pacific region, the Arab Peninsula, southern Africa and South America but cause patent infections in humans too. To evaluate the efficacy of Broadline®, a combination product comprising eprinomectin, fipronil, (S)-methoprene and praziquantel, against developing fourth-larval stage (L4) and adult A. ceylanicum in cats, a blinded, induced infection study was conducted. Following oral inoculation of 24 purpose bred cats with ˜300 infectious A. ceylanicum larvae each, cats were allocated to one of three groups of eight animals, each which served either as untreated controls or received Broadline® (once topically at the minimum label dose of 0.12 mL per kg bodyweight) when the hookworms were L4 (five days post inoculation, dpi) or adults (25 dpi). Efficacy was determined on nematode counts following necropsy of the cats. Fecal examination at 22 dpi confirmed that all cats of the control group and of the group to be treated when the hookworms were adult were excreting hookworm eggs (range, 100 to 1000 eggs per gram) while no eggs were recovered from the feces of the cats treated with Broadline® 5 dpi. Nematode counts established 35 dpi demonstrated that Broadline® treatment was 100% efficacious against both, developing L4 and adult A. ceylanicum: no hookworms were recovered from any Broadline®-treated cat while all control animals harbored A. ceylanicum (range, 8-35) (p &lt; 0.001). No health problems were observed throughout the study.© 2020 The Authors.  KEYWORDS:  Other:(S)-methoprene|Ancylostoma ceylanicum|Cat|Efficacy|Eprinomectin|Fipronil|Nematodes|Praziquantel</t>
  </si>
  <si>
    <t>Knaus M, Taweethavonsawat P, Cheesman T, Visser M, Rehbein S</t>
  </si>
  <si>
    <t>100025</t>
  </si>
  <si>
    <t>Comparative assessment of the acute toxicity, haematological and genotoxic effects of ten commonly used pesticides on the African Catfish, Clarias gariepinus Burchell 1822.</t>
  </si>
  <si>
    <t>Comparative assessment of the acute toxicity, haematological and genotoxic effects of ten commonly used pesticides on the African Catfish, Clarias gariepinus Burchell 1822.    ABSTRACT:  Freshwater fishes are faced with increasing threats due to intensification of agriculture. This study evaluated the haematological and genotoxic effects of exposure of the African Catfish, Clarias gariepinus to sublethal concentrations of commonly used pesticides in agricultural settings. The evaluated pesticides were abamectin, carbofuran, chlorpyrifos, cypermethrin, deltamethrin, dichlorvos, dimethoate, fipronil, lambda-cyhalothrin and paraquat. The fishes were initially exposed singly to the pesticides for 96 h periods to determine their LC50, followed by exposure to sublethal concentrations (1/100th 96 h LC50) over a 21 d period. In all cases, a control experiment with catfishes kept in dechlorinated municipal water was monitored simultaneously. The 96 h LC50 values was found to vary widely from 2.043 μgL-1 (Lambda-cyhalothrin) to 10284.288 μgL-1(Paraquat). Significant differences (P &lt; 0.05) were observed between mean haematological parameters-WBC, RBC, HGB, HCT, MCH and MCHC in the exposed and control catfishes. More so, micronucleus and nuclear abnormalities occurred at significantly higher proportions in pesticide exposed catfishes. Holistic cradle to grave approach as well as fate analysis is required to mitigate the potential harmful effects of pesticides to fresh water fishes.© 2020 Published by Elsevier Ltd.  KEYWORDS:  Other:Agricultural science|Agrochemicals|Aquatic pollution|Mutagenesis|Oxidative stress</t>
  </si>
  <si>
    <t>Amaeze NH, Komolafe BO, Salako AF, Akagha KK, Briggs TD, Olatinwo OO, Femi MA</t>
  </si>
  <si>
    <t>e04768</t>
  </si>
  <si>
    <t>Exposure to environmental concentrations of fipronil and 2,4-D mixtures causes physiological, morphological and biochemical changes in Raphidocelis subcapitata.</t>
  </si>
  <si>
    <t>Moreira RA, Rocha GS, da Silva LCM, Goulart BV, Montagner CC, Melão MDGG, Espindola ELG</t>
  </si>
  <si>
    <t>206</t>
  </si>
  <si>
    <t>111180</t>
  </si>
  <si>
    <t>Acute and chronic toxicity of 2,4-D and fipronil formulations (individually and in mixture) to the Neotropical cladoceran Ceriodaphnia silvestrii.</t>
  </si>
  <si>
    <t>Silva LCM, Moreira RA, Pinto TJS, Ogura AP, Yoshii MPC, Lopes LFP, Montagner CC, Goulart BV, Daam MA, Espíndola ELG</t>
  </si>
  <si>
    <t>1462-1475</t>
  </si>
  <si>
    <t>Determination of Fipronil toxicity by different biomarkers in gill and liver tissue of rainbow trout (Oncorhynchus mykiss).</t>
  </si>
  <si>
    <t>Uçar A, Parlak V, Özgeriş FB, Yeltekin AÇ, Alak G, Atamanalp M</t>
  </si>
  <si>
    <t>In vitro cellular &amp; developmental biology. Animal</t>
  </si>
  <si>
    <t>543-549</t>
  </si>
  <si>
    <t>Life-History Traits Response to Effects of Fish Predation (Kairomones), Fipronil and 2,4-D on Neotropical Cladoceran Ceriodaphnia silvestrii.</t>
  </si>
  <si>
    <t>Moreira RA, Rocha O, Pinto TJDS, da Silva LCM, Goulart BV, Montagner CC, Espindola ELG</t>
  </si>
  <si>
    <t>Archives of environmental contamination and toxicology</t>
  </si>
  <si>
    <t>79</t>
  </si>
  <si>
    <t>298-309</t>
  </si>
  <si>
    <t>Neonicotinoids, fipronil, chlorpyrifos, carbendazim, chlorotriazines, chlorophenoxy herbicides, bentazon, and selected pesticide transformation products in surface water and drinking water from northern Vietnam.</t>
  </si>
  <si>
    <t>Wan Y, Tran TM, Nguyen VT, Wang A, Wang J, Kannan K</t>
  </si>
  <si>
    <t>750</t>
  </si>
  <si>
    <t>141507</t>
  </si>
  <si>
    <t>Fipronil and 2,4-D effects on tropical fish: Could avoidance response be explained by changes in swimming behavior and neurotransmission impairments?</t>
  </si>
  <si>
    <t>Moreira RA, Araújo CVM, Junio da Silva Pinto T, Menezes da Silva LC, Goulart BV, Viana NP, Montagner CC, Fernandes MN, Gaeta Espindola EL</t>
  </si>
  <si>
    <t>127972</t>
  </si>
  <si>
    <t>2D/2d heterojunction of MoS2/g-C3N4 nanoflowers for enhanced visible-light-driven photocatalytic and electrochemical degradation of organic pollutants.</t>
  </si>
  <si>
    <t>Monga D, Ilager D, Shetti NP, Basu S, Aminabhavi TM</t>
  </si>
  <si>
    <t>Journal of environmental management</t>
  </si>
  <si>
    <t>274</t>
  </si>
  <si>
    <t>111208</t>
  </si>
  <si>
    <t>Determination of fipronil and bixafen pesticides residues using gas chromatography mass spectroscopy with matrix matching calibration strategy after binary dispersive liquid-liquid microextraction.</t>
  </si>
  <si>
    <t>Determination of fipronil and bixafen pesticides residues using gas chromatography mass spectroscopy with matrix matching calibration strategy after binary dispersive liquid-liquid microextraction.    ABSTRACT:  The objective of this study was to determine bixafen and fipronil residues in domestic and industrial wastewater, soil and mint samples by binary dispersive liquid-liquid microextraction method (BDLLME) prior to gas chromatography-mass spectrometry (GC-MS). Extraction efficiency for the selected analytes was improved by optimizing the parameters such as solvent type, ratio and volume, dispersive solvent type/volume, mixing type and duration to increase overall analytical performance. Under the optimum chromatographic and extraction conditions, limits of detection values for bixafen and fipronil were determined as 7.3 and 6.1 µg L-1, respectively. Spiking experiments were performed for domestic and industrial wastewater, soil and mint samples to evaluate applicability and accuracy of the proposed method. Recovery results for the samples were calculated in the range of 89.4%-112.6% via matrix matching calibration strategy. It was determined that the detection power of GC-MS system was improved 7.8 times for bixafen and 119 times for fipronil over LOD comparisons of conventional GC-MS and B-DLLME-GC-MS systems.  KEYWORDS:  MeSH Chemical: Pesticide Residues| Pyrazoles| Soil Pollutants| Solvents| Waste Water| Water Pollutants, Chemical| fipronil MeSH: | Calibration| Gas Chromatography-Mass Spectrometry/majr/methods| Limit of Detection| Liquid Phase Microextraction/majr/methods| Mentha/chemistry| Pesticide Residues/majr/analysis| Pyrazoles/majr/analysis| Soil Pollutants/analysis| Solvents/chemistry| Waste Water/analysis/chemistry| Water Pollutants, Chemical/analysis Other:B-DLLME|mint|pesticide|soil|wastewater</t>
  </si>
  <si>
    <t>Özcan R, Büyükpınar Ç, Bakırdere S</t>
  </si>
  <si>
    <t>Journal of environmental science and health. Part. B, Pesticides, food contaminants, and agricultural wastes</t>
  </si>
  <si>
    <t>1041-1047</t>
  </si>
  <si>
    <t>Assessments on the molecular toxic mechanisms of fipronil and neonicotinoids with glutathione transferase Phi8.</t>
  </si>
  <si>
    <t>Assessments on the molecular toxic mechanisms of fipronil and neonicotinoids with glutathione transferase Phi8.    ABSTRACT:  As the most widely used pesticides, fipronils and neonicotinoids exhibit harmful effects to many species including crops mainly via the oxidative damages. However, the potential toxic mechanisms of these pesticides to plants remain unclear. In this work, glutathione S-transferase Phi8 was employed as the biomarker to assess the adverse oxidative effects of these two kinds of pesticides. The structural changes and binding characteristics of AtGSTF8 with the pesticides were investigated by multispectral techniques and the latest generation neonicotinoid dinotefuran exhibited the most evident effects on the structure of AtGSTF8. Then dinotefuran displayed weak binding ability to AtGSTF8 comparing with fipronil and clothianidin based on the bio-layer interferometry technique. Besides, the glutathione S-transferase activities of AtGSTF8 were decreased upon binding with these two kinds of pesticides but dinotefuran displayed minor effect on the enzyme activity. At last, dinotefuran and clothianidin were presumed to locate on the molecular surface of AtGSTF8, while fipronil was predicted to insert into the cavity of AtGSTF8 which was adjacent to the active G-site based on the molecular docking results. The molecular investigations on the toxic mechanisms would help to evaluate the harmful effects of these two kinds of prevalent pesticides to plants.Copyright © 2020. Published by Elsevier B.V.  KEYWORDS:  MeSH Chemical: Arabidopsis Proteins| Environmental Pollutants| Insecticides| Neonicotinoids| Pyrazoles| Glutathione S-Transferase pi| fipronil MeSH: | Arabidopsis/enzymology| Arabidopsis Proteins/majr/metabolism| Biocatalysis| Environmental Pollutants/majr/metabolism| Glutathione S-Transferase pi/majr/metabolism| Insecticides/majr/metabolism| Neonicotinoids/majr/metabolism| Protein Binding| Pyrazoles/majr/metabolism Other:AtGSTF8|Fipronil and neonicotinoids|Toxic assessment</t>
  </si>
  <si>
    <t>Xie Y, Hou X</t>
  </si>
  <si>
    <t>International journal of biological macromolecules</t>
  </si>
  <si>
    <t>162</t>
  </si>
  <si>
    <t>1862-1868</t>
  </si>
  <si>
    <t>Chronic Administration of Fipronil Heterogeneously Alters the Neurochemistry of Monoaminergic Systems in the Rat Brain.</t>
  </si>
  <si>
    <t>Bharatiya R, Chagraoui A, De Deurwaerdere S, Argiolas A, Melis MR, Sanna F, De Deurwaerdere P</t>
  </si>
  <si>
    <t>International journal of molecular sciences</t>
  </si>
  <si>
    <t>Mutagenic, genotoxic and morphotoxic potential of different pesticides in the erythrocytes of Podocnemis expansa neonates.</t>
  </si>
  <si>
    <t>de Oliveira JSP, Vieira LG, Carvalho WF, de Souza MB, de Lima Rodrigues AS, Simões K, de Melo De Silva D, Dos Santos Mendonça J, Hirano LQL, Santos ALQ, Malafaia G</t>
  </si>
  <si>
    <t>737</t>
  </si>
  <si>
    <t>140304</t>
  </si>
  <si>
    <t>Development of an on-site early warning water quality monitoring system for pesticide detection by absorption and photo-induced fluorescence.</t>
  </si>
  <si>
    <t>Development of an on-site early warning water quality monitoring system for pesticide detection by absorption and photo-induced fluorescence.    ABSTRACT:  This paper describes prototypes of an on-site early warning water quality monitoring system (EWWQMS) for pesticide quantification in natural waters by fluorescence and absorbance. As many pesticides are not naturally fluorescent, this EWWQMS uses UV irradiation to transform these compounds into highly fluorescent photoproducts and obtain sufficient sensitivity. To obtain a better specificity, the system uses four UV LEDs at different wavelengths to excite the fluorescent photoproducts. For pesticides that are not sensitive to photoconversion, the EWWQMS prototypes also use UV absorption for their quantification, thus offering a wider application range. A first system uses a diode array spectrometer for detection. A second system uses a higher resolution spectrometer and an intensified CCD camera detection to increase sensitivity. Analytical applications were conducted for the determination of fipronil, acetamipride, cyprodinil, trifluraline and pendimethaline in water using both the EWWQMS prototypes. The analytical performances of these new systems are good compared with other photo-induced fluorescence methods already published. Limits of detection without pre-concentration are in the range of 0.2 to 3 ng mL-1 and the recovery values range from 95 to 108%. These results show that the EWWQMS prototypes can be used as an alert system to protect industrial plants from pesticide contaminations that exceed the capabilities of their cleaning processes.  KEYWORDS:  MeSH Chemical: Pesticides MeSH: | Pesticides/majr/analysis| Spectrometry, Fluorescence| Ultraviolet Rays| Water Quality/majr Other:Absorbance|Environment|Fluorescence|Monitoring|Pesticides|Photo-induced fluorescence</t>
  </si>
  <si>
    <t>Bakhoum JP, Diop NA, Bodian EHT, Mbaye OMA, Diaw PA, Cisse L, Gaye-Seye MD, Thiare DD, Coly A, Le Jeune B, Giamarchi P</t>
  </si>
  <si>
    <t>45238-45249</t>
  </si>
  <si>
    <t>Ginseng attenuates fipronil-induced hepatorenal toxicity via its antioxidant, anti-apoptotic, and anti-inflammatory activities in rats.</t>
  </si>
  <si>
    <t>Abd Eldaim MAA, Abd El Latif AS, Hassan A, El-Borai NB</t>
  </si>
  <si>
    <t>45008-45017</t>
  </si>
  <si>
    <t>In vitro acaricidal activity of different ectoparasiticide classes against Amblyomma sculptum larvae.</t>
  </si>
  <si>
    <t>In vitro acaricidal activity of different ectoparasiticide classes against Amblyomma sculptum larvae.    ABSTRACT:  Zoonoses are major causes of morbidity and mortality worldwide. Among them, Brazilian Spotted Fever (BSF) is an important one that occurs in some regions of South America and can be transmitted by the "star tick" Amblyomma sculptum. Application of acaricides against the larval stage is important as strategy of population control. However, there is still a deficiency of studies on chemical control of A. sculptum and the present work aims to evaluate the in vitro acaricidal activity of cypermethrin, flumethrin, deltamethrin, fipronil, coumaphos and chlorpyrifos against A. sculptum larvae. Bioassays were performed using the larval immersion test method. A discriminatory analysis between the antiparasitic classes most used for tick control was carried out, which made it possible to determine the classes with higher potential for controlling A. sculptum larvae. Our results showed that A. sculptum larvae present highest sensitivity to the synthetic pyrethroid group, followed by the phenylpyrazole, organophosphate and macrocyclic lactone groups. These findings may support studies on improvement of tick control as in animals as in the environment.  KEYWORDS:  MeSH Chemical: Acaricides MeSH: | Acaricides/majr/chemistry/classification| Animals| Ixodidae/majr| Larva| Rocky Mountain Spotted Fever/parasitology/prevention &amp; control/transmission| South America</t>
  </si>
  <si>
    <t>Borges DA, Cid YP, Avelar BR, Ferreira TP, Campos DR, Santos GCMD, Alves MCC, Scott FB</t>
  </si>
  <si>
    <t>e003020</t>
  </si>
  <si>
    <t>Chemo-Protective Potential of Cerium Oxide Nanoparticles against Fipronil-Induced Oxidative Stress, Apoptosis, Inflammation and Reproductive Dysfunction in Male White Albino Rats.</t>
  </si>
  <si>
    <t>Saleh H, Nassar AMK, Noreldin AE, Samak D, Elshony N, Wasef L, Elewa YHA, Hassan SMA, Saati AA, Hetta HF, Batiha GE, Umezawa M, Shaheen HM, El-Sayed YS</t>
  </si>
  <si>
    <t>Efficacy of a low dose fipronil bait against blacklegged tick (Ixodes scapularis) larvae feeding on white-footed mice (Peromyscus leucopus) under laboratory conditions.</t>
  </si>
  <si>
    <t>Poché DM, Franckowiak G, Clarke T, Tseveenjav B, Polyakova L, Poché RM</t>
  </si>
  <si>
    <t>391</t>
  </si>
  <si>
    <t>Does bathing affect tick and flea burdens and ectoparasiticide effectiveness of a spot-on formulation (fipronil + (S)-methoprene) for dogs?</t>
  </si>
  <si>
    <t>Cruz BC, Teixeira WFP, Gomes LVC, Maciel WG, Felippelli G, Buzzulini C, Ferreira LL, Santos TRD, Soares VE, Sakamoto CAM, Monteiro CMO, Lopes WDZ, da Costa AJ</t>
  </si>
  <si>
    <t>109192</t>
  </si>
  <si>
    <t>Preclinical Transplacental Transfer and Pharmacokinetics of Fipronil in Rats.</t>
  </si>
  <si>
    <t>Chang YN, Tsai TH</t>
  </si>
  <si>
    <t>Drug metabolism and disposition: the biological fate of chemicals</t>
  </si>
  <si>
    <t>48</t>
  </si>
  <si>
    <t>886-893</t>
  </si>
  <si>
    <t>Synergic effect of a quinuclidine benzamide complexed with borane, the LMA10233, in combination with seven pesticides.</t>
  </si>
  <si>
    <t>Synergic effect of a quinuclidine benzamide complexed with borane, the LMA10233, in combination with seven pesticides.    ABSTRACT:  Some quinuclidine benzamide compounds have been found to modulate nicotinic acetylcholine receptors in both mammals and insects. In particular, the quaternarization of 3-amino quinuclidine benzamide derivatives with dichloromethane gave charged N-chloromethylated quinuclidine compounds, disclosing an antagonist profile on homomeric α7 nAChRs. Here, we synthesized and studied the toxicological effect of LMA10233, a quinuclidine-borane complex analogue, the LMA10233, on the pea aphid Acyrthosiphon pisum and found that LMA10233 only exhibit proper toxicity on A. pisum larvae when applied in concentrations of over 10 μg/ml. We assessed the ability of LMA10233 to enhance the toxicity of different insecticides. When a sublethal concentration of LMA10233 was combined with the LC10 of each compound, we found a strong increase in toxicity at 24 h and 48 h of exposure for clothianidin, fipronil and chlorpyrifos, and only at 24 h for imidacloprid, acetamiprid and deltamethrin. However, when the pesticide was used at the LC50, only acetamiprid showed a synergistic effect with LMA10233. When the concentration of LMA10233 was decreased, we found that up to 80-90% of mortality was obtained due to the synergism between acetamiprid and LMA10233. No similar effect was observed with other insecticides. We conclude that such quinuclidine-borane complex compounds could increase the toxic effect of insecticides at low concentrations.Copyright © 2020 Elsevier Inc. All rights reserved.  KEYWORDS:  MeSH Chemical: Benzamides| Boranes| Insecticides| Neonicotinoids| Nitro Compounds| Pesticides| Quinuclidines MeSH: | Animals| Benzamides| Boranes/majr| Insecticides/majr| Neonicotinoids| Nitro Compounds| Pesticides/majr| Quinuclidines Other:Aphid|Benzamide|Insecticides|Quinuclidine-borane complex|Synergism|Toxicology</t>
  </si>
  <si>
    <t>Taillebois E, Cartereau A, Graton J, Le Questel JY, Lebreton J, Mathé-Allainmat M, Thany SH</t>
  </si>
  <si>
    <t>168</t>
  </si>
  <si>
    <t>104633</t>
  </si>
  <si>
    <t>Fitness cost, realized heritability and stability of resistance to spiromesifen in house fly, Musca domestica L. (Diptera: Muscidae).</t>
  </si>
  <si>
    <t>Alam M, Shah RM, Shad SA, Binyameen M</t>
  </si>
  <si>
    <t>104648</t>
  </si>
  <si>
    <t>Organic and conventional agriculture: Conventional rice farming causes biochemical changes in Astyanax lacustris.</t>
  </si>
  <si>
    <t>Bergmann FB, do Amaral AMB, Volcan MV, Leitemperger JW, Zanella R, Prestes OD, Clasen B, Guadagnin DL, Loro VL</t>
  </si>
  <si>
    <t>744</t>
  </si>
  <si>
    <t>140820</t>
  </si>
  <si>
    <t>Fleas infesting cats and dogs in Great Britain: spatial distribution of infestation risk and its relation to treatment.</t>
  </si>
  <si>
    <t>Cooper AR, Nixon E, Rose Vineer H, Abdullah S, Newbury H, Wall R</t>
  </si>
  <si>
    <t>Medical and veterinary entomology</t>
  </si>
  <si>
    <t>34</t>
  </si>
  <si>
    <t>452-458</t>
  </si>
  <si>
    <t>Insights into the synergistic mechanism of target resistance: A case study of N. lugens RDL-GABA receptors and fipronil.</t>
  </si>
  <si>
    <t>Insights into the synergistic mechanism of target resistance: A case study of N. lugens RDL-GABA receptors and fipronil.    ABSTRACT:  It is known that a single mutation exerts moderate resistance to pesticide, while double mutations (DM) cause severe resistance problem through synergistic effect, and even result in failure application of pesticides. However, little is known about how double mutations would synergistically cause much high resistance level. In this work, computational studies were performed on the interaction of fipronil with N. lugens RDL-GABA receptors, to see how single and double mutations changed receptor structure properties and then conferred distinct resistance levels. The A2'S mutation displayed relative weak influence on receptor structure properties. The R0'Q mutation, which has not been detected in the absence of A2'S, however could deeply alter the electrostatic potential around the inner pore region and significantly narrow the bottom region around -2'Pro. For the DM system, the synergistic effect of two mutations lead to similar pore diameters to the WT system, except for the slightly reduced middle part. Docking study and binding free energy calculation revealed that fipronil displayed binding potencies in the order of WT &gt; A2'S &gt; R0'Q &gt; DM systems, coinciding well with the reported fipronil sensitivity trends and resistance levels.Copyright © 2020 Elsevier B.V. All rights reserved.  KEYWORDS:  MeSH Chemical: Insect Proteins| Insecticides| Pyrazoles| Receptors, GABA| fipronil MeSH: | Animals| Hemiptera/majr/drug effects/metabolism| Insect Proteins/majr/drug effects| Insecticide Resistance/majr/genetics| Insecticides/majr/pharmacology| Molecular Dynamics Simulation| Mutation| Pyrazoles/majr/pharmacology| Receptors, GABA/majr/drug effects Other:Fipronil|Homology modelling|Molecular dynamics simulation|RDL-GABA receptor|Resistance</t>
  </si>
  <si>
    <t>Li T, Zhou C, Zheng N, Yang H, Kuang G, Shao X, Li Z, Cheng J</t>
  </si>
  <si>
    <t>Biophysical chemistry</t>
  </si>
  <si>
    <t>265</t>
  </si>
  <si>
    <t>106426</t>
  </si>
  <si>
    <t>The protective effects of Terminalia laxiflora extract on hepato-nephrotoxicity induced by fipronil in male rats.</t>
  </si>
  <si>
    <t>The protective effects of Terminalia laxiflora extract on hepato-nephrotoxicity induced by fipronil in male rats.    ABSTRACT:  The present study was led to investigate the defensive role of Terminalia laxiflora extract (TLE) on fipronil (FPN) induced hepatotoxicity and nephrotoxicity in male rats. Rats were administered with TLE (100 mg/kg) against the renal toxicity and hepatotoxicity induced by administration of FPN (10.5 mg/kg) for 30 days. At the end of the experimental period, the serum, liver, and kidneys were harvested and assessed for subsequent analysis. FPN administration to rats resulted in a significant elevation of serum transaminases, urea, and creatinine. Also, FPN-treated groups exhibited a marked reduction in total protein and albumin levels. Compared with the control group, the level of malondialdehyde (MDA) was elevated in groups treated with FPN, whereas superoxide dismutase (SOD), catalase (CAT) activities, and glutathione levels were distinctly reduced in this group. Significant increases in genomic DNA fragmentation and the expression level of the caspase-3 gene were also recorded. The biochemical result was supported by histopathological findings. Co-administration of TLE along with FPN significantly diminished the liver and kidney function tests decreased the level of lipid peroxidation, and enhanced all the antioxidant enzymes, while also diminishing the expression of caspase-3 and DNA laddering, indicating amelioration of DNA damage. These results indicate that TLE plays a vital role in diminishing FPN-induced hepatotoxicity and nephrotoxicity.  KEYWORDS:  MeSH Chemical: Antioxidants| Plant Extracts| Pyrazoles| Superoxide Dismutase| Glutathione| fipronil MeSH: | Animals| Antioxidants| Glutathione| Kidney| Lipid Peroxidation| Male| Oxidative Stress| Plant Extracts| Pyrazoles| Rats| Rats, Wistar| Superoxide Dismutase| Terminalia/majr Other:Caspase-3|DNA damage|Fipronil|Hepatotoxicity|Nephrotoxicity|Terminalia laxiflora</t>
  </si>
  <si>
    <t>Khalaf AA, Ibrahim MA, Galal MK, Abdallah AA, Mansour R, Afify MM</t>
  </si>
  <si>
    <t>39507-39515</t>
  </si>
  <si>
    <t>Occurrence of the insecticide fipronil and its degradates in indoor dust from South, Central, and North China.</t>
  </si>
  <si>
    <t>Shi L, Jiang Y, Wan Y, Huang J, Meng Q, He Z, Xu S, Xia W</t>
  </si>
  <si>
    <t>741</t>
  </si>
  <si>
    <t>140110</t>
  </si>
  <si>
    <t>Experimental removal of invasive Africanized honey bees increased breeding population size of the endangered Lear's macaw.</t>
  </si>
  <si>
    <t>Pacífico EC, Efstathion CA, Filadelfo T, Horsburgh R, Cunha RA, Paschotto FR, Denes FV, Gilardi J, Tella JL</t>
  </si>
  <si>
    <t>76</t>
  </si>
  <si>
    <t>4141-4149</t>
  </si>
  <si>
    <t>Degradation mechanism of fipronil and its transformation products, matrix effects and toxicity during the solar/photo-Fenton process using ferric citrate complex.</t>
  </si>
  <si>
    <t>Gomes Júnior O, Batista LL, Ueira-Vieira C, Sousa RMF, Starling MCVM, Trovó AG</t>
  </si>
  <si>
    <t>110756</t>
  </si>
  <si>
    <t>Food Risks on the Web: Analysis of the 2017 Fipronil Alert in the Italian Online Information Sources.</t>
  </si>
  <si>
    <t>Food Risks on the Web: Analysis of the 2017 Fipronil Alert in the Italian Online Information Sources.    ABSTRACT:  In the summer of 2017, several European Union Member States were involved in a food alert caused by the presence of fipronil pesticide residues in chicken eggs. The food alert became a major news and received wide coverage both in the mass media and on the Internet. This article describes a study that analyzed how the Italian online information sources represented the fipronil alert, using web monitoring techniques and both manual and automatic content analysis methods. The results indicate that the alert was amplified because general news media could represent the alert within the frame of a political scandal, and because different social actors exploited the case. However, online information sources correctly communicated that the risks for consumers were low, reporting mainly what was officially communicated by the Italian health authorities. The study provides empirical evidence on how the online information sources represent food risks and food alerts and offers useful indications for health authorities in charge of the public communication of food risks.© 2020 Society for Risk Analysis.  KEYWORDS:  Other:Big data|content analysis|fipronil|food alert|media coverage|risk communication</t>
  </si>
  <si>
    <t>Ruzza M, Tiozzo B, Rizzoli V, Giaretta M, D'Este L, Ravarotto L</t>
  </si>
  <si>
    <t>Risk analysis : an official publication of the Society for Risk Analysis</t>
  </si>
  <si>
    <t>40</t>
  </si>
  <si>
    <t>2071-2092</t>
  </si>
  <si>
    <t>Role of long non-coding RNA in DEET- and fipronil-mediated alteration of transcripts associated with Phase I and Phase II xenobiotic metabolism in human primary hepatocytes.</t>
  </si>
  <si>
    <t>Lawrie RD, Mitchell RD, Dhammi A, Wallace A, Hodgson E, Roe RM</t>
  </si>
  <si>
    <t>167</t>
  </si>
  <si>
    <t>104607</t>
  </si>
  <si>
    <t>Simultaneous determination of neonicotinoids and fipronils in tea using a modified QuEChERS method and liquid chromatography-high resolution mass spectrometry.</t>
  </si>
  <si>
    <t>Zhang Y, Zhang Q, Li S, Zhao Y, Chen D, Wu Y</t>
  </si>
  <si>
    <t>329</t>
  </si>
  <si>
    <t>127159</t>
  </si>
  <si>
    <t>Managing plague on prairie dog colonies: insecticides as ectoparasiticides.</t>
  </si>
  <si>
    <t>Managing plague on prairie dog colonies: insecticides as ectoparasiticides.    ABSTRACT:  Human health practitioners and wildlife biologists use insecticides to manage plague by suppressing fleas (Siphonaptera), but insecticides can also kill other ectoparasites. We investigated effects of deltamethrin and fipronil on ectoparasites from black-tailed prairie dogs (Cynomys ludovicianus, BTPDs). In late July, 2018, we treated three sites with 0.05% deltamethrin dust and 5 sites with host-fed 0.005% fipronil grain. Three non-treated sites functioned as experimental baselines. We collected ectoparasites before treatments (June-July, 2018) and after treatments (August-October, 2018, June-July, 2019). Both deltamethrin and fipronil suppressed fleas for at least 12 months. Deltamethrin had no detectable effect on mites (Arachnida). Fipronil suppressed mites for at least 12 months. Lice (Phthiraptera) were scarce on non-treated sites throughout the study, complicating interpretation. Concentrating on eight sites where all three ectoparasites where found in June-July, 2018 (before treatments), flea intensity was greatest on BTPDs carrying many lice and mites. These three ectoparasites co-occurred at high numbers, which might facilitate plague transmission in some cases. Lethal effects of insecticides on ectoparasite communities are potentially advantageous in the context of plague management.© 2020 The Society for Vector Ecology.  KEYWORDS:  MeSH Chemical: Insecticides| Nitriles| Pyrazoles| Pyrethrins| decamethrin| fipronil MeSH: | Animals| Insecticides/majr/pharmacology| Nitriles/pharmacology| Phthiraptera/drug effects| Pyrazoles/pharmacology| Pyrethrins/pharmacology| Sciuridae/majr/parasitology Other:Cynomys|deltamethrin|fipronil|flea|louse|mite|plague</t>
  </si>
  <si>
    <t>Eads DA, Yashin AC, Noble LE, Vasquez MC, Huang MHJ, Livieri TM, Dobesh P, Childers E, Biggins DE</t>
  </si>
  <si>
    <t>Journal of vector ecology : journal of the Society for Vector Ecology</t>
  </si>
  <si>
    <t>82-88</t>
  </si>
  <si>
    <t>The insecticide fipronil affects the physical properties of model membranes: A combined experimental and molecular dynamics simulations study in Langmuir monolayers.</t>
  </si>
  <si>
    <t>Felsztyna I, Sánchez-Borzone ME, Miguel V, García DA</t>
  </si>
  <si>
    <t>Biochimica et biophysica acta. Biomembranes</t>
  </si>
  <si>
    <t>1862</t>
  </si>
  <si>
    <t>183378</t>
  </si>
  <si>
    <t>Pesticides used in Europe and autism spectrum disorder risk: can novel exposure hypotheses be formulated beyond organophosphates, organochlorines, pyrethroids and carbamates? - A systematic review.</t>
  </si>
  <si>
    <t>Ongono JS, Béranger R, Baghdadli A, Mortamais M</t>
  </si>
  <si>
    <t>187</t>
  </si>
  <si>
    <t>109646</t>
  </si>
  <si>
    <t>A full evaluation of chiral phenylpyrazole pesticide flufiprole and the metabolites to non-target organism in paddy field.</t>
  </si>
  <si>
    <t>Gao J, Wang F, Jiang W, Miao J, Wang P, Zhou Z, Liu D</t>
  </si>
  <si>
    <t>114808</t>
  </si>
  <si>
    <t>Cytoprotective and anti-apoptotic action of HSP70 stress protein in Oreochromis niloticus exposed to residual dilutions of insecticides with fipronil and ethiprole.</t>
  </si>
  <si>
    <t>Cytoprotective and anti-apoptotic action of HSP70 stress protein in Oreochromis niloticus exposed to residual dilutions of insecticides with fipronil and ethiprole.    ABSTRACT:  The objective of this research was to investigate the potential damage caused by the residual concentrations of the insecticides Regent® WS 800 and Curbix® SC 200, containing fipronil and ethiprole, respectively as active ingredients, on the liver of Oreochromis niloticus. The analyses of HSP70 shock protein labelling and cell death process by TUNEL method were performed in order to measure the effects of the exposure of cell repair system of fish to both insecticides. Statistical analyses showed no significant molecular damage to the hepatic tissue of animals. Nevertheless, variations in HSP70 and DNA fragmentation levels, endpoint of cell repair system response and cellular death, respectively, were observed in several groups. These results indicate that the cell repair machinery was efficient when in contact with residual concentrations of insecticides. However, the DNA fragmentation detected by the TUNEL method suggests that even in face of the cytoprotective action of the HSP70 protein, there are damages that become irreparable. To finish, it is worth mentioning that given the results obtained from residual concentrations, use in the field should be with caution.  KEYWORDS:  MeSH Chemical: Environmental Biomarkers| Fish Proteins| HSP70 Heat-Shock Proteins| Insecticides| Pesticide Residues| Pyrazoles| Water Pollutants, Chemical| ethiprole| fipronil MeSH: | Animals| Cell Death/drug effects| Cichlids/majr/physiology| Environmental Biomarkers/drug effects| Fish Proteins/metabolism| HSP70 Heat-Shock Proteins/majr/metabolism| Insecticides/majr/toxicity| Liver/drug effects| Pesticide Residues/toxicity| Pyrazoles/majr/toxicity| Water Pollutants, Chemical/toxicity Other:Stress protein|TUNEL|Tilápia|immunostaining|phenylpyrazole</t>
  </si>
  <si>
    <t>Guedes TA, Moreira-de-Sousa C, Lima HMS, Grella TC, Socolowski PC, Fontanetti CS</t>
  </si>
  <si>
    <t>687-693</t>
  </si>
  <si>
    <t>Pesticide Residues in Peri-Urban Bovine Milk from India and Risk Assessment: A Multicenter Study.</t>
  </si>
  <si>
    <t>Gill JPS, Bedi JS, Singh R, Fairoze MN, Hazarika RA, Gaurav A, Satpathy SK, Chauhan AS, Lindahl J, Grace D, Kumar A, Kakkar M</t>
  </si>
  <si>
    <t>8054</t>
  </si>
  <si>
    <t>Thyroid disrupting pesticides mancozeb and fipronil in mixture caused oxidative damage and genotoxicity in lymphoid organs of mice.</t>
  </si>
  <si>
    <t>Thyroid disrupting pesticides mancozeb and fipronil in mixture caused oxidative damage and genotoxicity in lymphoid organs of mice.    ABSTRACT:  The interference in endocrine signaling in particular of hypothyroid-pituitary-thyroid axis during embryonic/neonatal development increases the risk of long-lasting immune dysfunctioning. Anticipating that, environmentally realistic exposure of established thyroid disrupting pesticides of dithiocarbamate group mancozeb and phenylpyrazole fipronil was given to mice as individual and as mixtures (MIX-I/MIX-II) during the critical initiation phase of the immune response from postnatal day (PND) 31 till PND 60 (maturation phase). The direct exposure effect was assessed at PND 61 and the persistent effect was assessed at PND 91. Pronounced oxidative stress/genotoxicity in lymphoid organs at even low dose mixture exposure of pesticides (MIX-I/ MIX-II) continued to suppress the immune system till adulthood; might be due to the synergistic/additive action. The oxidative stress/genotoxicity effect was prevented on T4 supplementation to inhibit immunotoxicity as T4 is an immune enhancer and antioxidants. Oxidative stress/genotoxicity is suggested as a mechanism of thyroid disruption mediated immune suppression.Copyright © 2020 Elsevier B.V. All rights reserved.  KEYWORDS:  MeSH Chemical: Pesticides| Pyrazoles| Maneb| fipronil| mancozeb| Zineb MeSH: | Animals| DNA Damage| Female| Male| Maneb/majr/toxicity| Mice| Oxidative Stress/drug effects| Pesticides/majr/toxicity| Pyrazoles/majr/toxicity| Spleen/drug effects| Thymus Gland/drug effects| Thyroid Gland/drug effects| Zineb/majr/toxicity Other:Genotoxicity|Immunotoxicity|Oxidative stress|Pesticide mixtures|Thyroxine modulation</t>
  </si>
  <si>
    <t>Environmental toxicology and pharmacology</t>
  </si>
  <si>
    <t>103408</t>
  </si>
  <si>
    <t>Remediating Indoor Pesticide Contamination from Improper Pest Control Treatments: Persistence and Decontamination Studies.</t>
  </si>
  <si>
    <t>Remediating Indoor Pesticide Contamination from Improper Pest Control Treatments: Persistence and Decontamination Studies.    ABSTRACT:  The improper and excessive use of pesticides in indoor environments can result in adverse human health effects, sometimes necessitating decontamination of residential or commercial buildings. A lack of information on effective approaches to remediate pesticide residues prompted the decontamination and persistence studies described in this study. Decontamination studies evaluated the effectiveness of liquid-based surface decontaminants against pesticides on indoor surfaces. Building materials were contaminated with 25-2,400 μg/100cm2 of the pesticides malathion, carbaryl, fipronil, deltamethrin, and permethrin. Decontaminants included both off-the-shelf and specialized solutions representing various chemistries. Pesticides included in this study were found to be highly persistent in a dark indoor environment with surface concentrations virtually unchanged after 140 days. Indoor light conditions degraded some of the pesticides, but estimated half-lives exceeded the study period. Decontamination efficacy results indicated that the application of household bleach or a hydrogen peroxide-based decontaminant offered the highest efficacy, reducing malathion, fipronil, and deltamethrin by &gt;94-99% on some surfaces. Bleach effectively degraded permethrin (&gt;94%), but not carbaryl (&lt;70%) while the hydrogen peroxide containing products degraded carbaryl (&gt;71-99%) but not permethrin (&lt;54%). These results will inform responders, the general public and public health officials on potential decontamination solutions to remediate indoor surfaces.Copyright © 2020 Elsevier B.V. All rights reserved.  KEYWORDS:  MeSH Chemical: Pesticide Residues| Pesticides| Permethrin MeSH: | Decontamination| Humans| Permethrin/analysis| Pest Control| Pesticide Residues/majr/analysis| Pesticides/majr/analysis Other:cleanup|decontamination|misuse|persistence|pesticide</t>
  </si>
  <si>
    <t>Oudejans L, Mysz A, Gibb Snyder E, Wyrzykowska-Ceradini B, Nardin J, Tabor D, Starr J, Stout D, Lemieux P</t>
  </si>
  <si>
    <t>397</t>
  </si>
  <si>
    <t>122743</t>
  </si>
  <si>
    <t>A field study investigating the insecticidal efficacy against Diaphorina citri Kuwayama on Kinnow mandarin, Citrus reticulata Blanco trees.</t>
  </si>
  <si>
    <t>A field study investigating the insecticidal efficacy against Diaphorina citri Kuwayama on Kinnow mandarin, Citrus reticulata Blanco trees.    ABSTRACT:  Asian citrus psyllid is a most damaging insect pest of citrus. In this field study, the efficacy of seven insecticides (emamectin benzoate, bifenthrin, chlorfenapyr, fipronil, imidacloprid, pyriproxyfen and thiamethoxam) was evaluated against Diaphorina citri Kuwayama in the citrus orchard of Kinnow mandarin, Citrus reticulata Blanco. The insecticides revealed a differential and substantial relative efficacy against D. citri compared to the untreated plants. The insecticidal effect attributed as percent reduction in insect population was more prominent after three days of spray: highest reduction values were recorded with thiamethoxam (50.89%), imidacloprid (44.27%) and bifenthrin (42.94%) after first spray, and thiamethoxam (83.36%), imidacloprid (73.20%) and bifenthrin (72.66%) after second spray. Thus, neonicotinoids (thiamethoxam and imidacloprid) and pyrethroid (bifenthrin) resulted as highly effective against D. citri at three days after both sprays. At seven days, imidacloprid (63.53%) and fipronil (62.47%) presented relatively higher population reduction after first spray, and thiamethoxam (92.66%) and chlorfenapyr (89.59%) after second spray. At 12 days, the insecticidal effect on insect population became significantly at par after each spray except chlorfenapyr that reflected high population reduction (93.17%) only after second spray. It is also obvious from the data that there is need of regular monitoring to suppress the psyllids population below threshold level by timely application of the second insecticidal spray.© 2020 The Author(s).  KEYWORDS:  Other:Asian citrus psyllid|Citrus|Efficacy|Insecticides|Population reduction</t>
  </si>
  <si>
    <t>Iqbal J, Nazeer Hussain H, Latif M, Barjees Baig M, Owayss AA, Raweh HS, Alqarni AS</t>
  </si>
  <si>
    <t>Saudi journal of biological sciences</t>
  </si>
  <si>
    <t>1237-1241</t>
  </si>
  <si>
    <t>Spatiotemporal variation in occurrence and co-occurrence of pesticides, hormones, and other organic contaminants in rivers in the Chesapeake Bay Watershed, United States.</t>
  </si>
  <si>
    <t>McClure CM, Smalling KL, Blazer VS, Sperry AJ, Schall MK, Kolpin DW, Phillips PJ, Hladik ML, Wagner T</t>
  </si>
  <si>
    <t>728</t>
  </si>
  <si>
    <t>138765</t>
  </si>
  <si>
    <t>Double layer MOFs M-ZIF-8@ZIF-67: The adsorption capacity and removal mechanism of fipronil and its metabolites from environmental water and cucumber samples.</t>
  </si>
  <si>
    <t>Double layer MOFs M-ZIF-8@ZIF-67: The adsorption capacity and removal mechanism of fipronil and its metabolites from environmental water and cucumber samples.    ABSTRACT:  In this study, a novel metal-organic framework (M-ZIF-8@ZIF-67) was successfully prepared using the single layer Fe3O4-ZIF-8 as magnetic core and wrapped a layer of ZIF-67 outer. This M-ZIF-8@ZIF-67 was employed as an adsorbent for the adsorption and removal of fipronil and its metabolites from environmental water and cucumber samples. The characterization results suggested that M-ZIF-8@ZIF-67 has the double layer structure a polyhedral structure with uniform pores, while ZIF-67 was successfully coated on the surface of Fe3O4-ZIF-8. The unique structure endowed M-ZIF-8@ZIF-67 a high surface area (219 m2/g) and high adsorption capacity for fipronil, fipronil desulfinyl, fipronil sulfide and fipronil sulfone. To our knowledge, this is the first report detailing the adsorption properties of M-ZIF-8@ZIF-67 with double layer structure relating to the adsorption and removal of pesticides. Furthermore, the adsorption model analysis demonstrated that the static adsorption data fitted the Freundlich bimolecular layer adsorption model better than the Langmuir monolayer adsorption model. This study indicates that M-ZIF-8@ZIF-67 has significant potential in the adsorption and removal of fipronil and its metabolites in water and vegetable samples.© 2020 THE AUTHORS. Published by Elsevier BV on behalf of Cairo University.  KEYWORDS:  Other:Adsorption|Double layer Metal-organic framework|M-ZIF-8@ZIF-67|Removal|Water and Cucumber samples</t>
  </si>
  <si>
    <t>Li T, Lu M, Gao Y, Huang X, Liu G, Xu D</t>
  </si>
  <si>
    <t>Journal of advanced research</t>
  </si>
  <si>
    <t>159-166</t>
  </si>
  <si>
    <t>Evaluation of toxicological responses and promising biomarkers of topmouth gudgeon (Pseudorasbora parva) exposed to fipronil at environmentally relevant levels.</t>
  </si>
  <si>
    <t>Evaluation of toxicological responses and promising biomarkers of topmouth gudgeon (Pseudorasbora parva) exposed to fipronil at environmentally relevant levels.    ABSTRACT:  Fipronil is an insecticide commonly used in agriculture. We report here on the sublethal and sub-chronic effects of fipronil on non-target topmouth gudgeon (Pseudorasbora parva) at environmentally relevant levels. The results showed that fipronil did not cause significant changes in brain acetylcholinesterase activities, glutathione S-transferase (GST) activities in the intestine, and GST, glutamic pyruvic transaminase (GPT), and glutamic oxaloacetic transaminase (GOT) activities in the liver tissues at environmentally relevant levels for 96-h exposure. In the further test for a 12-day exposure, dose-dependent responses of the serum GPT and GOT activities were observed in all treated groups with sublethal concentrations of fipronil. Furthermore, fipronil could reduce the liver mitochondrial membrane fluidity of P. parva, especially with high concentration of fipronil at high temperature. The results suggest that serum GPT and GOT in P. parva might be useful biomarkers for effects of fipronil exposure at environmentally relevant level, and reducing fluidity of liver mitochondrial membrane may be one toxic mechanism of fipronil.  KEYWORDS:  MeSH Chemical: Biomarkers| Insecticides| Pyrazoles| fipronil MeSH: | Animals| Biomarkers| Cyprinidae/majr| Insecticides/majr| Pyrazoles Other:Biomarkers|Environmentally relevant levels|Fipronil|Membrane fluidity|Pseudorasbora parva|Transaminase</t>
  </si>
  <si>
    <t>Li H, Zhang R, Sun F, Zhang Y</t>
  </si>
  <si>
    <t>24081-24089</t>
  </si>
  <si>
    <t>Efficient degradation of Fipronil in water by microwave-induced argon plasma: Mechanism and degradation pathways.</t>
  </si>
  <si>
    <t>Qian C, Dai J, Tian Y, Duan Y, Li Y</t>
  </si>
  <si>
    <t>725</t>
  </si>
  <si>
    <t>138487</t>
  </si>
  <si>
    <t>Investigating the effects of fipronil on male fertility: Insight into the mechanism of capacitation.</t>
  </si>
  <si>
    <t>Bae JW, Kwon WS</t>
  </si>
  <si>
    <t>Reproductive toxicology (Elmsford, N.Y.)</t>
  </si>
  <si>
    <t>94</t>
  </si>
  <si>
    <t>1-7</t>
  </si>
  <si>
    <t>Efficacy of ozone for removal of pesticides, metals and indicator virus from reverse osmosis concentrates generated during potable reuse of municipal wastewaters.</t>
  </si>
  <si>
    <t>King JF, Szczuka A, Zhang Z, Mitch WA</t>
  </si>
  <si>
    <t>115744</t>
  </si>
  <si>
    <t>Time-dependent effects on bumble bees of dietary exposures to farmland insecticides (imidacloprid, thiamethoxam and fipronil).</t>
  </si>
  <si>
    <t>Mulvey J, Cresswell JE</t>
  </si>
  <si>
    <t>2846-2853</t>
  </si>
  <si>
    <t>Enantioselective endocrine-disrupting effects of the phenylpyrazole chiral insecticides in vitro and in silico.</t>
  </si>
  <si>
    <t>Enantioselective endocrine-disrupting effects of the phenylpyrazole chiral insecticides in vitro and in silico.    ABSTRACT:  The phenylpyrazole chiral insecticides, including the widely used fipronil, ethiprole, and flufiprole, have generated a worldwide interest due to their environmental toxicity. However, up to now,only few studies focused on their their potential endocrine-disrupting effects (EDEs). In this study, we investigated the endocrine hormonal disorder caused by the fipronil, ethiprole, and flufiprole enantiomers in vitro and in silico approach. Results of the luciferase reporter assay indicated that the enantiomers of fipronil, ethiprole, or flufiprole have shown stereoselective endocrine-disrupting effects. S-(-)-ethiprole and S-(-)-flufiprole have anti-thyroidal disorder effects whereas R-(-)-fipronil, R-(+)-ethiprole, and R-(+)-flufiprole showed anti-estrogenic disorder effects. The results of the molecular dynamics simulations revealed that the happened EDEs could be partially attributed to the enantioselective specific receptor binding affinities. It also suggested that Vander Waals interactions plays an important role in the binding procedure. This study could provide helpful information for the explanation of enantioselectivity in the EDEs of chiral phenylpyrazole pesticides at the molecular level.Copyright © 2020 Elsevier Ltd. All rights reserved.  KEYWORDS:  MeSH Chemical: Endocrine Disruptors| Insecticides| Pesticides| Pyrazoles| ethiprole| 1-(2,6-dichloro-4-trifluoromethylphenyl)-5-(N-(2-methylprop-2-enyl)amino)-4-trifluoromethylsulfinylpyrazole-3-carbonitrile| fipronil MeSH: | Animals| Computer Simulation| Endocrine Disruptors/majr/chemistry/toxicity| Insecticides/majr/chemistry/toxicity| Pesticides/chemistry| Pyrazoles/toxicity| Stereoisomerism Other:Endocrine-disrupting effects|Molecular dynamics|Phenylpyrazole insecticides|Reporter gene</t>
  </si>
  <si>
    <t>Hu K, Zhou L, Gao Y, Lai Q, Shi H, Wang M</t>
  </si>
  <si>
    <t>252</t>
  </si>
  <si>
    <t>126572</t>
  </si>
  <si>
    <t>Insecticide Resistance, and Its Effects on Bait Performance in Field-Collected German Cockroaches (Blattodea: Ectobiidae) From Taiwan.</t>
  </si>
  <si>
    <t>Hu IH, Chen SM, Lee CY, Neoh KB</t>
  </si>
  <si>
    <t>113</t>
  </si>
  <si>
    <t>1389-1398</t>
  </si>
  <si>
    <t>Do rainfall and tick burden affect the efficacy of pour-on formulations against Rhipicephalus (Boophilus) microplus?</t>
  </si>
  <si>
    <t>Beltrán Zapa DM, Monteiro Couto LF, Heller LM, de Assis Cavalcante AS, Nicaretta JE, Cruvinel LB, de Melo Júnior RD, Ferreira LL, Azeredo Bastos TS, Edesio Soares V, Sousa Mello IA, Zanetti Lopes WD</t>
  </si>
  <si>
    <t>Preventive veterinary medicine</t>
  </si>
  <si>
    <t>104950</t>
  </si>
  <si>
    <t>Emergence of fipronil resistant Rhipicephalus microplus populations in Indian states.</t>
  </si>
  <si>
    <t>Emergence of fipronil resistant Rhipicephalus microplus populations in Indian states.    ABSTRACT:  The intensive usage of chemical acaricides for the control of the cattle tick Rhipicephalus microplus has resulted in the development and establishment of multi-acaricide resistant populations. Fipronil, a phenylpyrazole insecticide, is currently marketed in India for the management of this important veterinary tick species. Here, we tested Indian isolates of R. microplus which have developed multi-acaricide resistance, for their susceptibility to fipronil. Twenty-five field isolates from five agro-climatic zones of the country were collected and tested by adult immersion test (AIT) and larval packet test (LPT). Sixteen isolates with resistance factor (RF) in the range of 1.56-10.9 were detected using LPT, whereas only 11 isolates with RF ranging from 1.05 to 4.1 were detected using AIT. A significant variation of RF between both tests was found, which raises doubt about the suitability of larva-based assays in screening of fipronil resistance. The data indicated possible cross-resistance between groups of acaricides in fipronil-resistant tick populations.  KEYWORDS:  MeSH Chemical: Acaricides| Pyrazoles| fipronil MeSH: | Acaricides/majr| Animals| Cattle| Cattle Diseases/majr/parasitology| India| Insecticide Resistance/majr| Pyrazoles/majr| Rhipicephalus/majr Other:Acaricide|Fipronil|India|Resistance|Rhipicephalus microplus</t>
  </si>
  <si>
    <t>Shakya M, Kumar S, Fular A, Upadhaya D, Sharma AK, Bisht N, Nandi A, Ghosh S</t>
  </si>
  <si>
    <t>80</t>
  </si>
  <si>
    <t>591-602</t>
  </si>
  <si>
    <t>Multiple acaricide-resistant Rhipicephalus microplus in the semi-arid region of Paraíba State, Brazil.</t>
  </si>
  <si>
    <t>Multiple acaricide-resistant Rhipicephalus microplus in the semi-arid region of Paraíba State, Brazil.    ABSTRACT:  Rhipicephalus microplus is responsible for major economic losses in cattle ranching in Brazil, and the development of multiple acaricide resistance is a major concern to control this ectoparasite. To determine the resistance of R. microplus to acaricides in 26 ranches in the semi-arid region of Paraíba State, Brazil, larval assays were performed with cypermethrin, chlorpyriphos, amitraz, ivermectin and fipronil and resistance was observed in all locations. The frequency of populations resistant to cypermethrin, chlorpyriphos, amitraz and ivermectin was, respectively, 96 %, 72 %, 83 % and 92 % while none was resistant to fipronil. Resistance to one, two, three and four acaricides was recorded, respectively, in 4 %, 15 %, 31 % and 50 % of the farms. Errors in the control management of R. microplus determined the development of resistance to acaricides in all evaluated properties pointing towards development of new strategies for its control. In order to control multiple acaricide-resistant cattle tick populations in this area it is recommended to apply suppressive treatments with fipronil and/ or fluazuron.Copyright © 2020 Elsevier GmbH. All rights reserved.  KEYWORDS:  MeSH Chemical: Acaricides MeSH: | Acaricides/majr/pharmacology| Animals| Brazil| Drug Resistance, Multiple/majr| Female| Larva/drug effects/growth &amp; development| Rhipicephalus/majr/drug effects/growth &amp; development Other:In vitro larval bioassays|Rhipicephalus microplus</t>
  </si>
  <si>
    <t>Vilela VLR, Feitosa TF, Bezerra RA, Klafke GM, Riet-Correa F</t>
  </si>
  <si>
    <t>101413</t>
  </si>
  <si>
    <t>Reprotoxic effects of the systemic insecticide fipronil on the butterfly Pieris brassicae.</t>
  </si>
  <si>
    <t>Reprotoxic effects of the systemic insecticide fipronil on the butterfly Pieris brassicae.    ABSTRACT:  In addition to controlling pest organisms, the systemic neurotoxic pesticide fipronil can also have adverse effects on beneficial insects and other non-target organisms. Here, we report on the sublethal effects of fipronil on the farmland butterfly Pieris brassicae. Caterpillars were reared on plants that had been grown from seeds coated with fipronil or on leaf discs topically treated with a range of fipronil dosages (1-32 µg kg-1 on dry mass basis). Females that had developed on fipronil plants laid ca half the number of eggs than females that had developed on control plants. In the bioassay with leaf discs, longevity and lifetime egg production declined with increasing fipronil dosage. Remarkably, exposure to fipronil during larval development primarily affected the adult stage. Chemical analyses of leaf tissues collected from seed-treated plants revealed concentrations of fipronil and its degradation products close to the analytical limit of detection (less than or equal to 1 µg kg-1). The effective dosage was fivefold higher in the leaf-disc than in the whole-plant experiment. In the whole plant, degradation of fipronil to products that are more toxic than fipronil may explain this discrepancy. Neurotoxicity of insecticides at the level of detection decreases the probability of pinpointing insecticides as the causal agent of harmful effects on non-target organisms.  KEYWORDS:  MeSH Chemical: Insecticides| Pyrazoles| fipronil MeSH: | Animals| Butterflies/majr/physiology| Insecticides/majr/toxicity| Pyrazoles/majr/toxicity| Reproduction/drug effects Other:insect decline|pesticide|sublethal effects|toxicity</t>
  </si>
  <si>
    <t>Gols R, WallisDeVries MF, van Loon JJA</t>
  </si>
  <si>
    <t>Proceedings. Biological sciences</t>
  </si>
  <si>
    <t>287</t>
  </si>
  <si>
    <t>1922</t>
  </si>
  <si>
    <t>20192665</t>
  </si>
  <si>
    <t>Long-Tailed Silverfish (Ctenolepisma longicaudata) Control; Bait Choice Based on Primary and Secondary Poisoning.</t>
  </si>
  <si>
    <t>Long-Tailed Silverfish (Ctenolepisma longicaudata) Control; Bait Choice Based on Primary and Secondary Poisoning.    ABSTRACT:  The long-tailed silverfish (Ctenolepisma longicaudata) has recently made its appearance and demonstrated a tremendous proliferation in Norway, where it is currently considered a major indoor nuisance pest in modern buildings. To reduce the risk of human pesticide exposure, several baits with indoxacarb, clothianidin, fipronil or imidacloprid as the active ingredient were investigated to provide knowledge regarding their potential for integrated pest management solutions. Primary and secondary poisoning, as well as the durability of baits, were experimentally evaluated in bioassays. Baits with indoxacarb, clothianidin and fipronil killed more than 90% of the experimental insects (primary poisoning) when presented in competition with food. Only indoxacarb produced high mortality when dead conspecifics were consumed (secondary poisoning) and resulted in more than 75% mortality. The efficacy of baits with indoxacarb against C. longicaudata was also found to be very long. Laboratory degraded baits were consumed and induced high levels of mortality for more than a month, and field degraded baits for more than 6 months. Adults and juveniles were equally affected in the experiments. Primary and secondary toxicity in combination with long durability and effects on both life stages tested suggest that the bait has high-level potential as a safe control strategy against the long-tailed silverfish if indoxacarb is used as the active ingredient.  KEYWORDS:  Other:IPM|durability|efficiency|pest|pesticide survival</t>
  </si>
  <si>
    <t>Aak A, Hage M, Rukke BA</t>
  </si>
  <si>
    <t>Spatial variation of fipronil and its derivatives in tap water and ground water from China and the fate of them during drinking water treatment in Wuhan, central China.</t>
  </si>
  <si>
    <t>Shi L, Chen L, Wan Y, Zeng H, Xia W</t>
  </si>
  <si>
    <t>251</t>
  </si>
  <si>
    <t>126385</t>
  </si>
  <si>
    <t>Measuring bioconcentration factors of sediment-associated fipronil in Lumbriculus variegatus using passive sampling techniques.</t>
  </si>
  <si>
    <t>Measuring bioconcentration factors of sediment-associated fipronil in Lumbriculus variegatus using passive sampling techniques.    ABSTRACT:  Fipronil and its degradates have been detected ubiquitously in aquatic environment worldwide, yet little is known about its bioaccumulation potential. The goal of the present study was to measure bioconcentration factor (BCF) of sediment-associated fipronil in a benthic invertebrate, Lumbriculus variegatus using passive sampling techniques. Three passive samplers including polymethyl methacrylate (PMMA) film, poly(dimethylsiloxane) fiber and polyacrylate fiber were evaluated. PMMA film was identified as the preferred method and was applied to determine fipronil log KOC (3.77 ± 0.04). BCF of sediment-associated fipronil in L. variegatus was obtained through measuring freely dissolved concentration (Cfree). Because fipronil degraded in sediment, time weighted average (TWA) Cfree was estimated for calculating BCFTWA (1855 ± 293 mL/g lipid). Fipronil BCF was also measured in a water-only bioaccumulation test of L. variegatus under constant exposure condition. This BCF value (1892 ± 76 mL/g lipid) was comparable with the BCFTWA, validating effectiveness of the passive sampling method for the measurement of sediment Cfree. Fipronil was bioaccumulative in L. variegatus according to the USEPA's criteria. The combination of Cfree and TWA concentration measurements was demonstrated to properly determine BCF value for moderately hydrophobic and degradable chemicals in sediment.Copyright © 2020 Elsevier B.V. All rights reserved.  KEYWORDS:  MeSH Chemical: Insecticides| Polymers| Pyrazoles| Water Pollutants, Chemical| fipronil MeSH: | Animals| Bioaccumulation| Environmental Monitoring/majr/instrumentation/methods| Geologic Sediments| Insecticides/majr/metabolism| Oligochaeta/majr/metabolism| Polymers/chemistry| Pyrazoles/majr/metabolism| Water Pollutants, Chemical/majr/metabolism Other:Benthic invertebrates|Bioaccumulation|Fipronil|Passive sampling|Sediment</t>
  </si>
  <si>
    <t>Wang S, Lao W, Li H, You J</t>
  </si>
  <si>
    <t>393</t>
  </si>
  <si>
    <t>122420</t>
  </si>
  <si>
    <t>Long-Term Fipronil Treatment Induces Hyperactivity in Female Mice.</t>
  </si>
  <si>
    <t>Long-Term Fipronil Treatment Induces Hyperactivity in Female Mice.    ABSTRACT:  Fipronil is an insecticide widely used for veterinary and agricultural purposes. While its insecticidal properties mostly rely on its high affinity antagonistic activity on insect γ aminobutyric acid (GABA) receptors, fipronil and its main metabolite fipronil sulfone nevertheless display non-negligible affinity for mammalian GABAA receptor. As several environmental toxicants have been shown to raise the risk of developing various neurodegenerative disorders, the aim of this study was to evaluate whether long-term low dose administration of fipronil could lead to cognitive deficiencies. Our results indicate that long-term fipronil treatment leads to behavioral perturbations in mice, indicating an accumulative effect of sustained exposure to low dose of fipronil. Although no memory impairment was observed during the course of our study, we noticed a significant hyperlocomotion behavior after 43 weeks of weekly fipronil administration, which is consistent with its direct effect on the GABAergic system.  KEYWORDS:  MeSH Chemical: Insecticides| Pyrazoles| Receptors, GABA| gamma-Aminobutyric Acid| fipronil MeSH: | Animals| Female| Hyperkinesis/majr/chemically induced| Insecticides/majr/toxicity| Mice| Pyrazoles/majr/toxicity| Receptors, GABA/drug effects| gamma-Aminobutyric Acid Other:Dementia|Fipronil|Hyperlocomotion|Insecticide|Memory Impairment</t>
  </si>
  <si>
    <t>Koslowski S, Latapy C, Auvray P, Blondel M, Meijer L</t>
  </si>
  <si>
    <t>Honeybee gut microbiota dysbiosis in pesticide/parasite co-exposures is mainly induced by Nosema ceranae.</t>
  </si>
  <si>
    <t>Paris L, Peghaire E, Moné A, Diogon M, Debroas D, Delbac F, El Alaoui H</t>
  </si>
  <si>
    <t>Journal of invertebrate pathology</t>
  </si>
  <si>
    <t>107348</t>
  </si>
  <si>
    <t>Evaluation of Fipronil Susceptibility in the Lone Star Tick (Acari: Ixodidae).</t>
  </si>
  <si>
    <t>Evaluation of Fipronil Susceptibility in the Lone Star Tick (Acari: Ixodidae).    ABSTRACT:  The lone star tick, Amblyomma americanum Linnaeus, is ubiquitously present in the southeastern United States and will readily parasitize humans and companion animals. Fipronil is the active ingredient in several topically applied products used to manage ticks and fleas on companion animals. Reducing ectoparasite infestations on companion animals decreases the risk that pathogens vectored by these pests are transmitted to these animals and their owners. However, dependence on acaricides can promote the development of resistance. In this study, the Food and Agriculture Organization of the United Nations larval packet test was used to determine the lethal concentration (LC) values and discriminating concentration (DC) for fipronil in the lone star tick. The DC was calculated as 0.02080%. The low magnitude of the DC value suggests that fipronil is an effective active ingredient for A. americanum management. With the LC and DC values determined, emergent resistance can be monitored, potentially allowing for intervention should tolerance develop in A. americanum populations that are in frequent contact with humans and their companion animals.© The Author(s) 2020. Published by Oxford University Press on behalf of Entomological Society of America. All rights reserved. For permissions, please e-mail: journals.permissions@oup.com.  KEYWORDS:  MeSH Chemical: Acaricides| Pyrazoles| fipronil MeSH: | Acaricides/majr| Amblyomma/majr/growth &amp; development| Animals| Drug Resistance| Larva/growth &amp; development| Pyrazoles/majr| Tick Control/majr Other:acaricide resistance|discriminating concentration|fipronil resistance|larval packet test</t>
  </si>
  <si>
    <t>Kaplan ZD, Richardson EA, Kaufman PE, Weeks ENI</t>
  </si>
  <si>
    <t>1314-1317</t>
  </si>
  <si>
    <t>The pesticide fipronil injected into the substantia nigra of male rats decreases striatal dopamine content: A neurochemical, immunohistochemical and behavioral study.</t>
  </si>
  <si>
    <t>Bharatiya R, Bratzu J, Lobina C, Corda G, Cocco C, De Deurwaerdere P, Argiolas A, Melis MR, Sanna F</t>
  </si>
  <si>
    <t>Behavioural brain research</t>
  </si>
  <si>
    <t>384</t>
  </si>
  <si>
    <t>112562</t>
  </si>
  <si>
    <t>Visceral leishmaniasis on the Indian Subcontinent: Efficacy of fipronil-based cattle treatment in controlling sand fly populations is dependent on specific aspects of sand fly ecology.</t>
  </si>
  <si>
    <t>Poché DM, Wang HH, Grant WE</t>
  </si>
  <si>
    <t>PLoS neglected tropical diseases</t>
  </si>
  <si>
    <t>e0008011</t>
  </si>
  <si>
    <t>Changes of various insecticides during in vitro human digestion.</t>
  </si>
  <si>
    <t>Changes of various insecticides during in vitro human digestion.    ABSTRACT:  This study was performed to determine the effects of in vitro human digestion on the concentrations of five insecticides, namely 1,1,1-trichloro-2,2-bis(p-chlorophenyl)ethane (DDT), 1,1-dichloro-2,2-bis(p-chlorophenyl)ethane (DDD), 2,2-bis(p-chlorophenyl)-1,1-dichloroethylene (DDE), bifenthrin, and fipronil. In vitro models included all the steps of human digestion, i.e., passage through the mouth, stomach, small intestine, and large intestine (with enteric bacteria). The concentrations of DDT and fipronil did not change (P &gt; 0.05) until small intestinal digestion, whereas those of DDD, DDE, and bifenthrin decreased (P &lt; 0.05) at each digestion step. The concentrations of all the insecticides decreased (P &lt; 0.05) during the large intestinal digestion step with enteric bacteria, Lactobacillus sakei and Escherichia coli. In conclusion, the concentrations of all the tested insecticides decreased during all the steps of in vitro human digestion and were especially reduced by enteric bacteria during the large intestinal digestion step.  KEYWORDS:  MeSH Chemical: Insecticides| Dichlorodiphenyl Dichloroethylene| DDT| Dichlorodiphenyldichloroethane MeSH: | DDT/analysis| Dichlorodiphenyl Dichloroethylene/analysis| Dichlorodiphenyldichloroethane/analysis| Humans| Insecticides/majr/analysis Other:Digestive enzyme|Enteric bacteria|In vitro human digestion|Insecticide</t>
  </si>
  <si>
    <t>Kim HS, Lee SY, Hur SJ</t>
  </si>
  <si>
    <t>14207-14215</t>
  </si>
  <si>
    <t>Modification of the head proteome of nurse honeybees (Apis mellifera) exposed to field-relevant doses of pesticides.</t>
  </si>
  <si>
    <t>Zaluski R, Bittarello AC, Vieira JCS, Braga CP, Padilha PM, Fernandes MDS, Bovi TS, Orsi RO</t>
  </si>
  <si>
    <t>2190</t>
  </si>
  <si>
    <t>Biodegradation of Chiral Flufiprole in Chlorella pyrenoidosa: Kinetics, Transformation Products, and Toxicity Evaluation.</t>
  </si>
  <si>
    <t>Biodegradation of Chiral Flufiprole in Chlorella pyrenoidosa: Kinetics, Transformation Products, and Toxicity Evaluation.    ABSTRACT:  Pesticide pollution of surface water represents a considerable risk for algae and thus affects the structure and stability of aquatic ecosystems. To investigate the risk of flufiprole to phytoplankton, the digestion and uptake of flufiprole as well as the toxic effects of flufiprole enantiomers and the six metabolites to Chlorella pyrenoidosa were investigated. Flufiprole enantiomers were mainly metabolized to flufiprole amide and detrifluoromethylsulfinyl flufiprole in culture medium, while various metabolites were formed in algae, notably the amide derivative and fipronil. Chlorella pyrenoidosa showed a strong absorption capacity for the flufiprole series. The EC50 values (96 h) indicated that fipronil was the most toxic compound, approximately 5 times as toxic as rac-flufiprole. R-flufiprole was more toxic than S-flufiprole. The contents of chlorophylls, malondialdehyde (MDA), reactive oxygen species (ROS), and total antioxidant capacity (T-AOC) were significantly altered by the chemicals in most cases, especially fipronil. Our results supported the potential detrimental effect of the metabolites of flufiprole on algae.  KEYWORDS:  MeSH Chemical: Insecticides| Pyrazoles| Reactive Oxygen Species| Water Pollutants, Chemical| Chlorophyll| Malondialdehyde| 1-(2,6-dichloro-4-trifluoromethylphenyl)-5-(N-(2-methylprop-2-enyl)amino)-4-trifluoromethylsulfinylpyrazole-3-carbonitrile MeSH: | Biodegradation, Environmental| Biotransformation| Chlorella/majr/drug effects/metabolism| Chlorophyll/metabolism| Insecticides/majr/chemistry/metabolism/toxicity| Kinetics| Malondialdehyde/metabolism| Pyrazoles/majr/chemistry/metabolism/toxicity| Reactive Oxygen Species/metabolism| Stereoisomerism| Water Pollutants, Chemical/chemistry/metabolism/toxicity Other:Algae|Enantioselectivity|Flufiprole|Metabolites|Toxicity</t>
  </si>
  <si>
    <t>Gao J, Wang F, Jiang W, Han J, Wang P, Liu D, Zhou Z</t>
  </si>
  <si>
    <t>1966-1973</t>
  </si>
  <si>
    <t>One pot solvothermal synthesis of novel fluorescent phloem-mobile phenylpyrazole amide pesticides fused olefin moieties to enhance insecticidal bioactivities and photodegradation properties.</t>
  </si>
  <si>
    <t>Wu Z, Du Y, Zhou Q, Chen L</t>
  </si>
  <si>
    <t>163</t>
  </si>
  <si>
    <t>51-63</t>
  </si>
  <si>
    <t>Tick paralysis in a free-ranging bobcat (Lynx rufus).</t>
  </si>
  <si>
    <t>Tick paralysis in a free-ranging bobcat (Lynx rufus).    ABSTRACT:  A free-ranging male bobcat (Lynx rufus) was evaluated because of signs of pelvic limb paralysis.Physical examination of the anesthetized animal revealed tick infestation, normal mentation, and a lack of evidence of traumatic injuries. Radiography revealed no clinically relevant abnormalities. Hematologic analysis results were generally unremarkable, and serologic tests for exposure to feline coronavirus, FeLV, FIV, and Toxoplasma gondii were negative. Results of PCR assays for flea- and common tick-borne organisms other than Bartonella clarridgeiae were negative.Ticks were manually removed, and the patient received supportive care and fipronil treatment. The bobcat made a full recovery within 72 hours after treatment for ticks, and a presumptive diagnosis of tick paralysis was made. Identified tick species included Dermacenter variabilis, Amblyomma americanum, and Ixodes scapularis.To the authors' knowledge, tick paralysis has not previously been reported in felids outside Australia. This disease should be considered a differential diagnosis in felids, including exotic cats, with signs of neuromuscular disease of unknown etiopathogenesis.  KEYWORDS:  MeSH: | Animals| Australia| Bartonella| Lynx/majr| Male| Tick Infestations/majr/diagnosis/veterinary| Tick Paralysis/majr/diagnosis/veterinary</t>
  </si>
  <si>
    <t>Persky ME, Jafarey YS, Christoff SE, Maddox DD, Stowell SA, Norton TM</t>
  </si>
  <si>
    <t>Journal of the American Veterinary Medical Association</t>
  </si>
  <si>
    <t>256</t>
  </si>
  <si>
    <t>362-364</t>
  </si>
  <si>
    <t>[Study on Fipronil and Other Pesticide Residues in Chicken Eggs Produced and Sold in Japan].</t>
  </si>
  <si>
    <t>[Study on Fipronil and Other Pesticide Residues in Chicken Eggs Produced and Sold in Japan].    ABSTRACT:  In some of the EU member countries, Hong Kong, South Korea, and Taiwan, chicken eggs contaminated by fipronil used without authorization were identified and widely reported. The Ministry of Health, Labour and Welfare of Japan stated no contaminated imports had been found in the country while promising to strengthen monitoring chicken eggs coming from those areas. Meanwhile, there are no reports published to show whether or not chicken eggs produced in Japan contain such pesticide. This paper, therefore, examined 50 commercial brands of chicken eggs produced and sold in Japan to identify 116 kinds of agricultural chemicals including fipronil.None of these brands contained fipronil. Among the 50 brands studied, 45 brands did not include any of the 116 kinds of agricultural chemicals. Spinosad was detected in the four brands with the concentration levels ranging from a trace to 0.019 ppm. Diflubenzuron was found at 0.005 ppm in one of the chicken brands. No brands exceeded the maximum residue limits.  KEYWORDS:  MeSH Chemical: Pesticide Residues| Pyrazoles| fipronil MeSH: | Animals| Chickens| Eggs/majr/analysis| Food Contamination/majr/analysis| Japan| Pesticide Residues/majr/analysis| Pyrazoles/majr/analysis Other:LC-MS/MS|egg produced and sold in Japan|pesticide residues</t>
  </si>
  <si>
    <t>Hatta S, Odagawa Y, Izumi J, Nakamae S</t>
  </si>
  <si>
    <t>60</t>
  </si>
  <si>
    <t>154-158</t>
  </si>
  <si>
    <t>A Study on Infestation Factors of Cycas and Zamia Palms with Butterfly, &lt;i&gt;Chilades pandava&lt;/i&gt; and its Control in Egypt.</t>
  </si>
  <si>
    <t>A Study on Infestation Factors of Cycas and Zamia Palms with Butterfly, &lt;i&gt;Chilades pandava&lt;/i&gt; and its Control in Egypt.    ABSTRACT:  Cycas revoluta and Zamia encephalartoides were commercially ornamental palms. Butterfly, Chilades pandava was an important pest of ornamental palms either cycas or zamia. Impact factors on C. pandava infestations on cycas and zamia palms were studied.Two field experiments were carried out during the period from 1st January-15th December, 2018 in a private palm nursery at Abu-Ghaleb village, Giza, Egypt to study the infestation of C. pandava on cycas and zamia palms and also, provided its control strategies.The infested percent of C. pandava was recorded the highest values at 1st week of May and September, 2018 with 63.89 % on cycas palms. Whereas, the high value of the infestation percent was 66.67% on zamia palms. A positive effect was reported with maximum and minimum temperatures but a negative effect was recorded with average RH% on C. pandava infestations. The increasing of the C. pandava infestations decreased these 2 plant enzymes, peroxidase and phenoloxidase. The average reduction percentages of the tested 9 pesticides against C. pandava infestations on cycas palms were markedly higher in case of sulfur 70% SC and fipronil 80% WG being 69.88 and 61.30% reductions than other treatments after 3 sequential applications throughout 3 months, respectively.Chilades pandava infestation was higher on cycas palms than zamia palms. Sulfur and Fipronil were more efficacy pesticides against this pest.  KEYWORDS:  MeSH Chemical: Insecticides| Sulfur| Peroxidases MeSH: | Animals| Butterflies/majr/physiology| Cycas/majr/physiology| Egypt| Insecticides/majr| Peroxidases/metabolism| Pest Control/methods| Plant Diseases| Seasons| Sulfur| Zamiaceae/majr/physiology Other:Chilades pandava|control|cycas|infestation|lepidoptera|lycaenidae|pesticides|zamia</t>
  </si>
  <si>
    <t>Batt MAE, Hassan GM, El-Aassar MR</t>
  </si>
  <si>
    <t>Pakistan journal of biological sciences : PJBS</t>
  </si>
  <si>
    <t>477-485</t>
  </si>
  <si>
    <t>Changes in insecticide resistance and host range performance of planthoppers artificially selected to feed on resistant rice.</t>
  </si>
  <si>
    <t>Horgan FG, Garcia CPF, Haverkort F, de Jong PW, Ferrater JB</t>
  </si>
  <si>
    <t>Crop protection (Guildford, Surrey)</t>
  </si>
  <si>
    <t>104963</t>
  </si>
  <si>
    <t>Phospholipid imaging of zebrafish exposed to fipronil using atmospheric pressure matrix-assisted laser desorption ionization mass spectrometry.</t>
  </si>
  <si>
    <t>Phospholipid imaging of zebrafish exposed to fipronil using atmospheric pressure matrix-assisted laser desorption ionization mass spectrometry.    ABSTRACT:  Mass spectrometry imaging can effectively detect and reflect the information of molecular spatial distribution, and has been widely used for in situ analysis of endogenous or exogenous molecules in organisms. The present work applied the atmospheric pressure matrix-assisted laser desorption ionization mass spectrometry (AP-MALDI-MS) in the imaging of whole zebrafish slices exposed to fipronil. The chemical fingerprints in the range of m/z 600-950 showed significant differences in phospholipids between the fipronil exposed and untreated zebrafish groups. The major perturbed phospholipids were identified as PC(34:2), PC(34:1), PC(34:2)+Na, PC(36:4), PC(38:6), and PS(18:0/22:6), PI(18:0/20:4), PI(18:1/20:4) etc. Our results indicated that the exposure of fipronil obviously affected the phospholipid metabolism of zebrafish, especially of the fish eye region. Our work provides a new method or possibility for toxicological study and related metabolic analysis of pesticides in animals.Copyright © 2019 Elsevier B.V. All rights reserved.  KEYWORDS:  MeSH Chemical: Phospholipids| Pyrazoles| fipronil MeSH: | Animals| Atmospheric Pressure| Phospholipids/majr/analysis/metabolism| Pyrazoles/majr/toxicity| Spectrometry, Mass, Matrix-Assisted Laser Desorption-Ionization/methods| Zebrafish Other:Fipronil|In vivo phospholipids|MALDI|Mass spectrometry imaging|Zebrafish</t>
  </si>
  <si>
    <t>Liu W, Nie H, Liang D, Bai Y, Liu H</t>
  </si>
  <si>
    <t>120357</t>
  </si>
  <si>
    <t>Oxidative stress, hematological and biochemical alterations induced by sub-acute exposure to fipronil (COACH®) in albino mice and ameliorative effect of selenium plus vitamin E.</t>
  </si>
  <si>
    <t>Abouelghar GE, El-Bermawy ZA, Salman HMS</t>
  </si>
  <si>
    <t>7886-7900</t>
  </si>
  <si>
    <t>277S</t>
  </si>
  <si>
    <t>Efficacy of Broadline® in cats against induced infections with developing fourth-stage larval and adult Ancylostoma ceylanicum hookworms.    ABSTRACT:  Ancylostomaceylanicum hookworms parasitize dogs and cats in subtropical and tropical South East Asia and Pacific region, the Arab Peninsula, southern Africa and South America but cause patent infections in humans too. To evaluate the efficacy of Broadline®, a combination product comprising eprinomectin, fipronil, (S)-methoprene and praziquantel, against developing fourth-larval stage (L4) and adult A. ceylanicum in cats, a blinded, induced infection study was conducted. Following oral inoculation of 24 purpose bred cats with ˜300 infectious A. ceylanicum larvae each, cats were allocated to one of three groups of eight animals, each which served either as untreated controls or received Broadline® (once topically at the minimum label dose of 0.12mL per kg bodyweight) when the hookworms were L4 (five days post inoculation, dpi) or adults (25 dpi). Efficacy was determined on nematode counts following necropsy of the cats. Fecal examination at 22 dpi confirmed that all cats of the control group and of the group to be treated when the hookworms were adult were excreting hookworm eggs (range, 100 to 1000 eggs per gram) while no eggs were recovered from the feces of the cats treated with Broadline® 5 dpi. Nematode counts established 35 dpi demonstrated that Broadline® treatment was 100% efficacious against both, developing L4 and adult A. ceylanicum: no hookworms were recovered from any Broadline®-treated cat while all control animals harbored A. ceylanicum (range, 8-35) (p&lt;0.001). No health problems were observed throughout the study.Copyright © 2020 The Authors. Published by Elsevier B.V. All rights reserved.  KEYWORDS:  Other:(S)-methoprene|Ancylostoma ceylanicum|Cat|Efficacy|Eprinomectin|Fipronil|Nematodes|Praziquantel</t>
  </si>
  <si>
    <t>Transcriptomic modifications of the thyroid gland upon exposure to phytosanitary-grade fipronil: Evidence for the activation of compensatory pathways.</t>
  </si>
  <si>
    <t>Martin PGP, Dupouy V, Leghait J, Pineau T, Polizzi A, Lasserre F, Roques BB, Viguié C</t>
  </si>
  <si>
    <t>389</t>
  </si>
  <si>
    <t>114873</t>
  </si>
  <si>
    <t>Multi-residue analytical method for trace detection of new-generation pesticides in vegetables using gas chromatography-tandem mass spectrometry.</t>
  </si>
  <si>
    <t>Multi-residue analytical method for trace detection of new-generation pesticides in vegetables using gas chromatography-tandem mass spectrometry.    ABSTRACT:  A GC-MS/MS method with low solvent consumption and easy operation was developed to simultaneously determine ten new-generation pesticides, namely fenobucarb, acetochlor, pretilachlor, fipronil, trifloxystrobin, fluazifop-p-butyl, isoprothiolane, tebuconazole, cypermethrin and difenoconazole in leafy vegetables. Influences from ultrasonic sample extraction and the clean-up steps to reduce matrix effects were investigated. Under suitable conditions, good linearity (deviation of back calculated concentration from true concentration lower than 20%) was achieved for all studied pesticides; the method detection limits (MDLs) ranged from 1.4 to 3.6 ng g-1 wet weight. For mustard green and green onion the method yielded good recoveries at two spiking levels (201 and 100 ng g-1) ranging from 80% to 111% (n = 5). The repeatability, expressed as relative standard deviation (RSD), was lower than 11% (n = 5). The method was successfully used to quantify pesticide residues in 207 vegetable samples (green onions, mustard greens, and lettuce) collected in Thua Thien Hue and Quang Binh Provinces, Central Vietnam. The insecticide cypermethrin was found at critical levels in 98% of the vegetable samples. Green onions had high pesticide residues with a significant number of samples containing pesticides at concentrations exceeding the maximum residue levels (MRLs).  KEYWORDS:  MeSH Chemical: Pesticide Residues| Pesticides| Solvents MeSH: | Food Analysis/majr/methods| Food Contamination/majr/analysis| Gas Chromatography-Mass Spectrometry/majr/methods| Limit of Detection| Pesticide Residues/analysis| Pesticides/majr/analysis| Solvents/chemistry| Tandem Mass Spectrometry/methods| Vegetables/majr/chemistry| Vietnam Other:GC-MS/MS|method development|pesticides residues|solid phase extraction|ultrasonic extraction</t>
  </si>
  <si>
    <t>Chau NDG, Van Hop N, Long HT, Duyen NTM, Raber G</t>
  </si>
  <si>
    <t>417-428</t>
  </si>
  <si>
    <t>Synergistic antioxidant effects of resveratrol and curcumin against fipronil-triggered oxidative damage in male albino rats.</t>
  </si>
  <si>
    <t>AlBasher G, Abdel-Daim MM, Almeer R, Ibrahim KA, Hamza RZ, Bungau S, Aleya L</t>
  </si>
  <si>
    <t>6505-6514</t>
  </si>
  <si>
    <t>Infestation of Chirodiscoides caviae in a Guinea pig (Cavia porcellus) at Turkey and Fipronil Treatment</t>
  </si>
  <si>
    <t>Infestation of Chirodiscoides caviae in a Guinea pig (Cavia porcellus) at Turkey and Fipronil Treatment    ABSTRACT:  Kırıkkale University Faculty of Veterinary Medicine Parasitology Department Laboratory has brought a male kobay for 3-4 months with the complaint having a large number of black mites on his hair by a student of the same school. Microscopic examination revealed that this mite was Chirodiscoides caviae. These cases were reported for the first time in Turkey. The animal has been treated with fipronil.  KEYWORDS:  MeSH Chemical: Acaricides| Pyrazoles| fipronil MeSH: | Acaricides/majr/pharmacology/therapeutic use| Animals| Guinea Pigs/majr/parasitology| Laboratories| Male| Mite Infestations/majr/drug therapy/parasitology/veterinary| Mites/drug effects| Pyrazoles/majr/pharmacology/therapeutic use| Rodent Diseases/majr/drug therapy/parasitology| Turkey Other:Cavia porcellus|Chirodiscoides caviae|feather mite|fipronil|guinea pig|Kırıkkale|Turkey</t>
  </si>
  <si>
    <t>Aydenizöz M, Gökpınar S</t>
  </si>
  <si>
    <t>Turkiye parazitolojii dergisi</t>
  </si>
  <si>
    <t>216-218</t>
  </si>
  <si>
    <t>A mixture of fipronil and fungicides induces alterations on behavioral and oxidative stress parameters in zebrafish.</t>
  </si>
  <si>
    <t>Bevilaqua F, Sachett A, Chitolina R, Garbinato C, Gasparetto H, Marcon M, Mocelin R, Dallegrave E, Conterato G, Piato A, Siebel AM</t>
  </si>
  <si>
    <t>140-147</t>
  </si>
  <si>
    <t>Controlling invasive Argentine ants, Linepithema humile, in conservation areas using horizontal insecticide transfer.</t>
  </si>
  <si>
    <t>Buczkowski G, Wossler TC</t>
  </si>
  <si>
    <t>19495</t>
  </si>
  <si>
    <t>Evaluating the effectiveness of an integrated tick management approach on multiple pathogen infection in Ixodes scapularis questing nymphs and larvae parasitizing white-footed mice.</t>
  </si>
  <si>
    <t>Evaluating the effectiveness of an integrated tick management approach on multiple pathogen infection in Ixodes scapularis questing nymphs and larvae parasitizing white-footed mice.    ABSTRACT:  We investigated the effectiveness of integrated tick management (ITM) approaches in reducing the burden of infection with Borrelia burgdorferi, Babesia microti, and Anaplasma phagocytophilum in Ixodes scapularis. We found a 52% reduction in encountering a questing nymph in the Metarhizium anisopliae (Met52) and fipronil rodent bait box treatment combination as well as a 51% reduction in the combined white-tailed deer (Odocoileus virginianus) removal, Met52, and fipronil rodent bait box treatment compared to the control treatment. The Met52 and fipronil rodent bait box treatment combination reduced the encounter potential with a questing nymph infected with any pathogen by 53%. Compared to the control treatment, the odds of collecting a parasitizing I. scapularis infected with any pathogen from a white-footed mouse (Peromyscus leucopus) was reduced by 90% in the combined deer removal, Met52, and fipronil rodent bait box treatment and by 93% in the Met52 and fipronil rodent bait box treatment combination. Our study highlights the utility of these ITM measures in reducing both the abundance of juvenile I. scapularis and infection with the aforementioned pathogens.  KEYWORDS:  MeSH: | Anaplasma phagocytophilum| Animals| Babesia microti| Borrelia burgdorferi| Deer/majr| Ixodes/majr/microbiology| Larva| Nymph| Peromyscus/majr/parasitology| Pest Control/majr/methods| Tick Infestations/majr/prevention &amp; control/veterinary Other:Borrelia burgdorferi|Deer reduction|Fipronil bait box|Integrated tick management|Ixodes scapularis|Metarhizium anisopliae</t>
  </si>
  <si>
    <t>Little EAH, Williams SC, Stafford KC, Linske MA, Molaei G</t>
  </si>
  <si>
    <t>127-136</t>
  </si>
  <si>
    <t>Multibiomarker approach to fipronil exposure in the fish Dicentrarchus labrax under two temperature regimes.</t>
  </si>
  <si>
    <t>Dallarés S, Dourado P, Sanahuja I, Solovyev M, Gisbert E, Montemurro N, Torreblanca A, Blázquez M, Solé M</t>
  </si>
  <si>
    <t>219</t>
  </si>
  <si>
    <t>105378</t>
  </si>
  <si>
    <t>House fly resistance to chlorantraniliprole: cross resistance patterns, stability and associated fitness costs.</t>
  </si>
  <si>
    <t>1866-1873</t>
  </si>
  <si>
    <t>Simultaneous determination of eight neonicotinoid insecticides, fipronil and its three transformation products in sediments by continuous solvent extraction coupled with liquid chromatography-tandem mass spectrometry.</t>
  </si>
  <si>
    <t>Wang Z, Chen J, Zhan T, He X, Wang B</t>
  </si>
  <si>
    <t>189</t>
  </si>
  <si>
    <t>110002</t>
  </si>
  <si>
    <t>Treatment of Harvest Mite Infestation in Dogs Using a Permethrin 54.5% and Fipronil 6.1% (Effitix®) Topical Spot-On Formulation.</t>
  </si>
  <si>
    <t>Treatment of Harvest Mite Infestation in Dogs Using a Permethrin 54.5% and Fipronil 6.1% (Effitix®) Topical Spot-On Formulation.    ABSTRACT:  Background-The study aims to assess the efficacy of a permethrin 54.5%-fipronil 6.1%-based spot-on solution in dogs naturally infested with Neotrombicula in an open-label controlled study. Methods-Ten naturally infested dogs received one drop per affected site on day (D) 0, and on D14, the rest of the pipette was applied on the skin between the shoulders. Five dogs served as sentinels. Parasite score (0-3), skin lesions (0-4), and investigator pruritus scale (0-4) were assessed on D0, D1, D14, and D28. Results-No treated dogs developed adverse reactions. Parasite score of sentinel dogs was maintained between 1.8 (D0, D1, and D28) and 2.2 (D14). In treated dogs, D0 parasite score was 2.4. It was significantly reduced from D1 (0.5; p &lt; 0.002) to D28 (0.1; p &lt; 0.002). The lesion score was 2.9 on D0 and D1; it was significantly reduced on D14 (0.6; p &lt; 0.002) and D28 (0.1; p &lt; 0.002). Similarly, investigator pruritus scale (D0, 2.2) scores significantly decreased on D14 (0.4; p &lt; 0.004) and D28 (0.2; p &lt; 0.002). Conclusions-The combination permethrin-fipronil appears to be well-tolerated, rapidly and durably effective in the control of localized canine harvest mite infestation.  KEYWORDS:  Other:antiparasitic agents|dermatology|dogs|trombiculidae</t>
  </si>
  <si>
    <t>Lecru LA, Combarros D, Castilla-Castaño E, Navarro C, Cadiergues MC</t>
  </si>
  <si>
    <t>Veterinary sciences</t>
  </si>
  <si>
    <t>Multibranch Gold Nanoparticles as Surface-Enhanced Raman Spectroscopy Substrates for Rapid and Sensitive Analysis of Fipronil in Eggs.</t>
  </si>
  <si>
    <t>Multibranch Gold Nanoparticles as Surface-Enhanced Raman Spectroscopy Substrates for Rapid and Sensitive Analysis of Fipronil in Eggs.    ABSTRACT:  A sensitive strategy to rapidly detect fipronil residues in eggs using multibranch gold nanoparticles (AuNPs) as the substrate of surface-enhanced Raman spectroscopy (SERS) was investigated in this study. Under optimized conditions, fipronil molecules preferentially deposited on the multibranch gold nanoparticles with preferential (111) facet-oriented growth due to its low surface energy. This anisotropic growth promoted the increase of SERS "hot spots", inducing a huge enhancement of Raman signals of the fipronil. An external standard calibration method was employed for quantitative analysis, and the method was validated for linearity, sensitivity, repeatability and recovery. Good linearity were found in the concentration range of 10 ng/L~10 mg/L in fipronil acetone solution (R2 = 0.9916) and 8 × 10-5 mg/m2 to 0.8 mg/m2 on eggshells (R2 = 0.9906), respectively. The recovery rate based on acetone recovered fipronil on eggshells and in egg liquids was 80.13%~87.87%, and 81.34%~88.89%, respectively. The SERS assay was successfully used to monitor fipronil in eggs.  KEYWORDS:  MeSH Chemical: Insecticides| Pyrazoles| Gold| fipronil MeSH: | Animals| Eggs/majr/analysis| Gold/majr/chemistry| Insecticides/majr/analysis| Limit of Detection| Metal Nanoparticles/majr/chemistry| Pyrazoles/majr/analysis| Spectrum Analysis, Raman/majr/methods Other:eggs|fipronil|gold nanoparticles|rapid analysis|surface-enhanced Raman spectroscopy</t>
  </si>
  <si>
    <t>Zhao H, Huang D, Zhu S</t>
  </si>
  <si>
    <t>Sensors (Basel, Switzerland)</t>
  </si>
  <si>
    <t>Fluorometric determination of fipronil by integrating the advantages of molecularly imprinted silica and carbon quantum dots.</t>
  </si>
  <si>
    <t>Fluorometric determination of fipronil by integrating the advantages of molecularly imprinted silica and carbon quantum dots.    ABSTRACT:  A fluorometric method is described for the determination of fipronil, a frequently-used insecticide. It exploits the blue fluorescence of carbon quantum dots (CQDs) and the selectivity of molecularly imprinted silica (MIS). The MIS was prepared via the sol-gel method by using fipronil as the template, 3-aminopropyltriethoxysilane as functional monomer, and tetraethoxysilane as cross-linker in the presence of CQDs. The blue fluorescence of the CQD@MIS, with excitation/emission peaks at 340/422 nm, is quenched by fipronil. The assay works in the 0. 70 pM to 47 μM fipronil concentration range, and the limit of detection is 19 pM. The method was successfully applied to the quantitation of fipronil in spiked eggs, milk, and tap water. Recoveries between 83.8 and 114.0% were achieved. The corresponding relative standard deviations (RSD) are less than 6.67%. Graphical abstractSchematic representation of a high sensitivite and selectivite fluorescence nanoprobe constructed by combining the excellent fluorescence property of carbon quantum dots and the predicted selectivity of molecularly imprinted silica. It was applied to analyze fipronil in egg, milk and tap water, respectively.  KEYWORDS:  MeSH Chemical: Drinking Water| Propylamines| Pyrazoles| Silanes| Carbon| Silicon Dioxide| amino-propyl-triethoxysilane| fipronil MeSH: | Animals| Calibration| Carbon/majr/chemistry| Drinking Water/chemistry| Fluorometry/majr/methods| Food Contamination/analysis| Food Safety| Limit of Detection| Milk/chemistry| Molecular Imprinting/majr| Ovum/chemistry| Propylamines/chemistry| Pyrazoles/majr/analysis/chemistry| Quantum Dots/majr/chemistry| Silanes/chemistry| Silicon Dioxide/majr/chemistry Other:Egg Analysis|Fluorescence quenching|Food safety|Insecticide|Milk Analysis</t>
  </si>
  <si>
    <t>Yang C, Wang L, Zhang Z, Chen Y, Deng Q, Wang S</t>
  </si>
  <si>
    <t>Mikrochimica acta</t>
  </si>
  <si>
    <t>Fipronil Tablets: Development and Pharmacokinetic Profile in Beagle Dogs.</t>
  </si>
  <si>
    <t>Fipronil Tablets: Development and Pharmacokinetic Profile in Beagle Dogs.    ABSTRACT:  Increased human-pet interactions have led to concerns related to the prevention and treatment of ectoparasite infestations. Fipronil (FIP) is a widely used ectoparasiticide in veterinary medicine available for topical administration; however, its use may cause damage to the owners and the environment. The aim of the study was to develop immediate-release tablets of FIP, as well as to determine its pharmacokinetic properties after oral administration in beagle dogs. The prepared FIP tablets were evaluated for pre-compression (angle of repose, speed flow, and Carr's index) and post-compression (weight variation, friability, thickness, hardness, disintegration time, and dissolution rate) parameters. Orally administered FIP at a dose of 2 mg/kg was rapidly absorbed with Cmáx of 3.13 ± 1.39 μg/mL at 1.83 ± 0.40 h post treatment (P.T.) and metabolized with 1.27 ± 1.04 μg/mL at 2.33 ± 0.82 h P.T. for fipronil sulfone (SULF) (the primary metabolite). The elimination of FIP and SULF occurred slowly and had maintained quantifiable plasma levels in the blood for up to 28 days P.T. The goal of the study is aligned with the concept of One Health, which aims to collaboratively achieve the best health for people, animals, and the environment. Therefore, the use of FIP tablets for the control of ectoparasites in dogs may be a safer alternative for owners and the environment.  KEYWORDS:  MeSH Chemical: Antiparasitic Agents| Pyrazoles| Tablets| fipronil sulfone MeSH: | Administration, Oral| Animals| Antiparasitic Agents/majr/administration &amp; dosage/chemistry/pharmacokinetics| Dogs| Hardness| Pyrazoles/majr/administration &amp; dosage/chemistry/pharmacokinetics| Tablets| Water Pollution/prevention &amp; control Other:ectoparasiticide|oral dosage forms|pets|pharmacokinetic|phenylpyrazole</t>
  </si>
  <si>
    <t>Dos Santos GCM, Rosado LHG, Alves MCC, de Paula Lima I, Ferreira TP, Borges DA, de Oliveira PC, de Sousa Magalhães V, Scott FB, Cid YP</t>
  </si>
  <si>
    <t>AAPS PharmSciTech</t>
  </si>
  <si>
    <t>[The status and health risk assessment of dietary fipronil contamination among 20 provinces of China].</t>
  </si>
  <si>
    <t>Chen DW, Li SH, Lyu B, Zhao YF, Li JG, Wu YN</t>
  </si>
  <si>
    <t>Zhonghua yu fang yi xue za zhi [Chinese journal of preventive medicine]</t>
  </si>
  <si>
    <t>53</t>
  </si>
  <si>
    <t>1242-1246</t>
  </si>
  <si>
    <t>Cumulative exposure to organic pollutants of French children assessed by hair analysis.</t>
  </si>
  <si>
    <t>Iglesias-González A, Hardy EM, Appenzeller BMR</t>
  </si>
  <si>
    <t>Environment international</t>
  </si>
  <si>
    <t>134</t>
  </si>
  <si>
    <t>105332</t>
  </si>
  <si>
    <t>A first approach using micellar electrokinetic capillary chromatography for the determination of fipronil and fipronil-sulfone in eggs.</t>
  </si>
  <si>
    <t>A first approach using micellar electrokinetic capillary chromatography for the determination of fipronil and fipronil-sulfone in eggs.    ABSTRACT:  Fipronil is an insecticide that is not approved in the European Union in food. In 2017, fipronil was involved in a European health alert due to its presence in fresh hen eggs because of an illicit use in poultry farms, so reliable methods are needed to determine fipronil and its main metabolites in these matrixes. In this work, we report the first approach to the study of fipronil and two metabolites, fipronil-sulfone and fipronil-sulfide by CE. MEKC mode was employed using a solution of 50 mM ammonium perfluorooctanoate pH 9.0 with 10% (v/v) methanol as background electrolyte. The proposed method was combined with a simple sample treatment based on salting-out assisted LLE (SALLE) using acetonitrile as extraction solvent and ammonium sulfate as salt. The SALLE-MEKC-UV method allowed the simultaneous quantification of fipronil and fipronil-sulfone. Validation parameters yielded satisfactory results, with precision, expressed as relative SD, below 14% and recoveries higher than 83%. Limits of detection were 90 µg/kg for fipronil and 150 µg/kg for fipronil-sulfone, so in terms of sensitivity further studies of sample treatments allowing extra preconcentration or the use of more sensitive detection, such as MS, would be needed.© 2019 WILEY-VCH Verlag GmbH &amp; Co. KGaA, Weinheim.  KEYWORDS:  MeSH Chemical: Acetonitriles| Insecticides| Pyrazoles| fipronil sulfone| fipronil| acetonitrile MeSH: | Acetonitriles| Animals| Chickens| Chromatography, Micellar Electrokinetic Capillary/majr/methods| Eggs/majr/analysis| Insecticides| Limit of Detection| Linear Models| Pyrazoles/majr/analysis| Reproducibility of Results Other:Capillary electrophoresis|egg|fipronil|fipronil-sulfone|micellar electrokinetic capillary chromatography|salting-out liquid-liquid extraction</t>
  </si>
  <si>
    <t>Aparicio-Muriana MM, Lhotská I, García-Campaña AM, Lara FJ</t>
  </si>
  <si>
    <t>Electrophoresis</t>
  </si>
  <si>
    <t>3-4</t>
  </si>
  <si>
    <t>202-208</t>
  </si>
  <si>
    <t>Pesticides in the surface waters of the Camanducaia River watershed, Brazil.</t>
  </si>
  <si>
    <t>Pesticides in the surface waters of the Camanducaia River watershed, Brazil.    ABSTRACT:  Camanducaia River is part of the Piracicaba watershed responsible for pumping water into the Cantareira System, which is one of the main water sources for the metropolis of São Paulo and Campinas, Brazil. Intensive use of pesticides and hilly topography represents a situation of high risk for river water contamination. Therefore, water samples from 12 locations were collected along the Camanducaia River and its tributaries, over a period of 4 mo during the rainy season, and analyzed by GC-MS/MS or UPLC- MS/MS for the presence of 46 pesticides. Seven pesticides (fipronil, methyl parathion, metolachlor, atrazine, carbofuran, diuron, and simazine) were positively detected. Only atrazine (the most frequently detected) and diuron were present at concentrations above the limit of quantification of the analytical method (0.32 and 0.57 μg L-1 for atrazine and diuron, respectively). Pesticides detection frequency was higher than expected for a river system where only 11.8% of the land area is under agriculture. The vulnerability of the Camanducaia basin to pesticide contamination is attributed to the high annual precipitation (&gt; 1.5 m y-1 in the headwaters), associated with topographical features (steep terrain) and soil types that favor surface runoff, which has been exacerbated by poor soil management practices.  KEYWORDS:  MeSH Chemical: Pesticides| Water Pollutants, Chemical| Diuron| Atrazine MeSH: | Agriculture| Atrazine/analysis| Brazil| Chromatography, Gas/methods| Diuron/analysis| Environmental Monitoring| Fresh Water/analysis| Limit of Detection| Pesticides/majr/analysis| Rivers/majr/chemistry| Seasons| Tandem Mass Spectrometry| Water Pollutants, Chemical/majr/analysis Other:Agrochemicals|chromatography|fluvial water|monitoring|pollution|residues</t>
  </si>
  <si>
    <t>Barizon RRM, Figueiredo RO, de Souza Dutra DRC, Regitano JB, Ferracini VL</t>
  </si>
  <si>
    <t>283-292</t>
  </si>
  <si>
    <t>Effects of systemic insecticides on the population dynamics of the dragonfly Sympetrum frequens in Japan: Statistical analyses using field census data from 2009 to 2016.</t>
  </si>
  <si>
    <t>Effects of systemic insecticides on the population dynamics of the dragonfly Sympetrum frequens in Japan: Statistical analyses using field census data from 2009 to 2016.    ABSTRACT:  Since the mid-1990s, populations of the common Japanese dragonfly Sympetrum frequens in rice fields have declined severely. Application of systemic insecticides-especially fipronil-to nursery boxes of rice seedlings is suspected to be the main cause of the decline. However, until now there have been insufficient population data to test the causality. We conducted a dragonfly survey from 2009 to 2016 in four prefectures of Japan and compiled the data to enable the comparison of population growth rates along five main census routes over the years. We also estimated the use ratio of each insecticide applied to nursery boxes in rice fields (i.e., the area exposed to insecticide as a ratio of the total rice field area) by prefecture. We then statistically analyzed the effects of the insecticides on the dragonfly's population growth rates, taking into account the potential confounding factors based on current knowledge. There was a significant negative association between the annual increase in use ratio of the sum of systemic insecticides (e.g., fipronil, imidacloprid, and chlorantraniliprole) and the annual population growth rate of S. frequens. This association suggests that systemic insecticide use affected the decrease in population density of the dragonfly, although some agronomic factors need to be further examined as potential confounders.Copyright © 2019 Elsevier B.V. All rights reserved.  KEYWORDS:  MeSH Chemical: Insecticides| Neonicotinoids| Nitro Compounds MeSH: | Animals| Censuses| Insecticides| Japan| Neonicotinoids| Nitro Compounds| Odonata/majr| Population Dynamics Other:Backdoor criterion|Confounding factor|Neonicotinoid|Odonata|Paddy field|Phenylpyrazole</t>
  </si>
  <si>
    <t>Nakanishi K, Uéda T, Yokomizo H, Hayashi TI</t>
  </si>
  <si>
    <t>703</t>
  </si>
  <si>
    <t>134499</t>
  </si>
  <si>
    <t>Efficacy of a topical combination of fipronil-permethrin against Rhodnius prolixus on dogs.</t>
  </si>
  <si>
    <t>Efficacy of a topical combination of fipronil-permethrin against Rhodnius prolixus on dogs.    ABSTRACT:  A controlled clinical trial was carried out to assess the mortality and repellency of a new topical combination of fipronil-permethrin (Effitix® Virbac, Mexico) against Rhodnius prolixus in dogs. Ten medium-size dogs (10-15 kg) with short hair were used. The dogs were exposed to 8 adult triatomines once weekly for 7 weeks. On the control day (D0), the dogs were exposed to the insects without treatment. On D7, the dogs were immediately treated with a spot-on 2.2 ml pipette containing 134 mg of fipronil and 1200 mg permethrin after exposure to the insects. The dose was repeated after 4 weeks following the manufacturer's instructions. Repellency at D0 was, 0 % and the insects had a high blood content. After 12 h post-contact, repellency was 86.3 % and slowly decrease though D21 and D28. On D7, none of the insects survived after 3 h of feeding on the treated dogs. On D14, D35 and D42, all insects died within 12 h post-feeding, whereas no mortality was observed in the control D0 (P &lt; 0.05). The results of this study indicated that administration of the product following the manufacturer's instructions was efficacious at inducing rapid mortality of R. prolixus and therefore could be useful to prevent the transmission of American trypanosomiasis in dogs.Copyright © 2019. Published by Elsevier B.V.  KEYWORDS:  MeSH Chemical: Drug Combinations| Insecticides| Pyrazoles| Permethrin| fipronil MeSH: | Animals| Dog Diseases/majr/drug therapy/parasitology/prevention &amp; control| Dogs| Drug Combinations| Ectoparasitic Infestations/majr/drug therapy/prevention &amp; control/veterinary| Female| Insect Vectors/majr| Insecticides/majr| Male| Permethrin| Pyrazoles| Rhodnius/majr Other:American trypanosomiasis|Dogs|Fipronil|Permethrin|Rhodnius prolixus</t>
  </si>
  <si>
    <t>Ucan-Mézquita A, Jimenez-Coello M, Guzmán-Marín E, Gutierrez-Blanco E, Chan-Pérez JI, Travi BL, Hernandez-Cortazar I, Ortega-Pacheco A</t>
  </si>
  <si>
    <t>108978</t>
  </si>
  <si>
    <t>Thyroxine modulation of immune toxicity induced by mixture pesticides mancozeb and fipronil in mice.</t>
  </si>
  <si>
    <t>240</t>
  </si>
  <si>
    <t>117078</t>
  </si>
  <si>
    <t>A comparison of the efficacy of two commercial acaricides (fipronil and amitraz) with Azadirachta indica (neem) on the brown dog tick (Rhipicephalus sanguineus) from canines in Trinidad.</t>
  </si>
  <si>
    <t>Suraj RA, Rambarran R, Ali K, Harbajan D, Charles R, Sant C, Georges K, Suepaul S</t>
  </si>
  <si>
    <t>Transboundary and emerging diseases</t>
  </si>
  <si>
    <t>67 Suppl 2</t>
  </si>
  <si>
    <t>142-148</t>
  </si>
  <si>
    <t>Hepatotoxicity and neurotoxicity of Fipronil poisoning in human: A case report.</t>
  </si>
  <si>
    <t>Hepatotoxicity and neurotoxicity of Fipronil poisoning in human: A case report.    ABSTRACT:  Fipronil is an N-phenylprazole insecticide which is commonly used pesticide in south India. In animals it has been described to cause toxic manifestations mainly in the Gastro-intestinal (GI) and Central nervous system (CNS) and less commonly in kidney and liver. The available medical literature about toxic effects of Fipronil consumption in humans has been very little and mostly limited to acute GI and neurological manifestation mostly lasting for less than three days. We report the case of a 32-year-old gentleman who had consumed Fipronil (5%) in an attempt of deliberate self-harm. The patient had neurotoxicity features in the form of seizures and decreased sensorium requiring intensive medical care with mechanical ventilation and also had hepatotoxicity. Both hepatotoxicity and neurotoxicity lasted for nearly three weeks. The patient improved with supportive therapy and gradually overcame both the toxicities.Copyright: © 2019 Journal of Family Medicine and Primary Care.  KEYWORDS:  Other:Fipronil|hepatoxicity|insecticide|neurotoxicity</t>
  </si>
  <si>
    <t>Gutta S, Prasad JD, Gunasekaran K, Iyadurai R</t>
  </si>
  <si>
    <t>Journal of family medicine and primary care</t>
  </si>
  <si>
    <t>3437-3439</t>
  </si>
  <si>
    <t>Identification of The Fipronil Resistance Associated Mutations in Nilaparvata lugens GABA Receptors by Molecular Modeling.</t>
  </si>
  <si>
    <t>Identification of The Fipronil Resistance Associated Mutations in Nilaparvata lugens GABA Receptors by Molecular Modeling.    ABSTRACT:  Fipronil, as the first commercialized member of phenylpyrazole insecticides, has been widely used to control planthoppers in China due to its high insecticidal activity and low toxicity to mammals. However, insects have developed resistance to phenylpyrazoles after their long-term use. The resistance mechanism of insects to fipronil has not been well identified, which limited the development of phenylpyrazole insecticides. In the present study, we aimed to elucidate the related fipronil-resistance mechanism in N. lugens GABA receptors by homology modeling, molecular docking, and molecular dynamics. The results indicated that fipronil showed the weakest interaction with the mutant (R0'Q + A2'S) GABA receptors, which is consistent with the experimental study. The binding poses of fipronil were found to be changed when mutations were conducted. These findings verified the novel fipronil-resistance mechanism in silico and provide important information for the design of novel GABAR-targeting insecticides.  KEYWORDS:  MeSH Chemical: Insecticides| Pyrazoles| Receptors, GABA| Receptors, GABA-A| fipronil MeSH: | Animals| Hemiptera/majr/drug effects/metabolism| Insecticides/majr/pharmacology| Molecular Docking Simulation| Mutation/genetics| Pyrazoles/majr/pharmacology| Receptors, GABA/majr/genetics/metabolism| Receptors, GABA-A/majr/metabolism Other:GABA receptors|RDL|fipronil|homology modeling|resistance</t>
  </si>
  <si>
    <t>Tian Y, Gao Y, Chen Y, Liu G, Ju X</t>
  </si>
  <si>
    <t>Developmental toxicity of fipronil in early development of zebrafish (Danio rerio) larvae: Disrupted vascular formation with angiogenic failure and inhibited neurogenesis.</t>
  </si>
  <si>
    <t>Park H, Lee JY, Park S, Song G, Lim W</t>
  </si>
  <si>
    <t>385</t>
  </si>
  <si>
    <t>121531</t>
  </si>
  <si>
    <t>Tissue Distribution, Accumulation, and Metabolism of Chiral Flufiprole in Loach (Misgurnus anguillicaudatus).</t>
  </si>
  <si>
    <t>Tissue Distribution, Accumulation, and Metabolism of Chiral Flufiprole in Loach (Misgurnus anguillicaudatus).    ABSTRACT:  Flufiprole is an insecticide used in the rice field and may pose a potential threat to aquatic organisms including loach. To investigate the transformation products of flufiprole in loach, the accumulation, elimination, and tissue distribution in vivo as well as the metabolism in vitro at the enantiomeric level were studied. Flufiprole enantiomers rapidly accumulated and were metabolized to flufiprole sulfone, fipronil, and flufiprole amide in the tissues. Enantiomeric fractions showed the preferential accumulation and degradation of S-flufiprole. The residue of the chiral metabolite flufiprole amide was also enantioselective. The individual enantiomer treatment indicated that S-flufiprole was preferentially metabolized to flufiprole sulfone and R-flufiprole to fipronil. The metabolites were more persistent than flufiprole with longer half-lives. The metabolism in liver microsomes also reached consistent conclusions. The dietary risk assessment indicated that flufiprole would not cause unacceptable threats to human health. However, the metabolites of flufiprole should be considered in the risk evaluation.  KEYWORDS:  MeSH Chemical: Insecticides| Pyrazoles| Water Pollutants, Chemical| fipronil MeSH: | Animals| Cypriniformes/majr/metabolism| Drug Residues/chemistry/metabolism| Fishes/metabolism| Food Contamination/analysis| Insecticides/majr/chemistry/metabolism| Microsomes, Liver/chemistry/metabolism| Pyrazoles/majr/chemistry/metabolism| Stereoisomerism| Tissue Distribution| Water Pollutants, Chemical/chemistry/metabolism Other:accumulation|flufiprole|loaches|metabolites|tissue distribution</t>
  </si>
  <si>
    <t>Gao J, Wang F, Jiang W, Han J, Liu D, Zhou Z, Wang P</t>
  </si>
  <si>
    <t>67</t>
  </si>
  <si>
    <t>51</t>
  </si>
  <si>
    <t>14019-14026</t>
  </si>
  <si>
    <t>Application of a multiclass screening method for veterinary drugs and pesticides using HPLC-QTOF-MS in egg samples.</t>
  </si>
  <si>
    <t>Application of a multiclass screening method for veterinary drugs and pesticides using HPLC-QTOF-MS in egg samples.    ABSTRACT:  A multi-class screening method for the determination of veterinary drugs and pesticides in eggs was developed by high performance liquid chromatography quadrupole-time-of-flight mass spectrometry (HPLC-QTOF-MS). A single-injection workflow was developed for qualitative analysis, and method validation was conducted in terms of retention time deviation (ΔRt), exact mass error (Δm), selectivity, specificity, precision and trueness. The characteristic fragment ions in information dependent acquisition (IDA) mode were summarized for retrospective and non-target screening. Five of 70 samples were found positive with sulfachloropyridazine, sulfamonomethoxine and fipronil sulfone. Compared with triple-quadrupole (QqQ) MS method, the obtained results showed that QTOF-MS gave comparable results to QqQ-MS with residue concentrations higher than 10 μg·kg-1, whereas QqQ-MS was more powerful at lower concentrations (&lt;1 μg·kg-1). Moreover, the amount of fragment ions acquired by HPLC-QTOF-MS decreased substantially at trace levels, which may be a potential cause of reduced reliability of identification.Copyright © 2019 Elsevier Ltd. All rights reserved.  KEYWORDS:  MeSH Chemical: Pesticides| Veterinary Drugs MeSH: | Animals| Chickens| Chromatography, High Pressure Liquid/majr/methods| Eggs/majr/analysis| Food Contamination/majr/analysis| Pesticides/majr/analysis| Sensitivity and Specificity| Tandem Mass Spectrometry/majr/methods| Veterinary Drugs/majr/analysis Other:Eggs|HPLC-QTOF-MS|HPLC-QqQ-MS|Multiclass residues|Target screening</t>
  </si>
  <si>
    <t>Hou X, Xu X, Xu X, Han M, Qiu S</t>
  </si>
  <si>
    <t>309</t>
  </si>
  <si>
    <t>125746</t>
  </si>
  <si>
    <t>Residual Effects of Termiticides on Mortality of Formosan Subterranean Termite (Isoptera: Rhinotermitidae) on Substrates Subjected to Flooding.</t>
  </si>
  <si>
    <t>Sapkota R, Stout MJ, Henderson G</t>
  </si>
  <si>
    <t>367-374</t>
  </si>
  <si>
    <t>Multiple pesticides in mothers' hair samples and children's measurements at birth: Results from the French national birth cohort (ELFE).</t>
  </si>
  <si>
    <t>Béranger R, Hardy EM, Binter AC, Charles MA, Zaros C, Appenzeller BMR, Chevrier C</t>
  </si>
  <si>
    <t>International journal of hygiene and environmental health</t>
  </si>
  <si>
    <t>223</t>
  </si>
  <si>
    <t>22-33</t>
  </si>
  <si>
    <t>One-step cold-induced aqueous two-phase system for the simultaneous determination of fipronil and its metabolites in dietary samples by liquid chromatography-high resolution mass spectrometry and the application in Total Diet Study.</t>
  </si>
  <si>
    <t>One-step cold-induced aqueous two-phase system for the simultaneous determination of fipronil and its metabolites in dietary samples by liquid chromatography-high resolution mass spectrometry and the application in Total Diet Study.    ABSTRACT:  Herein, a cold-induced aqueous two-phase system (CI-ATPS)-based concurrent sample enrichment and cleanup strategy was developed for the analysis of fipronil and its metabolites in dietary samples by liquid chromatography-high resolution mass spectrometry. By optimizing the conditions in CI-ATPS, the analytes were extracted to a small volume acetonitrile-rich phase with the enrichment factor of three-folds. Additionally, the lipids could be efficiently precipitated between the lower and upper layer to complete the removal of lipids. In detection analysis, a target single ion monitoring mode was employed to enhance the detection capability of fipronil and its metabolites. Generally, this established method could detect the target analytes in dietary samples at ng/kg level. Finally, this method was validated and certificated by a proficiency test, then was also successfully applied to dietary samples in the Total Diet Study, and the results showed that 56.3% of samples were detected with fipronil or its metabolites.Copyright © 2019 Elsevier Ltd. All rights reserved.  KEYWORDS:  MeSH Chemical: Insecticides| Pyrazoles| fipronil MeSH: | Chromatography, Liquid/majr/methods| Food Contamination/majr/analysis| Humans| Insecticides/majr/analysis/isolation &amp; purification/metabolism| Liquid-Liquid Extraction/majr/methods| Mass Spectrometry/majr/methods| Pyrazoles/majr/analysis/isolation &amp; purification/metabolism Other:Cold-induced aqueous two-phase system|Dietary samples|Fipronil|Fipronil (PubChem CID: 3352)|Fipronil desulfinyl (PubChem CID: 22673275)|Fipronil sulfide (PubChem CID: 9953940)|Fipronil sulfone (PubChem CID: 3078139)|Matrix effect|Total Diet Study</t>
  </si>
  <si>
    <t>Li S, Chen D, Lv B, Li J, Zhao Y, Wu Y</t>
  </si>
  <si>
    <t>125748</t>
  </si>
  <si>
    <t>Insecticidal and repellent properties of novel trifluoromethylphenyl amides III.</t>
  </si>
  <si>
    <t>Tsikolia M, Bernier UR, Agramonte NM, Estep AS, Becnel JJ, Linthicum KJ, Bloomquist JR</t>
  </si>
  <si>
    <t>161</t>
  </si>
  <si>
    <t>5-11</t>
  </si>
  <si>
    <t>Fipronil upregulates inflammatory cytokines and MUC5AC expression in human nasal epithelial cells.</t>
  </si>
  <si>
    <t>Fipronil upregulates inflammatory cytokines and MUC5AC expression in human nasal epithelial cells.    ABSTRACT:  Airway inflammation and excessive mucin production are pathophysiological characteristics of airway diseases. Fipronil, a pesticide, is being extensively used in agriculture and veterinary medicine worldwide. However, this compound impairs immune function in non-target organisms. The present study aimed to evaluate the effect of fipronil on pro-inflammatory cytokine and mucus production and signalling pathways in human primary nasal METHODOLOGY: The effect of fipronil on pro-inflammatory cytokine and MUC5AC expression and the signalling pathway of fipronil were investigated using real-time PCR, enzyme immunoassays, immunofluorescence, and immunoblot analysis with specific inhibitors and small interfering RNA.Fipronil treatment increased pro-inflammatory cytokine interleukin (IL)-1beta, IL-6, IL-8, and MUC5AC expression in human primary nasal epithelial cells. It also induced phosphorylation of extracellular signal-regulated kinase 1/2 (ERK1/2) mitogenactivated protein kinase (MAPK), p38 MAPK, and nuclear factor kappa-light-chain-enhancer of activated B cells (NF-kB). MAPK and NF-kB inhibitor treatment significantly inhibited increases in IL-1beta, IL-6, IL-8, and MUC5AC expression. Ex vivo data confirmed that fipronil-induced MUC5AC expression occurs through ERK1/2, p38, and NF-kB signalling pathways in nasal inferior turbinate tissue.Fipronil induced pro-inflammatory cytokine IL-1beta, IL-6, IL-8, and MUC5AC expression via ERK1/2 MAPK, p38 MAPK, and NF-kB in human primary nasal epithelial cells.  KEYWORDS:  MeSH Chemical: Cytokines| MUC5AC protein, human| Mucin 5AC| NF-kappa B| Pyrazoles| p38 Mitogen-Activated Protein Kinases| fipronil MeSH: | Cells, Cultured| Cytokines/majr/metabolism| Epithelial Cells/majr/drug effects/metabolism| Humans| Mucin 5AC/majr/metabolism| NF-kappa B/metabolism| Pyrazoles/majr/pharmacology| Signal Transduction| p38 Mitogen-Activated Protein Kinases/metabolism</t>
  </si>
  <si>
    <t>Kwak S, Choi YS, Na HG, Bae CH, Song SY, Kim YD</t>
  </si>
  <si>
    <t>Rhinology</t>
  </si>
  <si>
    <t>66-73</t>
  </si>
  <si>
    <t>High foliar affinity cellulose for the preparation of efficient and safe fipronil formulation.</t>
  </si>
  <si>
    <t>High foliar affinity cellulose for the preparation of efficient and safe fipronil formulation.    ABSTRACT:  In this work, fipronil was encapsulated within ethanediamine-modified carboxymethylcellulose (ACMC) to prepare an efficient and environmentally safe pesticide formulation (ACMCF). The chemical structure, morphology, foliar adhesion, bioactivity, and soil mobility of ACMCF were also systematically investigated. Results demonstrated that fipronil was encapsulated to form microcapsules successfully. Compared with the traditional fipronil emulsion (FE), ACMCF had a relatively high retention rate on cucumber and peanut leaves. The acute contact toxicity of ACMCF (LD50 = 0.151 μg a.i./bee) toward Apis mellifera was far lower than that of FE (LD50 = 0.00204 μg a.i./bee). Biological activity surveys confirmed that ACMCF has insecticidal ability against Plutella xylostella similar to that of FE. Moreover, the leaching and migration properties of ACMCF in three different kinds soils were weaker than those of FE. These results imply that ACMCF has promising application potential in increasing the effective utilization of fipronil and reducing risk to non-target organisms and the environment.Copyright © 2019 Elsevier B.V. All rights reserved.  KEYWORDS:  MeSH Chemical: Insecticides| Pyrazoles| Soil| Carboxymethylcellulose Sodium| fipronil MeSH: | Animals| Arachis/majr| Bees/majr/drug effects| Carboxymethylcellulose Sodium/majr/analogs &amp; derivatives/chemistry/toxicity| Cucumis sativus/majr| Insecticides/majr/chemistry/toxicity| Lepidoptera/drug effects| Lethal Dose 50| Plant Leaves/majr/chemistry| Pyrazoles/majr/chemistry/toxicity| Soil/chemistry Other:Apis mellifera|Cellulose|Fipronil|Leaching|Leaf adhesion</t>
  </si>
  <si>
    <t>Xiao D, Liang W, Li Z, Cheng J, Du Y, Zhao J</t>
  </si>
  <si>
    <t>121408</t>
  </si>
  <si>
    <t>Fipronil in eggs. Is LC-MS/MS the only option? A comparison study of LC-MS/MS and GC-ECD for the analysis of fipronil.</t>
  </si>
  <si>
    <t>Fipronil in eggs. Is LC-MS/MS the only option? A comparison study of LC-MS/MS and GC-ECD for the analysis of fipronil.    ABSTRACT:  Fipronil is a broad-spectrum insecticide belonging to the phenylpyrazole chemical family, classified by the U.S. EPA as a group C (possible human) carcinogen. It is highly toxic to crustaceans, insects and zooplankton as well as to termites, rabbits and certain groups of gallinaceous birds. In European Union and Greece, fipronil is authorized only for the control of termites and cockroaches and not as a plant protection product or as a veterinary drug. The definition of residue of fipronil comprises of the sum of fipronil and its sulfone metabolite expressed as fipronil and is set at 5 μg kg-1. In this study, a sensitive and reliable modified QuEChERS method, proposed by the European Reference Laboratory for animal origin products, has been validated and applied to the residue analysis of fipronil and its metabolites (sulfone and desulfinyl) in chicken eggs and other egg products by LC-MS/MS and GC-ECD analysis. The two analytical systems performed almost equally concerning validation process and with regard to the analysis of real samples, results from both systems were in agreement: out of 11 samples analysed, 4 samples showed measurable residues of fipronil sulfone with 3 samples exceeding the MRL limit.Copyright © 2019 Elsevier B.V. All rights reserved.  KEYWORDS:  MeSH Chemical: Insecticides| Pyrazoles| fipronil sulfone| fipronil MeSH: | Animals| Chickens| Chromatography, Gas/majr/methods| Chromatography, High Pressure Liquid/methods| Eggs/majr/analysis| Insecticides/majr/analysis/metabolism| Limit of Detection| Pyrazoles/majr/analysis/metabolism| Tandem Mass Spectrometry/majr/methods Other:Eggs|Fipronil|GC-ECD|LC-MS/MS|Metabolites|QuEChERS</t>
  </si>
  <si>
    <t>Charalampous AC, Liapis KS, Bempelou ED</t>
  </si>
  <si>
    <t>Journal of chromatography. B, Analytical technologies in the biomedical and life sciences</t>
  </si>
  <si>
    <t>1129</t>
  </si>
  <si>
    <t>121785</t>
  </si>
  <si>
    <t>Assessment of Persistent, Bioaccumulative and Toxic Organic Environmental Pollutants in Liver and Adipose Tissue of Alzheimer's Disease Patients and Age-matched Controls.</t>
  </si>
  <si>
    <t>Assessment of Persistent, Bioaccumulative and Toxic Organic Environmental Pollutants in Liver and Adipose Tissue of Alzheimer's Disease Patients and Age-matched Controls.    ABSTRACT:  Lifetime exposure to environmental (neuro) toxicants may contribute to the pathogenesis of Alzheimer's Disease (AD). Since many contaminants do not cross the blood-brain barrier, brain tissue alone cannot serve to assess the spectrum of environmental exposures.We used liquid and gas chromatography tandem mass spectrometry to monitor, in postmortem liver and adipose tissues of AD patients and age-matched controls, the occurrence and concentrations of 11 environmental contaminants.Seven toxicants were detected at 100% frequency: p,p'-DDE, dieldrin, triclosan, methylparaben, bisphenol A, fipronil and tetrabromobisphenol A (TBBPA). Intra-individual, tissuedependent differences were detected for triclosan, methylparaben, fipronil and TBBPA. High concentrations of p,p'-DDE and dieldrin were observed in adipose tissue when compared to liver values for both AD cases and controls.This study provides vital data on organ-specific human body burdens to select analytes and demonstrate the feasibility of analyzing small sample quantities for toxicants suspected to constitute AD risk factors.Copyright© Bentham Science Publishers; For any queries, please email at epub@benthamscience.net.  KEYWORDS:  MeSH Chemical: Environmental Pollutants MeSH: | Adipose Tissue/majr/chemistry| Alzheimer Disease/majr| Environmental Exposure/adverse effects| Environmental Pollutants/majr/analysis| Humans| Liver/majr/chemistry Other:Alzheimer's disease|adipose tissue|contaminants|environmental (neuro) toxicants|liquid and gas chromatography
tandem mass spectrometry|liver|pollutants.</t>
  </si>
  <si>
    <t>Manivannan B, Yegambaram M, Supowit S, Beach TG, Halden RU</t>
  </si>
  <si>
    <t>Current Alzheimer research</t>
  </si>
  <si>
    <t>1039-1049</t>
  </si>
  <si>
    <t>In vivo investigation of pesticide residues in garlic using solid phase microextraction-gas chromatography-mass spectrometry.</t>
  </si>
  <si>
    <t>Chen T, Xu H</t>
  </si>
  <si>
    <t>Analytica chimica acta</t>
  </si>
  <si>
    <t>1090</t>
  </si>
  <si>
    <t>72-81</t>
  </si>
  <si>
    <t>Correction to: Assessment of the efficacy of firocoxib (Previcox®) and grapiprant (Galliprant®) in an induced model of acute arthritis in dogs.</t>
  </si>
  <si>
    <t xml:space="preserve">Correction to: Assessment of the efficacy of firocoxib (Previcox®) and grapiprant (Galliprant®) in an induced model of acute arthritis in dogs.    ABSTRACT:  The original article [1] contains two mistaken instances of the molecule 'fipronil' in the results. These should instead have stated 'firocoxib'.  KEYWORDS: </t>
  </si>
  <si>
    <t>de Salazar Alcalá AG, Gioda L, Dehman A, Beugnet F</t>
  </si>
  <si>
    <t>BMC veterinary research</t>
  </si>
  <si>
    <t>347</t>
  </si>
  <si>
    <t>Side effects of insecticidal usage in rice farming system on the non-target house fly Musca domestica in Punjab, Pakistan.</t>
  </si>
  <si>
    <t>Khan HAA</t>
  </si>
  <si>
    <t>241</t>
  </si>
  <si>
    <t>125056</t>
  </si>
  <si>
    <t>Complete removal of endocrine disrupting compound and toxic dye by visible light active porous g-C3N4/H-ZSM-5 nanocomposite.</t>
  </si>
  <si>
    <t>AanchalBarman S, Basu S</t>
  </si>
  <si>
    <t>124981</t>
  </si>
  <si>
    <t>Effects of insecticides, fipronil and imidacloprid, on the growth, survival, and behavior of brown shrimp Farfantepenaeus aztecus.</t>
  </si>
  <si>
    <t>Al-Badran AA, Fujiwara M, Mora MA</t>
  </si>
  <si>
    <t>e0223641</t>
  </si>
  <si>
    <t>A facile and label-free SERS approach for inspection of fipronil in chicken eggs using SiO2@Au core/shell nanoparticles.</t>
  </si>
  <si>
    <t>A facile and label-free SERS approach for inspection of fipronil in chicken eggs using SiO2@Au core/shell nanoparticles.    ABSTRACT:  Fipronil is a phenylpyrazole insecticide commonly used in agriculture and residential applications. In this paper, we reported a novel label-free surface-enhanced Raman spectroscopy (SERS) method for detection of fipronil residues in chicken eggs (mostly accumulated on the egg membrane). We fabricated the SERS substrates composed of the SiO2@Au core/shell nanoparticles and probed the contamination of fipronil residue on the egg membrane. The identification of the characteristic Raman bands of fipronil was achieved with the aid of density functional theory (DFT) calculation, with which we could analyzed the trace amount of fipronil in a quantitative way. As such, this work may provide a practical solution to quick inspection of fipronil contamination in chicken eggs or other foods.Copyright © 2019 Elsevier B.V. All rights reserved.  KEYWORDS:  Other:Chicken eggs|Density functional theory (DFT)|Fipronil|Gold nanoparticles|Pesticide|Surface-enhanced Raman spectroscopy (SERS)</t>
  </si>
  <si>
    <t>Muhammad M, Yao G, Zhong J, Chao K, Aziz MH, Huang Q</t>
  </si>
  <si>
    <t>207</t>
  </si>
  <si>
    <t>120324</t>
  </si>
  <si>
    <t>Assessment of fipronil toxicity to the freshwater midge Chironomus riparius: Molecular, biochemical, and organismal responses.</t>
  </si>
  <si>
    <t>Monteiro HR, Pestana JLT, Novais SC, Leston S, Ramos F, Soares AMVM, Devreese B, Lemos MFL</t>
  </si>
  <si>
    <t>216</t>
  </si>
  <si>
    <t>105292</t>
  </si>
  <si>
    <t>Immune-protective, antioxidant and relative genes expression impacts of β-glucan against fipronil toxicity in Nile tilapia, Oreochromis niloticus.</t>
  </si>
  <si>
    <t>El-Murr AEI, Abd El Hakim Y, Neamat-Allah ANF, Baeshen M, Ali HA</t>
  </si>
  <si>
    <t>Fish &amp; shellfish immunology</t>
  </si>
  <si>
    <t>427-433</t>
  </si>
  <si>
    <t>Synthesis and insecticidal activity studies of novel phenylpyrazole derivatives containing arylimine or carbimidate moiety.</t>
  </si>
  <si>
    <t>Synthesis and insecticidal activity studies of novel phenylpyrazole derivatives containing arylimine or carbimidate moiety.    ABSTRACT:  Phenylpyrazole insecticides are successful for crop protection and public hygiene by blocking gamma-aminobutyric acid (GABA)-gated chloride channels and glutamate-gated chloride (GluCl) channels. A series of novel phenylpyrazoles containing arylimine or 1-methoxyaryl groups were designed and synthesized. The addition reaction of methanol to the imines 1-11 was investigated and the cayno addition products 13-15 were obtained. The compounds 1-15 were confirmed by 1H NMR and elemental analysis. The results of bioassay indicated that some compounds exhibited comparable bioactivity to fipronil against a broad spectrum of insects such as bean aphid (Aphis craccivora), mosquito (Culex pipiens pallens), diamondback moth (Plutella xylostella) and Oriental armyworm (Mythimna separata). Especially, the foliar contact activity against bean aphid of compound 7 at 10 µg mL-1 was 68%, the larvacidal activity against mosquito of compounds 5, 13 and 15 at 0.0025 µg mL-1 was 100%, the larvacidal activity against diamondback moth of compounds 9 and 11 at 0.05 µg mL-1 was 100%, the larvacidal activity against Oriental armyworm of compound 9 at 1 µg mL-1 was 100%. The 3-cayno moiety on pyrazole ring was essential for the high insecticidal activities against bean aphid, diamondback moth and Oriental armyworm, while the 3-carbimidate moiety on pyrazole ring was crucial to the excellent high insecticidal activities against mosquito.Copyright © 2019 Elsevier Ltd. All rights reserved.  KEYWORDS:  MeSH Chemical: Imines| Insecticides| Pyrazoles MeSH: | Animals| Drug Design| Imines/majr/chemical synthesis/toxicity| Insecta/drug effects| Insecticides/majr/chemical synthesis/toxicity| Larva/drug effects| Molecular Structure| Pyrazoles/majr/chemical synthesis/toxicity| Structure-Activity Relationship Other:Arylimine|Gamma-aminobutyric acid (GABA) receptor|Insecticidal activity|Phenylpyrazole</t>
  </si>
  <si>
    <t>Zhao Q, Sun R, Liu Y, Chen P, Li Y, Yang S, Wang Q</t>
  </si>
  <si>
    <t>Bioorganic &amp; medicinal chemistry</t>
  </si>
  <si>
    <t>115092</t>
  </si>
  <si>
    <t>Toxicity of Fipronil and Emamectin Benzoate and Their Mixtures Against Cotton Leafworm, Spodoptera littoralis (Lepidoptera: Noctuidae) With Relation to GABA Content.</t>
  </si>
  <si>
    <t>Kandil MA, Fouad EA, El Hefny DE, Abdel-Mobdy YE</t>
  </si>
  <si>
    <t>385-389</t>
  </si>
  <si>
    <t>Ionic Liquids Enhanced Alkynyl Schiff Bases Derivatives of Fipronil Synthesis and Their Cytotoxicity Studies.</t>
  </si>
  <si>
    <t>Ionic Liquids Enhanced Alkynyl Schiff Bases Derivatives of Fipronil Synthesis and Their Cytotoxicity Studies.    ABSTRACT:  To obtain highly selective toxic derivatives of fipronil, a series of Schiff bases with an alkynyl group (3a-3k) were designed and synthesized from 4-ethynylbenzaldehyde (2) and 4-substituted 5-amino-N-arylpyrazole (1a-1k) via a nucleophilic addition elimination reaction in ionic liquids. Utilization of ionic liquids was demonstrated to endow the yield of each compound beyond 50%, which was enhanced over 1.5 times of the synthetic productive rates comparing the conventional method by which longer reactive time was consumed. The derivatives were characterized via nuclear magnetic resonance hydrogen spectroscopy (1H-NMR), carbon-13 nuclear magnetic resonance spectroscopy (13C-NMR), and electrospray ionization high resolution mass spectrometry (ESI-HRMS). The cytotoxicity of these derivatives on Trichoplusia ni (Hi-5) cell and Spodoptera litura cell (SL cell) was evaluated by 3-(4,5-dimethylthiazol-2-yl)-2,5-diphenyltetrazolium bromide (MTT) bioassays. The results indicated that several compounds had potential cytotoxicity on Hi-5 cell, especially a 4-ethyl substituted alkynyl Schiff base derivative (3f) that was demonstrated to possess high selective toxicity to the Hi-5 cell than the SL cell. In addition, 3f exhibited comparable toxic activity to commercial fipronil on a Hi-5 cell while a little toxic effect on the SL cell, which satisfied the expectation for selective toxicity screening.  KEYWORDS:  MeSH Chemical: Antineoplastic Agents| Ionic Liquids| Pyrazoles| Schiff Bases| fipronil MeSH: | Antineoplastic Agents/chemistry/pharmacology| Cell Line| Cell Survival/drug effects| Chemistry Techniques, Synthetic| Humans| Ionic Liquids/majr/chemistry| Molecular Structure| Pyrazoles/majr/chemical synthesis/pharmacology| Schiff Bases/majr/chemical synthesis/chemistry Other:N-arylpyrazole derivatives|cytotoxicity|fipronil derivatives|schiff base</t>
  </si>
  <si>
    <t>Liu X, Huang L, Chen H, Li N, Yan C, Jin C, Xu H</t>
  </si>
  <si>
    <t>Neurotoxic Effect of Fipronil in Neuroblastoma SH-SY5Y Cell Line.</t>
  </si>
  <si>
    <t>Kanat ÖN, Selmanoğlu G</t>
  </si>
  <si>
    <t>37</t>
  </si>
  <si>
    <t>30-40</t>
  </si>
  <si>
    <t>The effects of insecticides on two splice variants of the glutamate-gated chloride channel receptor of the major malaria vector, Anopheles gambiae.</t>
  </si>
  <si>
    <t>Atif M, Lynch JW, Keramidas A</t>
  </si>
  <si>
    <t>British journal of pharmacology</t>
  </si>
  <si>
    <t>175-187</t>
  </si>
  <si>
    <t>Anthropogenic contaminants of high concern: Existence in water resources and their adverse effects.</t>
  </si>
  <si>
    <t>López-Pacheco IY, Silva-Núñez A, Salinas-Salazar C, Arévalo-Gallegos A, Lizarazo-Holguin LA, Barceló D, Iqbal HMN, Parra-Saldívar R</t>
  </si>
  <si>
    <t>690</t>
  </si>
  <si>
    <t>1068-1088</t>
  </si>
  <si>
    <t>Fipronil and ivermectin treatment of cattle reduced the survival and ovarian development of field-collected Anopheles albimanus in a pilot trial conducted in northern Belize.</t>
  </si>
  <si>
    <t>Dreyer SM, Leiva D, Magaña M, Pott M, Kay J, Cruz A, Achee NL, Grieco JP, Vaughan JA</t>
  </si>
  <si>
    <t>Malaria journal</t>
  </si>
  <si>
    <t>296</t>
  </si>
  <si>
    <t>Acaricide resistance in Rhipicephalus microplus collected from selected districts of Madhya Pradesh, Uttar Pradesh and Punjab states of India.</t>
  </si>
  <si>
    <t>Acaricide resistance in Rhipicephalus microplus collected from selected districts of Madhya Pradesh, Uttar Pradesh and Punjab states of India.    ABSTRACT:  The isolates of Rhipicephalus microplus collected from Madhya Pradesh (MP), Punjab (PJB) and Uttar Pradesh (UP) states of India were characterized using laboratory standardized adult immersion test (AIT) against macrocyclic lactone (ivermectin), synthetic pyrethroids (cypermethrin and deltamethrin), organophosphates (coumaphos and diazinon) and phenylpyrazole compounds (fipronil). Out of the six isolates tested, five isolates except MTH were resistant to deltamethrin and cypermethrin at level II with RF ranging from 16.4 to 24.02 and 7.05 to 13.2, respectively. In case of organophosphates, coumaphos was less effective showing resistance level II (RF 8.52-11.2) in all the six populations compared with diazinon to which three isolates (MHW, RWA and AGS) were resistant at level II. Except MTH, other five isolates were categorized at level I with RF ranging from 1.53 to 3.02 against ivermectin. The phenylpyrazole compound however was found effective, and none of the isolates could survive at a discriminating concentration. The possible strategy for the management of multi-acaricide-resistant ticks in the surveyed districts was discussed in the present study.  KEYWORDS:  MeSH Chemical: Acaricides MeSH: | Acaricides/majr| Animal Distribution| Animals| India| Insecticide Resistance/majr| Rhipicephalus/majr Other:India|Multi-acaricide resistance|Resistance factor|Rhipicephalus microplus</t>
  </si>
  <si>
    <t>Sagar SV, Saini K, Sharma AK, Kumar S, Kumar R, Fular A, Shakya M, Upadhaya D, Nagar G, C S, Samanta S, Kumar S, Ghosh S</t>
  </si>
  <si>
    <t>Tropical animal health and production</t>
  </si>
  <si>
    <t>611-618</t>
  </si>
  <si>
    <t>Pharmacokinetics of combination antiparasitic drug preparation for dogs and cats in the form of spot-on solution.</t>
  </si>
  <si>
    <t>Pharmacokinetics of combination antiparasitic drug preparation for dogs and cats in the form of spot-on solution.    ABSTRACT:  The object of the study was to examine the major pharmacokinetic parameters after a single application of a complex drug preparation for veterinary use based on fipronil, praziquantel, moxidectin, and pyriproxyfen in cats and dogs.For dogs, the drug preparation was administered spot-on solution in the following dosage of active pharmaceutical substances: fipronil 27.0 mg/kg body weight (bwt), praziquantel 10.8 mg/kg bwt, moxidectin 6.75 mg/kg bwt, and pyriproxyfen 5.4 mg/kg bwt; for cats, the dosage was the following: fipronil 43.2 mg/kg bwt, praziquantel 17.28 mg/kg bwt, moxidectin 4.32 mg/kg bwt, and pyriproxyfen 8.64 mg/kg bwt. The blood samples were taken from dogs and cats. The principle of the method for determining praziquantel, trans-4-hydroxypraziquantel, pyriproxyfen, and fipronil in serum samples was chromatographed in a high-pressure liquid chromatograph with detection by means of a mass-spectrometric detector. The moxidectin content of the blood was detected by high-performance liquid chromatography.The drug preparation active substances: praziquantel, fipronil, and moxidectin are absorbed into the blood of dogs and cats. The penetration of praziquantel into the systemic circulation and further into organs and tissues was proved. After topical administration, moxidectin is absorbed and distributed systemically and is slowly removed from the plasma, which manifests itself in detectable concentrations of moxidectin in the blood for 1 month.The present results of pharmacokinetic investigations may promote to the determination of effective therapy strategy and prophylaxis of parasitic diseases in dogs and cats.  KEYWORDS:  Other:Fipronil|moxidectin|pharmacokinetics|praziquantel|pyriproxyfen</t>
  </si>
  <si>
    <t>Arisov MV, Indyuhova EN, Arisova GB</t>
  </si>
  <si>
    <t>Journal of advanced veterinary and animal research</t>
  </si>
  <si>
    <t>25-32</t>
  </si>
  <si>
    <t>Evaluation of baiting fipronil-loaded silica nanocapsules against termite colonies in fields.</t>
  </si>
  <si>
    <t>Evaluation of baiting fipronil-loaded silica nanocapsules against termite colonies in fields.    ABSTRACT:  Various pesticide nanocarriers have been developed. However, their pest-control applications remain limited in laboratories. Herein, we developed silica nanocapsules encapsulating fipronil (SNC) and their engineered form, poly(ethyleneimine)-coated SNC (SNC-PEI), based on recombinant catalytic modular protein D4S2 and used them against termite colonies Coptotermes lacteus in fields. To achieve this, an integrated biomolecular bioprocess was developed to produce D4S2 for manufacturing SNC containing fipronil with high encapsulation efficiency of approximately 97% at benign reaction conditions and at scales sufficient for the field applications. PEI coating was achieved via electrostatic interactions to yield SNC-PEI with a slower release of fipronil than SNC without coating. As a proof-of-concept, bait toxicants containing varied fipronil concentrations were formulated and exposed to nine termite mounds, aiming to prolong fipronil release hence allowing sufficient time for termites to relocate the baits into and distribute throughout the colony, and to eliminate that colony. Some baits were relocated into the mounds, but colonies were not eliminated due to several reasons. We caution others interested in producing bait toxicants to be aware of the multilevel resistance mechanisms of the Coptotermes spp. "superorganism".  KEYWORDS:  Other:Chemical engineering|Composite materials|Encapsulation technology|Fipronil|Molecular engineering|Nanocapsules|Nanoparticles|Nanotechnology|Pesticide delivery system|Subterranean termites|Sustained release</t>
  </si>
  <si>
    <t>Peters BC, Wibowo D, Yang GZ, Hui Y, Middelberg APJ, Zhao CX</t>
  </si>
  <si>
    <t>e02277</t>
  </si>
  <si>
    <t>Blood pharmacokinetic of 17 common pesticides in mixture following a single oral exposure in rats: implications for human biomonitoring and exposure assessment.</t>
  </si>
  <si>
    <t>Chata C, Palazzi P, Grova N, Haan S, Emond C, Vaillant M, Appenzeller BMR</t>
  </si>
  <si>
    <t>Archives of toxicology</t>
  </si>
  <si>
    <t>93</t>
  </si>
  <si>
    <t>2849-2862</t>
  </si>
  <si>
    <t>In vitro biotransformation of pharmaceuticals and pesticides by trout liver S9 in the presence and absence of carbamazepine.</t>
  </si>
  <si>
    <t>Jeon J, Hollender J</t>
  </si>
  <si>
    <t>183</t>
  </si>
  <si>
    <t>109513</t>
  </si>
  <si>
    <t>Comparative analysis on the sorption kinetics and isotherms of fipronil on nondegradable and biodegradable microplastics.</t>
  </si>
  <si>
    <t>Gong W, Jiang M, Han P, Liang G, Zhang T, Liu G</t>
  </si>
  <si>
    <t>254</t>
  </si>
  <si>
    <t>112927</t>
  </si>
  <si>
    <t>The Honeybee Gut Microbiota Is Altered after Chronic Exposure to Different Families of Insecticides and Infection by Nosema ceranae.</t>
  </si>
  <si>
    <t>The Honeybee Gut Microbiota Is Altered after Chronic Exposure to Different Families of Insecticides and Infection by Nosema ceranae.    ABSTRACT:  The gut of the European honeybee Apis mellifera is the site of exposure to multiple stressors, such as pathogens and ingested chemicals. Therefore, the gut microbiota, which contributes to host homeostasis, may be altered by these stressors. The abundance of major bacterial taxa in the gut was evaluated in response to infection with the intestinal parasite Nosema ceranae or chronic exposure to low doses of the neurotoxic insecticides coumaphos, fipronil, thiamethoxam, and imidacloprid. Experiments were performed under laboratory conditions on adult workers collected from hives in February (winter bees) and July (summer bees) and revealed season-dependent changes in the bacterial community composition. N. ceranae and a lethal fipronil treatment increased the relative abundance of both Gilliamella apicola and Snodgrassella alvi in surviving winter honeybees. The parasite and a sublethal exposure to all insecticides decreased the abundance of Bifidobacterium spp. and Lactobacillus spp. regardless of the season. The similar effects induced by insecticides belonging to distinct molecular families suggested a shared and indirect mode of action on the gut microbiota, possibly through aspecific alterations in gut homeostasis. These results demonstrate that infection and chronic exposure to low concentrations of insecticides may affect the honeybee holobiont.  KEYWORDS:  MeSH Chemical: Insecticides MeSH: | Animals| Bacteria/classification/drug effects/genetics/isolation &amp; purification| Bees/majr/drug effects/microbiology/physiology| Environmental Exposure| Gastrointestinal Microbiome/majr/drug effects/physiology| Homeostasis| Insecticides/majr/toxicity| Nosema/majr/physiology Other:dysbiosis|honeybee microbiota|insecticides|parasite</t>
  </si>
  <si>
    <t>Rouzé R, Moné A, Delbac F, Belzunces L, Blot N</t>
  </si>
  <si>
    <t>Microbes and environments</t>
  </si>
  <si>
    <t>226-233</t>
  </si>
  <si>
    <t>RDL A301S alone does not confer high levels of resistance to cyclodiene organochlorine or phenyl pyrazole insecticides in Plutella xylostella.</t>
  </si>
  <si>
    <t>RDL A301S alone does not confer high levels of resistance to cyclodiene organochlorine or phenyl pyrazole insecticides in Plutella xylostella.    ABSTRACT:  Mutations in the GABA-gated chloride channel are associated with resistance to cyclodiene organochlorine and phenyl pyrazole insecticides. The best characterised of these is A301S, which was initially identified in a Dieldrin resistant strain of Drosophila melanogaster. The orthologous mutation has been found in a variety of different crop pests including the diamond back moth Plutella xylostella. However, the contribution of this mutation to resistance in this species remains unclear. We have used the CRISPR/Cas9 system in order to edit Plutella xylostella PxGABARalpha1 to Serine at the 301 orthologous position (282 in PxGABARalpha1) in an insecticide sensitive strain isolated from Vero Beach (VB) USA. In this edited line, no high level of resistance is conferred to Dieldrin, Endosulfan or Fipronil, rather only a subtle shift in sensitivity which could not confer commercially important resistance. We conclude that the high level of commercial resistance to cyclodiene organochlorine and phenyl pyrazole insecticides observed in some field isolates of Plutella xylostella cannot arise from A282S in PxGABARalpha1 alone.Copyright © 2019 Elsevier Inc. All rights reserved.  KEYWORDS:  MeSH Chemical: Insecticides| Pyrazoles| Receptors, GABA-A| Dieldrin| Endosulfan| fipronil MeSH: | Animals| CRISPR-Cas Systems/genetics| Dieldrin/pharmacology| Endosulfan/pharmacology| Insecticide Resistance/genetics| Insecticides/majr/pharmacology| Moths/majr/drug effects/genetics| Mutation/genetics| Pyrazoles/pharmacology| Receptors, GABA-A/genetics Other:CRISPR/Cas9|Dieldrin|GABA|Insecticide resistance|Plutella xylostella|RDL</t>
  </si>
  <si>
    <t>Guest M, Goodchild JA, Bristow JA, Flemming AJ</t>
  </si>
  <si>
    <t>158</t>
  </si>
  <si>
    <t>32-39</t>
  </si>
  <si>
    <t>Occurrence and Probable Sources of Urban-Use Insecticides in Marine Sediments off the Coast of Los Angeles.</t>
  </si>
  <si>
    <t>Occurrence and Probable Sources of Urban-Use Insecticides in Marine Sediments off the Coast of Los Angeles.    ABSTRACT:  Insecticides such as pyrethroids and fipronil are used in large amounts in both agricultural and urban settings and have the potential to elicit toxicity to nontarget aquatic organisms. In California, like in many other regions of the world, urban centers are located along the coast, and it is documented that urban-use insecticides enter the marine environment, where little is known about their occurrence and consequences. In this study, we measured the spatial distribution of pyrethroids and fipronil (and its metabolites) on the Palos Verdes Shelf off the coast of Los Angeles. Total pyrethroid levels ranged from nd to 170 μg/kg (dry weight), and fipronil sulfide levels ranged from 1.8 to 5.6 μg/kg. Two pyrethroids were traced to wastewater effluent discharge, while two others and fipronil sulfide were traced to to surface runoff. Toxicity units (TUs) were estimated for benthic invertebrates, which ranged from no toxicity (nt) to 146 for total pyrethroids, and 0.09 to 1.6 and 4.2 to 75 for fipronil sulfide, depending on the indicator species. Therefore, near-shore deposition of urban-use insecticides due to wastewater discharge and surface runoff poses a significant risk to marine benthic invertebrates and highlights the importance of monitoring near-shore ocean environments and developing mitigation strategies to reduce seaward movement.  KEYWORDS:  MeSH Chemical: Insecticides| Pyrethrins| Water Pollutants, Chemical MeSH: | Animals| Geologic Sediments| Insecticides/majr| Los Angeles| Pyrethrins/majr| Water Pollutants, Chemical/majr</t>
  </si>
  <si>
    <t>Taylor AR, Li J, Wang J, Schlenk D, Gan J</t>
  </si>
  <si>
    <t>9584-9593</t>
  </si>
  <si>
    <t>A critical review of synthetic chemicals in surface waters of the US, the EU and China.</t>
  </si>
  <si>
    <t>Fang W, Peng Y, Muir D, Lin J, Zhang X</t>
  </si>
  <si>
    <t>131</t>
  </si>
  <si>
    <t>104994</t>
  </si>
  <si>
    <t>Enhancement of fipronil degradation with eliminating its toxicity in a microbial fuel cell and the catabolic versatility of anodic biofilm.</t>
  </si>
  <si>
    <t>Enhancement of fipronil degradation with eliminating its toxicity in a microbial fuel cell and the catabolic versatility of anodic biofilm.    ABSTRACT:  The degradation of fipronil was investigated in microbial fuel cells (MFCs). Almost 79% of 30 mg/L fipronil was rapidly degraded within 12 h by MFC biofilm. Based on the constructed quadratic polynomial model, a maximum fipronil degradation rate of 94.22% could be theoretically achieved at pH of 7.01, 33.39 °C, and the initial fipronil concentration 74 mg/L after incubation for 72 h. The high acute toxicity of fipronil toward zebrafish was largely eliminated after degradation by the MFC. In addition, the MFC biofilm showed catabolic versatility to 4-chloronitrobenzene, sulfanilamide, fluoroglycofen, and azoxystrobin. The microbial community analysis revealed that the functional bacteria Sphaerochaeta, Pseudomonas, Azospirillum, Azoarcus, and Chryseobacterium were major predominant bacteria in the anodic biofilm. Therefore, the MFC offers a promising approach in treating the environmental contaminants due to its abilities of energy capture from waste substances and catabolic versatility to different organic compounds.Copyright © 2019 Elsevier Ltd. All rights reserved.  KEYWORDS:  MeSH Chemical: Pyrazoles| fipronil MeSH: | Bioelectric Energy Sources/majr| Biofilms| Electrodes| Pyrazoles Other:Catabolic versatility|Fipronil degradation|Microbial cell fuel|Microbial community|Toxicity elimination</t>
  </si>
  <si>
    <t>Zhang Q, Zhang L, Li Z, Zhang L, Li D</t>
  </si>
  <si>
    <t>Bioresource technology</t>
  </si>
  <si>
    <t>290</t>
  </si>
  <si>
    <t>121723</t>
  </si>
  <si>
    <t>In vitro inhibition of human CYP2D6 by the chiral pesticide fipronil and its metabolite fipronil sulfone: Prediction of pesticide-drug interactions.</t>
  </si>
  <si>
    <t>Carrão DB, Habenchus MD, de Albuquerque NCP, da Silva RM, Lopes NP, de Oliveira ARM</t>
  </si>
  <si>
    <t>Toxicology letters</t>
  </si>
  <si>
    <t>313</t>
  </si>
  <si>
    <t>196-204</t>
  </si>
  <si>
    <t>Determination of 60 pesticides in hen eggs using the QuEChERS procedure followed by LC-MS/MS and GC-MS/MS.</t>
  </si>
  <si>
    <t>Determination of 60 pesticides in hen eggs using the QuEChERS procedure followed by LC-MS/MS and GC-MS/MS.    ABSTRACT:  An analytical method involving QuEChERS (quick, easy, cheap, effective, rugged, and safe) sample preparation, followed by LC-MS/MS and GC-MS/MS was developed and validated for the determination of 60 pesticides in eggs. Recoveries of 70-120% were achieved for selected pesticides and relative standard deviations &lt;20% were obtained for most analytes at three concentrations. The limit of quantification was &lt;10 µg kg-1 for 83% of the total pesticides. This method was used to analyze 58 egg samples and the residues of seven pesticides (disulfoton, fipronil sulfone, cyromazine, o,p-DDT, p,p-DDD, p,p-DDT, and permethrin) were quantified in 16 egg samples at levels of 5-10 µg kg-1, which was below the corresponding the maximum residue levels, as established by Korean Ministry of Food and Drug Safety. We demonstrated that LC-MS/MS and GC-MS/MS in combination with QuEChERS can be used to routinely monitor multiple pesticide residues in egg samples.Copyright © 2019 Elsevier Ltd. All rights reserved.  KEYWORDS:  MeSH Chemical: Pesticide Residues| Pyrazoles| Disulfoton| fipronil sulfone MeSH: | Animals| Chickens| Chromatography, High Pressure Liquid| Disulfoton/analysis| Eggs/analysis| Female| Gas Chromatography-Mass Spectrometry/majr/methods| Limit of Detection| Pesticide Residues/majr/analysis| Pyrazoles/analysis| Reproducibility of Results| Tandem Mass Spectrometry/majr/methods Other:Eggs|Multi-residue analysis method|Pesticides|QuEChERS|Risk assessment</t>
  </si>
  <si>
    <t>Song NE, Lee JY, Mansur AR, Jang HW, Lim MC, Lee Y, Yoo M, Nam TG</t>
  </si>
  <si>
    <t>298</t>
  </si>
  <si>
    <t>125050</t>
  </si>
  <si>
    <t>A speculative claim of mass mortalities of honeybee colonies caused by fipronil in France is not supported by published field data.</t>
  </si>
  <si>
    <t>A speculative claim of mass mortalities of honeybee colonies caused by fipronil in France is not supported by published field data.    ABSTRACT:  NOABSTRACT. No abstract found.  KEYWORDS:  MeSH Chemical: Pesticides| Pyrazoles| fipronil MeSH: | Animals| Bees| France| Pesticides/majr| Pyrazoles/majr</t>
  </si>
  <si>
    <t>Pascual J, Schneider C</t>
  </si>
  <si>
    <t>Proceedings of the National Academy of Sciences of the United States of America</t>
  </si>
  <si>
    <t>116</t>
  </si>
  <si>
    <t>15339-15340</t>
  </si>
  <si>
    <t>Fipronil induces apoptosis and cell cycle arrest in porcine oocytes during in vitro maturation.</t>
  </si>
  <si>
    <t>Zhou W, Niu YJ, Nie ZW, Kim YH, Shin KT, Guo J, Cui XS</t>
  </si>
  <si>
    <t>Apoptosis : an international journal on programmed cell death</t>
  </si>
  <si>
    <t>9-10</t>
  </si>
  <si>
    <t>718-729</t>
  </si>
  <si>
    <t>Simultaneous determination of neonicotinoids and fipronil and its metabolites in environmental water from coastal bay using disk-based solid-phase extraction and high-performance liquid chromatography-tandem mass spectrometry.</t>
  </si>
  <si>
    <t>Li X, Chen J, He X, Wang Z, Wu D, Zheng X, Zheng L, Wang B</t>
  </si>
  <si>
    <t>234</t>
  </si>
  <si>
    <t>224-231</t>
  </si>
  <si>
    <t>Ivermectin decreases triglyceride accumulation by inhibiting adipogenesis of 3T3-L1 preadipocytes.</t>
  </si>
  <si>
    <t>Qi W, Clark JM, Suvorov A, Park Y</t>
  </si>
  <si>
    <t>110576</t>
  </si>
  <si>
    <t>Glyphosate- and Fipronil-Based Agrochemicals and Their Mixtures Change Zebrafish Behavior.</t>
  </si>
  <si>
    <t>Glyphosate- and Fipronil-Based Agrochemicals and Their Mixtures Change Zebrafish Behavior.    ABSTRACT:  Environmental contamination caused by the human occupancy and economic activities that generate a wide range of contaminated effluents that reach natural water resources, is a current reality. Residues of agrichemicals used in plant production were detected in different environments and in different countries. Among these agrochemicals, we studied a glyphosate-based herbicide (GBH), a fipronil-based insecticide (FBI), and their mixtures (GBH + FBI). Zebrafish exposed to 3 and 5 mg/L of GBH spend more time in the top zone and less time in the bottom zone. Fish exposed to 0.009 and 0.018 mg/L of FBI spent less time in the bottom zone, whereas zebrafish exposed to the three GBH + FBI mixtures spend more time in the top zone compared with unexposed control fish. This clear anxiolytic pattern, in an environmental context, can directly impair the ability of fish to avoid or evade predators. We concluded that both glyphosate-based herbicide and fipronil-based insecticide and their mixtures alter zebrafish behavior, which may result in significant repercussions on the maintenance of the species as well as on the food chain and the ecosystem.  KEYWORDS:  MeSH Chemical: Pesticides| Pyrazoles| Water Pollutants, Chemical| glyphosate| fipronil| Glycine MeSH: | Animals| Behavior, Animal/drug effects| Ecosystem| Female| Glycine/majr/analogs &amp; derivatives/toxicity| Humans| Male| Pesticides/majr/toxicity| Predatory Behavior| Pyrazoles/majr/toxicity| Water Pollutants, Chemical/majr/toxicity| Zebrafish/majr/physiology</t>
  </si>
  <si>
    <t>da Costa Chaulet F, de Alcantara Barcellos HH, Fior D, Pompermaier A, Koakoski G, da Rosa JGS, Fagundes M, Barcellos LJG</t>
  </si>
  <si>
    <t>443-451</t>
  </si>
  <si>
    <t>The problem of acute pesticide poisonings of agricultural workers in ukraine under the conditions of the new business patterns.</t>
  </si>
  <si>
    <t>The problem of acute pesticide poisonings of agricultural workers in ukraine under the conditions of the new business patterns.    ABSTRACT:  Introduction: Due to introduction of new forms of agriculture and transformation of the treatment and preventive service in recent years, there has been a false impression of a sharp decrease in the level of occupational morbidity among agricultural workers 30 % to 25 % in the structure of general occupational morbidity in the 80-90s down to 0.2-0.4 %. The aim: Summarize data on the prevalence, causes, structure of acute pesticide poisoning in agricultural workers at the current stages of its reform in order to improve preventive measures.Materials and methods: Data on the prevalence, causes and structure of 647 cases of acute pesticide poisoning in agricultural workers over the past 25 years have been summarized; staff of the Scientific Toxicology Center took part in the sanitary-hygienic investigation and establishment of the diagnosis.Results: The causes for the development, aetiology and structure of 647 cases of acute pesticide poisoning, among which 522 cases of acute poisoning of field beet growers with 2,4-D-based herbicides (80.7 %), 60 cases (9.3 %) of OPC poisoning, 36 cases of beet growers poisoning with sulphonylurea-based herbicides, 14 patients with acute synthetic pyrethroid poisoning, and isolated cases (15 patients) of intoxication with aluminium phosphide, dithiocarbamates, Vitavax, and Fipronil were analysed.Conclusions: Analysis of the causes of the development and structure of poisoning has allowed to optimize the complex of preventive measures to strengthen sanitary control over the implementation of individual and public safety hygienic regulations during storage and use of pesticides.  KEYWORDS:  MeSH Chemical: Pesticides MeSH: | Agricultural Workers' Diseases/majr| Agriculture| Farmers| Humans| Occupational Exposure/majr| Pesticides/majr| Ukraine Other:acute pesticide poisonings|agricultural workers in Ukraine</t>
  </si>
  <si>
    <t>Prodanchuk MH, Balan GM, Bubalo NM, Zhminko PH, Kharchenko OA, Bahlei YA</t>
  </si>
  <si>
    <t>Wiadomosci lekarskie (Warsaw, Poland : 1960)</t>
  </si>
  <si>
    <t>72</t>
  </si>
  <si>
    <t>5 cz 2</t>
  </si>
  <si>
    <t>1083-1086</t>
  </si>
  <si>
    <t>Resistance to deltamethrin, fipronil and ivermectin in the brown dog tick, Rhipicephalus sanguineus sensu stricto, Latreille (Acari: Ixodidae).</t>
  </si>
  <si>
    <t>Becker S, Webster A, Doyle RL, Martins JR, Reck J, Klafke GM</t>
  </si>
  <si>
    <t>1046-1050</t>
  </si>
  <si>
    <t>Effects of a herbicide on paddy predatory insects depend on their microhabitat use and an insecticide application.</t>
  </si>
  <si>
    <t>Hashimoto K, Eguchi Y, Oishi H, Tazunoki Y, Tokuda M, Sánchez-Bayo F, Goka K, Hayasaka D</t>
  </si>
  <si>
    <t>Ecological applications : a publication of the Ecological Society of America</t>
  </si>
  <si>
    <t>e01945</t>
  </si>
  <si>
    <t>Maternal exposure to fipronil results in sulfone metabolite enrichment and transgenerational toxicity in zebrafish offspring: Indication for an overlooked risk in maternal transfer?</t>
  </si>
  <si>
    <t>Xu C, Niu L, Liu J, Sun X, Zhang C, Ye J, Liu W</t>
  </si>
  <si>
    <t>246</t>
  </si>
  <si>
    <t>876-884</t>
  </si>
  <si>
    <t>In vitro investigation to explore the toxicity of different groups of pesticides for an agronomically important rhizosphere isolate Azotobacter vinelandii.</t>
  </si>
  <si>
    <t>Shahid M, Zaidi A, Ehtram A, Khan MS</t>
  </si>
  <si>
    <t>157</t>
  </si>
  <si>
    <t>33-44</t>
  </si>
  <si>
    <t>Garlic and allopurinol attenuate hepatic apoptosis induced by fipronil in male albino rats.</t>
  </si>
  <si>
    <t>Sayed AA, El-Desouky MA, Ibrahim KA</t>
  </si>
  <si>
    <t>107</t>
  </si>
  <si>
    <t>104400</t>
  </si>
  <si>
    <t>Occurrence of neonicotinoids and fipronil in estuaries and their potential risks to aquatic invertebrates.</t>
  </si>
  <si>
    <t>Hano T, Ito K, Ohkubo N, Sakaji H, Watanabe A, Takashima K, Sato T, Sugaya T, Matsuki K, Onduka T, Ito M, Somiya R, Mochida K</t>
  </si>
  <si>
    <t>205-215</t>
  </si>
  <si>
    <t>Detoxification enzymes associated with butene-fipronil resistance in Epacromius coerulipes.</t>
  </si>
  <si>
    <t>Jin Y, Gao Y, Zhang H, Wang L, Yang K, Dong H</t>
  </si>
  <si>
    <t>227-235</t>
  </si>
  <si>
    <t>Insecticide application and its effect on the density of rice planthoppers, Nilaparvata lugens and Sogatella furcifera, in paddy fields in the Red River Delta, Vietnam.</t>
  </si>
  <si>
    <t>Insecticide application and its effect on the density of rice planthoppers, Nilaparvata lugens and Sogatella furcifera, in paddy fields in the Red River Delta, Vietnam.    ABSTRACT:  The brown planthopper, Nilaparvata lugens, and the white-backed planthopper, Sogatella furcifera, are significant pest insects for rice. Both species are able to survive year-round in northern Vietnam's Red River Delta, which includes a large rice-producing region. This study aimed to evaluate insecticide use by farmers and its effect on the density of planthoppers in the region. Through interviews conducted with farmers in study sites in Nam Dinh (ND) and Vinh Phuc (VP) Provinces, we learned that farmers frequently used imidacloprid, fipronil, and emamectin-benzoate in ND and pymetrozine and thiamethoxam in VP. Farmers applied insecticides when the local government announcements regarding plant protection were broadcast. Generalized linear model analysis indicated that the selective insecticides applied did not contribute to reducing the densities of planthoppers in the farmers' fields. Our results indicate the possible development of insecticide resistance by planthoppers or improper insecticide application by farmers.  KEYWORDS:  Other:brown planthopper|insecticide resistance|rice|white-backed planthopper</t>
  </si>
  <si>
    <t>Matsukawa-Nakata M, Huy Chung N, Kobori Y</t>
  </si>
  <si>
    <t>44</t>
  </si>
  <si>
    <t>129-135</t>
  </si>
  <si>
    <t>Compatibility of entomopathogenic fungi with insecticides and their efficacy for IPM of Bemisia tabaci in cotton.</t>
  </si>
  <si>
    <t>Compatibility of entomopathogenic fungi with insecticides and their efficacy for IPM of Bemisia tabaci in cotton.    ABSTRACT:  Bemisia tabaci, a vector of cotton leaf curl virus disease, is among the most devastating pests causing huge economic losses due to reduced cotton yield and quality. The excessive use of chemical pesticides causes insecticide resistance. Entomopathogenic fungi (EPFs) have a role as mycoinsecticides. The combined use of these insecticides is a promising pest-control option to minimize adverse chemical effects. Thus, we have evaluated 10 EPFs under polyhouse conditions for their virulence against whitefly nymphs and their compatibility with chemical and botanical insecticides. The highest overall biological efficacy index was recorded with Ij-102, followed by Bb-4511, and Ij-089. An in vitro compatibility study was conducted to evaluate the effect of botanical and chemical pesticides on mycelial growth and spore production using the poisoned food technique. The effect of pesticides on the reduction of mycelial growth and conidial production ranged from -169 to 94.1% and -25.6 to 87.6%, respectively. However, Ij-089, Ij-102, Ma-1299, and Bb-4511 were found to be the most compatible with the chemical and botanicals evaluated. Comparatively, spiromesifen, diafenthiuron, buprofezin, pyriproxyfen, and flonicamid were more compatible with EPFs at half doses, as compared to the other chemical pesticides, namely imidacloprid, fipronil, profenophos, and triazophos. These results might provide the basis for future work and indicate that applications of EPFs showing the best virulence and compatibility have the maximum likelihood for the management of B. tabaci in the field in an integrated pest management system.  KEYWORDS:  Other:Bemisia tabaci|biocontrol efficacy|entomopathogenic fungi|insecticide resistance management|insecticides compatibility|integrated pest management</t>
  </si>
  <si>
    <t>Sain SK, Monga D, Kumar R, Nagrale DT, Hiremani NS, Kranthi S</t>
  </si>
  <si>
    <t>97-105</t>
  </si>
  <si>
    <t>Occurrence of Fipronil in residential house dust in the presence and absence of pets: a hint for a comprehensive toxicological assessment.</t>
  </si>
  <si>
    <t>Occurrence of Fipronil in residential house dust in the presence and absence of pets: a hint for a comprehensive toxicological assessment.    ABSTRACT:  The presence of the insecticide Fipronil and its main products of toxicological relevance, namely Sulfone and Desulfinyl, was assessed in 161 residential house dust samples in the absence (N = 101) and presence (N = 60) of cats and dogs in Italy. High-resolution mass spectrometry analysis revealed a significant difference (p &lt; 0.001) in the dust contamination in the presence of pets (median: 467 vs. 24 ng/g dry weight), even if the highest value was found in the absence of pets (82,069 vs. 67,799 ng/g dry weight). Fipronil intake estimates from dust in toddlers, computed according to US-EPA and EU-ECHA guidelines, ranged from 333 to 556 and from 20 to 34 ng/kg per day for acute and chronic scenario, respectively. Dust seemed not able itself to lead to Fipronil overexposure with respect to acute and chronic toxicity health-based guidance values. Kittens were potentially overexposed to Fipronil under both acute (26,076 ng/kg per day) and chronic (1,633 ng/kg per day) scenarios. The mild symptomatology associated with acute intoxication could possibly determine case underreporting within pharmacosurveillance schemes. Its administration was estimated in 7.3-9.7 tons per year. Such a range suggests its prudent use under strict veterinary control to prevent pest resistance and ecotoxicological outcomes.  KEYWORDS:  MeSH Chemical: Dust| Insecticides| Pyrazoles| Veterinary Drugs| fipronil MeSH: | Air Pollution, Indoor/analysis| Animals| Cats| Dogs| Dust/majr/analysis| Environmental Exposure/majr/analysis| Insecticides/analysis/toxicity| Italy| Pets/majr| Pyrazoles/majr/analysis/toxicity| Risk Assessment/methods| Veterinary Drugs/analysis Other:Fipronil|assessment|house dust|intake|pets|use</t>
  </si>
  <si>
    <t>Testa C, Salis S, Rubattu N, Roncada P, Miniero R, Brambilla G</t>
  </si>
  <si>
    <t>54</t>
  </si>
  <si>
    <t>441-448</t>
  </si>
  <si>
    <t>Bioaccumulation, biotransformation and toxic effect of fipronil in Escherichia coli.</t>
  </si>
  <si>
    <t>Bioaccumulation, biotransformation and toxic effect of fipronil in Escherichia coli.    ABSTRACT:  Fipronil is a highly effective, broad-spectrum insecticide used to control pests, globally. The increased usage has led to contamination of soil, water, fruits, and vegetables. The wide and frequent usage of fipronil across the globe calls for attention regarding risk assessment of undesirable effects on non-target microorganisms. In this context, the present study was carried to understand the impact of fipronil on non-pathogenic Escherichia coli. The non-pathogenic E. coli are important commensal of the intestinal tract of humans and animals and are also indicator organisms in the environment. Our study indicates that exposure of E. coli to fipronil (100 μM concentration) leads to significant reactive oxygen species production, loss of membrane potential and viability. Further, we have witnessed the bioaccumulation and biotransformation of fipronil by E. coli at non-lethal concentrations. The bio-transformed products (fipronil sulfone and fipronil sulfide) are also the major metabolites (along with amide) reported in the feces of the mammals when exposed to fipronil. Thus, there is a possibility that the gut E. coli might play a role in the degradation and thereby removal of fipronil. In addition, the bioaccumulation of fipronil in bacteria is of concern and need to be further explored because it can lead to biomagnification in the higher trophic level and can disturb the ecological balance. In our knowledge, this is the first report on the determination of fipronil and its metabolites in bacteria through GC-MS/MS.Copyright © 2019 Elsevier Ltd. All rights reserved.  KEYWORDS:  MeSH Chemical: Insecticides| Pyrazoles| fipronil sulfone| fipronil MeSH: | Biotransformation| Chromatography, Gas| Ecology| Escherichia coli/majr/drug effects/metabolism| Insecticides/majr/toxicity| Pyrazoles/majr/toxicity| Tandem Mass Spectrometry Other:Bioaccumulation|Escherichia coli|Fipronil|Toxicity</t>
  </si>
  <si>
    <t>Bhatti S, Satyanarayana GNV, Patel DK, Satish A</t>
  </si>
  <si>
    <t>207-215</t>
  </si>
  <si>
    <t>Suspect screening analysis of the occurrence and removal of micropollutants by GC-QTOF MS during wastewater treatment processes.</t>
  </si>
  <si>
    <t>Suspect screening analysis of the occurrence and removal of micropollutants by GC-QTOF MS during wastewater treatment processes.    ABSTRACT:  The presence of micropollutants in wastewater treatment plant (WWTP) poses potential risks to the aquatic system and human health. This study comprehensively characterized the presence, elimination, and transformation of micropollutants in the WWTP using the suspect screening approaches by employing the gas chromatography coupled with quadrupole time-of-flight mass spectrometry. Overall, 5724 features were identified in influent, while only 3418 features existed in effluents. Hierarchical cluster analysis (HCA) was used to group features based on intensity profiles to investigate the behavior and fate of detected features. Four representative trends were defined with the corresponding features. Among 117 compounds identified during the treatment process, there were 99 compounds in influent, 10 biological transformation products (TPs), 3 ozone TPs, and 5 ultraviolet TPs. Furthermore, the removal efficiencies for the detected compounds were determined. The study findings highlight the importance of the removal of emerging pollutants and TPs such as fipronil, fipronil sulfide, and fipronil sulfone.Copyright © 2019 Elsevier B.V. All rights reserved.  KEYWORDS:  Other:Micropollutants|Occurrence and removal|Suspect screening|Transformation products|Wastewater treatment</t>
  </si>
  <si>
    <t>Wang Y, Gao W, Wang Y, Jiang G</t>
  </si>
  <si>
    <t>376</t>
  </si>
  <si>
    <t>153-159</t>
  </si>
  <si>
    <t>Efficacy of a spot-on combination of fluralaner plus moxidectin (Bravecto® Plus) in cats following repeated experimental challenge with a field isolate of Ctenocephalides felis.</t>
  </si>
  <si>
    <t>Fisara P, Guerino F, Sun F</t>
  </si>
  <si>
    <t>259</t>
  </si>
  <si>
    <t>Pervasive Resistance to Pyrethroids in German Cockroaches (Blattodea: Ectobiidae) Related to Lack of Efficacy of Total Release Foggers.</t>
  </si>
  <si>
    <t>DeVries ZC, Santangelo RG, Crissman J, Suazo A, Kakumanu ML, Schal C</t>
  </si>
  <si>
    <t>112</t>
  </si>
  <si>
    <t>2295-2301</t>
  </si>
  <si>
    <t>Monitoring of organophosphate and pyrethroid metabolites in human urine samples by an automated method (TurboFlow™) coupled to ultra-high performance liquid chromatography-Orbitrap mass spectrometry.</t>
  </si>
  <si>
    <t>López-García M, Romero-González R, Garrido Frenich A</t>
  </si>
  <si>
    <t>Journal of pharmaceutical and biomedical analysis</t>
  </si>
  <si>
    <t>31-39</t>
  </si>
  <si>
    <t>Ecological risks of insecticide contamination in water and sediment around off-farm irrigated rice paddy fields.</t>
  </si>
  <si>
    <t>Furihata S, Kasai A, Hidaka K, Ikegami M, Ohnishi H, Goka K</t>
  </si>
  <si>
    <t>628-638</t>
  </si>
  <si>
    <t>Inflammatory and oxidative injury is induced in cardiac and pulmonary tissue following fipronil exposure in Japanese quail: mRNA expression of the genes encoding interleukin 6, nuclear factor kappa B, and tumor necrosis factor-alpha.</t>
  </si>
  <si>
    <t>Khalil SR, Mohammed WA, Zaglool AW, Elhady WM, Farag MR, El Sayed SAM</t>
  </si>
  <si>
    <t>564-572</t>
  </si>
  <si>
    <t>Neurotoxicity and mode of action of fluralaner on honeybee Apis mellifera L.</t>
  </si>
  <si>
    <t>Neurotoxicity and mode of action of fluralaner on honeybee Apis mellifera L.    ABSTRACT:  Fluralaner, a novel pesticide that targets the γ-aminobutyric acid (GABA) receptor (GABAR) subunit of resistant to dieldrin (RDL), exhibits strong potential to be an insecticide to control agricultural insect pests. However, the risk and action of fluralaner to economic insects, e.g., honeybee Apis mellifera Linnaeus, remains unclear.In this study, both oral and contact toxicity of fluralaner to honeybee were found to be 0.13 μg adult-1 . Abamectin, dieldrin, ethiprole, α-endosulfan, fipronil and fluralaner strongly inhibited the GABA-induced current in A. mellifera RDL (AmRDL), expressed in Xenopus laevis oocytes, with median inhibitory concentration (IC50 ) values of 7.99, 868.1, 27.10, 412.0, 11.21 and 13.59 nM, respectively. The binding free energy and electrophysiological response of AmRDL and insecticides were opposite. The correlation values between toxicity (to A. mellifera) and binding free energy/electrophysiological inhibition (to AmRDL) were at a moderate level.In conclusion, we report for the first time the notable risk of fluralaner to honeybee in vivo and compared the actions of GABAR-targeted insecticides on the AmRDL receptor. © 2019 Society of Chemical Industry.© 2019 Society of Chemical Industry.  KEYWORDS:  MeSH Chemical: A1443 compound| Insect Proteins| Insecticides| Isoxazoles| Neurotoxins| Receptors, GABA MeSH: | Animals| Bees/majr/drug effects| Dose-Response Relationship, Drug| Insect Proteins/genetics/metabolism| Insecticides/majr/toxicity| Isoxazoles/majr/toxicity| Neurotoxins/majr/toxicity| Receptors, GABA/genetics/metabolism Other:GABA receptor|fluralaner|honeybee|insecticide|isoxazoline</t>
  </si>
  <si>
    <t>Sheng CW, Huang QT, Liu GY, Ren XX, Jiang J, Jia ZQ, Han ZJ, Zhao CQ</t>
  </si>
  <si>
    <t>75</t>
  </si>
  <si>
    <t>2901-2909</t>
  </si>
  <si>
    <t>Fiproles in urban surface runoff: Understanding sources and causes of contamination.</t>
  </si>
  <si>
    <t>Cryder Z, Greenberg L, Richards J, Wolf D, Luo Y, Gan J</t>
  </si>
  <si>
    <t>250</t>
  </si>
  <si>
    <t>754-761</t>
  </si>
  <si>
    <t>Exposure to Insecticides Reduces Populations of Rhynchophorus palmarum in Oil Palm Plantations with Bud Rot Disease.</t>
  </si>
  <si>
    <t>Exposure to Insecticides Reduces Populations of Rhynchophorus palmarum in Oil Palm Plantations with Bud Rot Disease.    ABSTRACT:  The South American palm weevil (SAPW), Rhynchophorus palmarum Linnaeus (Coleoptera: Curculionidae) is the main pest of Elaeis guineensis and damages palm trees with bud rot disease in the Americas. The effects of six neurotoxic insecticides (abamectin, carbaryl, deltamethrin, fipronil, imidacloprid and spinosad) were evaluated against SAPW for toxicity, survival, reproduction, and mortality. Abamectin (LC50 = 0.33 mg mL-1), Carbaryl (LC50 = 0.24 mg mL-1), deltamethrin (LC50 = 0.17 mg mL-1), and fipronil (LC50 = 0.42 mg mL-1) were the most toxic to SAPW. Adult survival was 95% without exposure to insecticides, decreasing to 78-65% in insects treated with the LC25 and 49-35% in insects exposed to LC50. Sublethal doses of carbaryl, fipronil and imidacloprid showed significant effect on the reproduction of this insect. Mortality of SAPW populations caused by insecticides had similar effects in the laboratory and field conditions. The results suggest that carbaryl, deltamethrin, fipronil, and imidacloprid caused significantly higher mortality as compared to the control in SAPW and may be used to control its populations in oil palm trees where bud rot appears as the key disease for SAPW attraction and infestation.  KEYWORDS:  Other:effects on reproduction|insect pest–disease association|insecticide efficacy|neurotoxicity|pest control|survivorship</t>
  </si>
  <si>
    <t>Martínez LC, Plata-Rueda A, Rodríguez-Dimaté FA, Campos JM, Santos Júnior VCD, Rolim GDS, Fernandes FL, Silva WM, Wilcken CF, Zanuncio JC, Serrão JE</t>
  </si>
  <si>
    <t>Can official control laboratories quantify reliably fipronil in eggs? Evidence from a proficiency testing round.</t>
  </si>
  <si>
    <t>Can official control laboratories quantify reliably fipronil in eggs? Evidence from a proficiency testing round.    ABSTRACT:  A proficiency testing (PT) round dedicated to assess the competence of European Union (EU) National Reference Laboratories (NRLs), EU Official Control Laboratories (OCLs) and OCLs from associated countries for the determination of the insecticide fipronil in eggs is described. The content of the target analytes (sum of fipronil plus its metabolite fipronil sulfone, expressed as fipronil in the PT test material) was set around the regulated Maximum Residue Level (MRL) set by EU legislation. The PT was organised by the European Commission's (EC) Directorate General (DG) Joint Research Centre (JRC) - in agreement with the EC DG for Health and Food Safety (SANTE) - following a request by the Belgian Authorities. Eighty-six NRLs and OCLs from 22 EU Member States, Norway, Serbia and Albania participated. The test items used were two materials made of frozen liquid eggs, processed and characterised at the JRC facilities in Geel (Belgium). The majority of the participants (94%) were shown to have a satisfactory performance, expressed as z scores, thus demonstrating the analytical capability of most of the participating NRLs and OCLs to enforce the relevant EU Regulations ((EC) 396/2005 and 1127/2014). Furthermore, 93% of the participants who provided a compliance statement classified, correctly, one of the test items as non-compliant.  KEYWORDS:  MeSH Chemical: Pyrazoles| fipronil sulfone MeSH: | Eggs/majr/analysis| European Union| Food Analysis/majr| Food Contamination/majr/analysis| Food Safety| Humans| Laboratories/majr/standards| Laboratory Proficiency Testing/majr| Pyrazoles/majr/analysis Other:Interlaboratory comparison|fipronil|fipronil sulfone|proficiency testing</t>
  </si>
  <si>
    <t>Cordeiro F, Bratinova S, Karasek L, Buttinger G, Stroka J, Emteborg H, Seghers J, Robouch P, Emons H</t>
  </si>
  <si>
    <t>904-910</t>
  </si>
  <si>
    <t>Evaluation of the genotoxicity of neurotoxic insecticides using the micronucleus test in Tradescantia pallida.</t>
  </si>
  <si>
    <t>de Morais CR, Pereira BB, Almeida Sousa PC, Vieira Santos VS, Campos CF, Carvalho SM, Spanó MA, de Rezende AAA, Bonetti AM</t>
  </si>
  <si>
    <t>227</t>
  </si>
  <si>
    <t>371-380</t>
  </si>
  <si>
    <t>YTOX: a rapid toxicity test based on the dehydrogenase activity of Saccharomyces cerevisiae for detection of contaminants in water samples.</t>
  </si>
  <si>
    <t>YTOX: a rapid toxicity test based on the dehydrogenase activity of Saccharomyces cerevisiae for detection of contaminants in water samples.    ABSTRACT:  A simple generic toxicity method (test) is proposed using baker's yeast to mediate the reduction of the colourless triphenyltetrazolium chloride (TTC) to red, 1,3,5-triphenyl formazan, which can be extracted by dimethyl sulfoxide (DMSO), enabling the identification of reducible toxic compounds (e.g. cadmium, fipronil) in water for consumption.Copyright © 2019 Elsevier B.V. All rights reserved.  KEYWORDS:  MeSH Chemical: 1,3,5-triphenylformazan| Formazans| Gasoline| Pyrazoles| Tetrazolium Salts| Water Pollutants, Chemical| Cadmium| Water| triphenyltetrazolium| Oxidoreductases| fipronil| Dimethyl Sulfoxide MeSH: | Cadmium/analysis| Dimethyl Sulfoxide| Formazans| Gasoline| Oxidoreductases/majr/metabolism| Pyrazoles/analysis| Saccharomyces cerevisiae/majr/metabolism| Tetrazolium Salts| Toxicity Tests/majr/methods| Water| Water Pollutants, Chemical/majr/analysis Other:Baker's yeast|Cadmium|Fipronil|Formazan|Gasoline|Methanol|TTC</t>
  </si>
  <si>
    <t>Gomes LH, Duarte KMR, Kamogawa MY, Ferrarezi JA, Andrino FG, Tavares ACL, da Silva APM, Laguna SE, de Lira SP</t>
  </si>
  <si>
    <t>Journal of microbiological methods</t>
  </si>
  <si>
    <t>43-46</t>
  </si>
  <si>
    <t>Widespread occurrence and spatial distribution of glyphosate, atrazine, and neonicotinoids pesticides in the St. Lawrence and tributary rivers.</t>
  </si>
  <si>
    <t>Montiel-León JM, Munoz G, Vo Duy S, Do DT, Vaudreuil MA, Goeury K, Guillemette F, Amyot M, Sauvé S</t>
  </si>
  <si>
    <t>29-39</t>
  </si>
  <si>
    <t>Enantioselective degradation and bioaccumulation of sediment-associated fipronil in Lumbriculus variegatus: Toxicokinetic analysis.</t>
  </si>
  <si>
    <t>Wang S, Li H, You J</t>
  </si>
  <si>
    <t>672</t>
  </si>
  <si>
    <t>335-341</t>
  </si>
  <si>
    <t>Effect of fipronil on biogas production performance during anaerobic digestion of chicken manure and corn straw.</t>
  </si>
  <si>
    <t>Effect of fipronil on biogas production performance during anaerobic digestion of chicken manure and corn straw.    ABSTRACT:  Fipronil is a broad-spectrum insecticide that has a good control effect on pests of commercial poultry. Although many studies have reported the environmental fate of fipronil, the influence of residual fipronil in poultry waste on biogas production has not been further explored yet. In this article, an experimental comparative study on anaerobic digestion (AD) of chicken manure (CM) and corn straw (CS) with different fipronil concentrations (FCs) was carried at 8% of total solid (TS) and mid-temperature (35 ± 1)°C. The results showed that fipronil had a significant effect on biogas production during AD of CM and CS. When the FC is at a low level (≤10 mg·kg-1), the biogas production rate is increased and the digestion period was shortened, while higher FC (≥ 20 mg·kg-1) showed an inhibitory effect. During the monitoring of enzyme activity, low FC showed no significant effect on cellulase and saccharase, but the urease activity increased in the early stage. High FC showed inhibition of activity of cellulase and urease, but the saccharase activity was significantly inhibited until FC reached 40 mg·kg-1. This study also confirms that the environment in anaerobic digester is favorable for the degradation of fipronil, and its half-life is about 15.83 days.  KEYWORDS:  MeSH Chemical: Biofuels| Insecticides| Manure| Pyrazoles| beta-Fructofuranosidase| Cellulase| Methane| fipronil MeSH: | Anaerobiosis/drug effects| Animals| Biofuels/majr| Cellulase/antagonists &amp; inhibitors/metabolism| Chickens| Half-Life| Insecticides/metabolism/pharmacology| Manure/majr| Methane| Plant Stems/metabolism| Pyrazoles/majr/metabolism/pharmacology| Temperature| Waste Disposal, Fluid/majr/instrumentation/methods| Zea mays/majr| beta-Fructofuranosidase/antagonists &amp; inhibitors/metabolism Other:Fipronil|anaerobic digestion|chicken manure|degradation|enzymatic activity</t>
  </si>
  <si>
    <t>Hu X, Jiang H, Zhang Y, Huang F, Jiang M</t>
  </si>
  <si>
    <t>449-458</t>
  </si>
  <si>
    <t>Efficacy of a new topical formulation of selamectin plus sarolaner for the control of fleas and ticks infesting cats in Japan.</t>
  </si>
  <si>
    <t>Yonetake W, Fujii T, Naito M, Hodge A, Maeder S, Rugg D</t>
  </si>
  <si>
    <t>270 Suppl 1</t>
  </si>
  <si>
    <t>S12-S18</t>
  </si>
  <si>
    <t>Exposure of low-dose fipronil enantioselectively induced anxiety-like behavior associated with DNA methylation changes in embryonic and larval zebrafish.</t>
  </si>
  <si>
    <t>Qian Y, Ji C, Yue S, Zhao M</t>
  </si>
  <si>
    <t>249</t>
  </si>
  <si>
    <t>362-371</t>
  </si>
  <si>
    <t>Shedding of feline lungworm larvae and their infectivity to snail intermediate hosts after anthelmintic treatment.</t>
  </si>
  <si>
    <t>Cavalera MA, Colella V, Napoli E, Arfuso F, Panarese R, Brianti E, Otranto D</t>
  </si>
  <si>
    <t>International journal for parasitology</t>
  </si>
  <si>
    <t>49</t>
  </si>
  <si>
    <t>449-453</t>
  </si>
  <si>
    <t>Heterogeneous degradation of pesticides by OH radicals in the atmosphere: Influence of humidity and particle type on the kinetics.</t>
  </si>
  <si>
    <t>Heterogeneous degradation of pesticides by OH radicals in the atmosphere: Influence of humidity and particle type on the kinetics.    ABSTRACT:  Pesticides can be adsorbed on the surface of atmospheric aerosol, depending on their physicochemical properties. They can be degraded by atmospheric oxidants such as OH radicals but the influence of some environmental parameters on the degradation kinetics, especially relative humidity and particle surface type, is not well understood. Heterogeneous degradation by OH radicals of eight commonly used pesticides (i.e., difenoconazole, tetraconazole, cyprodinil, fipronil, oxadiazon, pendimethalin, deltamethrin, and permethrin) adsorbed on hydrophobic and hydrophilic silicas at a relative humidity ranging from 0% to 70% was studied. Under experimental conditions, only cyprodinil, deltamethrin, permethrin, and pendimethalin were degraded by OH radical in atmospheric relevant concentration. Second-order kinetic constants calculated for the pesticides degraded by OH radicals ranged from (1.93 ± 0.61) × 10-13 cm3 molecule-1 s-1 (permethrin, hydrophobic silica, 30% RH) to (4.08 ± 0.27) × 10-12 cm3 molecule-1 s-1 (pendimethalin, hydrophilic silica, 0% RH). Results obtained can contribute to improve the understanding of the atmospheric fate of pesticides and other semi-volatile organic compounds in the particulate phase and they highlight the importance of taking humidity and particle type into account for the determination of pesticides atmospheric half-lives.Copyright © 2019 Elsevier B.V. All rights reserved.  KEYWORDS:  Other:Aerosols|Atmosphere|Degradation|Humidity|OH radical|Pesticides</t>
  </si>
  <si>
    <t>Mattei C, Wortham H, Quivet E</t>
  </si>
  <si>
    <t>664</t>
  </si>
  <si>
    <t>1084-1094</t>
  </si>
  <si>
    <t>Occurrence of Urban-Use Pesticides and Management with Enhanced Stormwater Control Measures at the Watershed Scale.</t>
  </si>
  <si>
    <t>Occurrence of Urban-Use Pesticides and Management with Enhanced Stormwater Control Measures at the Watershed Scale.    ABSTRACT:  Urban-use pesticides are of increasing concern as they are widely used and have been linked to toxicity of aquatic organisms. To assess the occurrence and treatment of these pesticides in stormwater runoff, an approach combining field sampling and watershed-scale modeling was employed. Stormwater samples were collected at four locations in the lower San Diego River watershed during a storm event and analyzed for fipronil, three of its degradation products, and eight pyrethroids. All 12 compounds were detected with frequency ranging from 50 to 100%. Field results indicate pesticide pollution is ubiquitous at levels above toxicity benchmarks and that runoff may be a major pollutant source to urban surface waters. A watershed-scale stormwater model was developed, calibrated using collected data, and evaluated for pesticide storm load and concentrations under several management scenarios. Modeling results show that enhanced stormwater control measures, such as biochar-amended biofilters, reduce both pesticide storm load and toxicity benchmark exceedances, while conventional biofilters reduce the storm load but provide minimal toxicity benchmark exceedance reduction. Consequently, biochar amendment has the potential to broadly improve water quality at the watershed scale, particularly when meeting concentration-based metrics such as toxicity benchmarks. This research motivates future work to demonstrate the reliability of full-scale enhanced stormwater control measures to treat pollutants of emerging concern.  KEYWORDS:  MeSH Chemical: Pesticides| Water Pollutants, Chemical MeSH: | Environmental Monitoring| Pesticides/majr| Rain| Reproducibility of Results| Water Pollutants, Chemical/majr</t>
  </si>
  <si>
    <t>Wolfand JM, Seller C, Bell CD, Cho YM, Oetjen K, Hogue TS, Luthy RG</t>
  </si>
  <si>
    <t>3634-3644</t>
  </si>
  <si>
    <t>Mutations in Rhipicephalus microplus GABA gated chloride channel gene associated with fipronil resistance.</t>
  </si>
  <si>
    <t>Castro Janer E, Klafke GM, Fontes F, Capurro ML, Schumaker TSS</t>
  </si>
  <si>
    <t>761-765</t>
  </si>
  <si>
    <t>Surface-Enhanced Raman Scattering Detection of Fipronil Pesticide Adsorbed on Silver Nanoparticles.</t>
  </si>
  <si>
    <t>Surface-Enhanced Raman Scattering Detection of Fipronil Pesticide Adsorbed on Silver Nanoparticles.    ABSTRACT:  This work presents a surface-enhanced Raman scattering (SERS) and density functional theory (DFT) study of a fipronil adsorbed on colloidal silver nanoparticles (AgNPs). A standard curve was established to quantify fipronil within a range of 0.0001⁻0.1 ppm (r² ≥ 0.985), relying on the unique fipronil Raman shift at ~2236 cm-1 adsorbed on AgNPs. DFT calculations suggest that the nitrile moiety (C≡N) binding should be slightly more favorable, by 1.92 kcal/mol, than those of the nitrogen atom of the pyrazole in fipronil and Ag₆ atom clusters. The characteristic peaks of the SERS spectrum were identified, and both the calculated vibrational wavenumbers and the Raman intensity pattern were considered. The vibrational spectra of fipronil were obtained from the potential energy distribution (PED) analysis and selective Raman band enhancement.  KEYWORDS:  Other:DFT calculations|Raman spectroscopy|fipronil|food contaminations</t>
  </si>
  <si>
    <t>Ly NH, Nguyen TH, Nghi NĐ, Kim YH, Joo SW</t>
  </si>
  <si>
    <t>Effect of non-antifungal agrochemicals on the pathogenic fungus Cryptococcus gattii.</t>
  </si>
  <si>
    <t>Carneiro HCS, Ribeiro NQ, Bastos RW, Santos DA</t>
  </si>
  <si>
    <t>Medical mycology</t>
  </si>
  <si>
    <t>47-53</t>
  </si>
  <si>
    <t>First report of Neotrombicula inopinata infestation in domestic cats from Portugal.</t>
  </si>
  <si>
    <t>First report of Neotrombicula inopinata infestation in domestic cats from Portugal.    ABSTRACT:  Trombiculids parasitize a wide variety of terrestrial vertebrates, including domestic animals, throughout the world. They are parasites only during their larval stages, causing several dermatological lesions on their hosts, such as acute dermatitis, erythema, excoriation, erosion, papules, crusts and alopecia on the ear margins, face, interdigital spaces and abdomen. Neotrombicula is one of the several genera in Trombiculidae family, which cause trombiculosis. The most common species implicated in clinical cases is Neotrombicula autumnalis. However, several reports have shown that Neotrombicula inopinata (Oudemans, 1909) can also play a role in trombiculosis. Here, we describe the first case of  N. inopinata infestation in domestic cats from mainland Portugal. Since nucleic acids of Anaplasma phagocytophilum and Borrelia burgdorferi have been found in Neotrombicula autumnalis and Rickettsia spp. in Neotrombicula inopinata, a correct taxonomical identification is essential to understand the role of these mite species as possible vectors of pathogens.Copyright © 2019. Published by Elsevier B.V.  KEYWORDS:  MeSH Chemical: Acaricides| Pyrazoles| fipronil MeSH: | Acaricides/therapeutic use| Animals| Animals, Domestic/majr/parasitology| Cats/majr/parasitology| Disease Vectors| Larva/genetics| Portugal/epidemiology| Pyrazoles/therapeutic use| Skin/parasitology/pathology| Trombiculiasis/majr/drug therapy/epidemiology/veterinary| Trombiculidae/genetics Other:Cat|Chigger mites|Neotrombicula inopinata|Portugal|Trombiculidae</t>
  </si>
  <si>
    <t>Ramilo DW, Monteiro C, Carreira M, Pereira da Fonseca I, Cardoso L</t>
  </si>
  <si>
    <t>267</t>
  </si>
  <si>
    <t>1-3</t>
  </si>
  <si>
    <t>Retrospective nationwide occurrence of fipronil and its degradates in U.S. wastewater and sewage sludge from 2001 - 2016.</t>
  </si>
  <si>
    <t>Sadaria AM, Labban CW, Steele JC, Maurer MM, Halden RU</t>
  </si>
  <si>
    <t>155</t>
  </si>
  <si>
    <t>465-473</t>
  </si>
  <si>
    <t>Interaction of fipronil and the red imported fire ant (Solenopsis invicta): Toxicity differences and detoxification responses.</t>
  </si>
  <si>
    <t>Xiong T, Qiu XH, Ling SQ, Liu JL, Zeng XN</t>
  </si>
  <si>
    <t>Journal of insect physiology</t>
  </si>
  <si>
    <t>115</t>
  </si>
  <si>
    <t>20-26</t>
  </si>
  <si>
    <t>Biodegradation of fipronil and its metabolite fipronil sulfone by Streptomyces rochei strain AJAG7 and its use in bioremediation of contaminated soil.</t>
  </si>
  <si>
    <t>Biodegradation of fipronil and its metabolite fipronil sulfone by Streptomyces rochei strain AJAG7 and its use in bioremediation of contaminated soil.    ABSTRACT:  Fipronil is a most widely used insecticide. It has been found to be highly toxic to insects with alarming decline in honey bees' population. It has shown to cause severe contamination of soil and water. The present study was undertaken to understand the degradation of fipronil and its metabolite fipronil sulfone using actinomycetes. Fipronil degrading actinomycetes strain AJAG7 was isolated from fipronil contaminated agricultural field by enrichment method. Molecular identification by 16S rRNA gene sequencing identified strain AJAG7 as Streptomyces rochei. The biodegradation of fipronil and its metabolite fipronil sulfone by strain AJAG7 was examined by HPLC. Biodegradation pathway of fipronil by strain AJAG7 was deduced with GC-MS analysis. Scanning electron microscopy was used to investigate the surface morphological changes of strain AJAG7 upon fipronil degradation. Apart from fipronil degradation, low cost powder formulation of strain AJAG7 was prepared using agricultural waste to remediate the fipronil contaminated agricultural field. Results of the present study suggest that strain AJAG7 qualifies as an ideal candidate for biodegradation of fipronil contaminated environment.Copyright © 2019 Elsevier Inc. All rights reserved.  KEYWORDS:  MeSH Chemical: Pyrazoles| fipronil sulfone| fipronil MeSH: | Biodegradation, Environmental| Chromatography, High Pressure Liquid| Gas Chromatography-Mass Spectrometry| Pyrazoles/majr/metabolism| Soil Microbiology| Streptomyces/majr/metabolism Other:Actinomycetes|Degradation|Infrared spectrum|Kinetic analysis|SEM</t>
  </si>
  <si>
    <t>Abraham J, Gajendiran A</t>
  </si>
  <si>
    <t>90-100</t>
  </si>
  <si>
    <t>The Effect of Temperature on the Development of Trilocha varians (Lepidoptera: Bombycidae) and Control of the Ficus Plant Pest.</t>
  </si>
  <si>
    <t>The Effect of Temperature on the Development of Trilocha varians (Lepidoptera: Bombycidae) and Control of the Ficus Plant Pest.    ABSTRACT:  Ficus plants are commonly planted as ornamentals along roadsides in Malaysia. In 2010, Ficus plants in Kuala Terengganu were found to be attacked by a moth, identified as Trilocha varians. The larvae of this moth fed on Ficus leaves causing up to 100% defoliation. This study was conducted to determine the life cycle of T. varians under two different environmental temperatures and to control this pest using two different insecticides. Our findings showed that there were significant differences in the time taken for eggs to hatch and larval and pupation period between low and high environmental temperatures. Results also showed that fipronil had lower LT50 and LT95 than malathion. This study provides new information on the life history of T. varians under two different conditions and the efficiency in controlling T. varians larvae using insecticides. The results of this study are important for future management in controlling T. varians population especially in Kuala Terengganu, Malaysia.  KEYWORDS:  Other:Ficus spp.|Fipronil|Malathion|Moth|Ornamental Plants|Tropical Environment</t>
  </si>
  <si>
    <t>Basari N, Mustafa NS, Yusrihan NEN, Yean CW, Ibrahim Z</t>
  </si>
  <si>
    <t>Tropical life sciences research</t>
  </si>
  <si>
    <t>23-31</t>
  </si>
  <si>
    <t>Reactive seizures in cats: A retrospective study of 64 cases.</t>
  </si>
  <si>
    <t>Kwiatkowska M, Hoppe S, Pomianowski A, Tipold A</t>
  </si>
  <si>
    <t>Veterinary journal (London, England : 1997)</t>
  </si>
  <si>
    <t>244</t>
  </si>
  <si>
    <t>Susceptibility Profile of Aedes aegypti L. (Diptera: Culicidae) from Montclair, California, to Commonly Used Pesticides, With Note on Resistance to Pyriproxyfen.</t>
  </si>
  <si>
    <t>Su T, Thieme J, Lura T, Cheng ML, Brown MQ</t>
  </si>
  <si>
    <t>1047-1054</t>
  </si>
  <si>
    <t>The Terminalia laxiflora modulates the neurotoxicity induced by fipronil in male albino rats.</t>
  </si>
  <si>
    <t>The Terminalia laxiflora modulates the neurotoxicity induced by fipronil in male albino rats.    ABSTRACT:  The extensive use of fipronil (FPN) may trigger hazards to more than insects. The present investigation was carried out to evaluate the abrogating role of Terminalia laxiflora (TL) methanol extract (TLE) against the neurotoxic effects provoked by FPN. Fourty male albino rats were assigned into four equal groups. The first group served as control, the second one was orally administered FPN (10.5 mg/kg BW), the third group was given combination of FPN and TLE) (100 mg/kg BW), and the fourth one was orally given TLE. Our findings highlighted the efficacy of TLE as a neuroprotectant through a significant reduction in malondialdehyde (MDA) content by 25.8%, elevations of the reduced glutathione (GSH) level, catalase (CAT,) and superoxide dismutase (SOD) activities by 30.9, 41.2, and 48.2% respectively. Consequently, the relative mRNA levels of both Bax and caspase-3 were down-regulated by 40.54% and caspase-3 by 30.35% compared with the control group. Moreover, restoration of the pathological tissue injuries were detected. In conclusion, TLE proved to be a potent neuroprotective agent against the FPN-induced toxicity.© 2019 The Author(s).  KEYWORDS:  MeSH Chemical: Insecticides| Neuroprotective Agents| Plant Extracts| Pyrazoles| Malondialdehyde| Catalase| Superoxide Dismutase| Caspase 3| Glutathione| fipronil| Methanol MeSH: | Animals| Caspase 3/genetics/metabolism| Catalase/metabolism| Glutathione/metabolism| Insecticides/toxicity| Male| Malondialdehyde/metabolism| Methanol/chemistry| Neuroprotective Agents/chemistry/pharmacology| Neurotoxicity Syndromes/majr/etiology/metabolism/prevention &amp; control| Plant Extracts/majr/chemistry/pharmacology| Pyrazoles/majr/toxicity| Rats| Superoxide Dismutase/metabolism| Terminalia/majr/chemistry Other:apptosis|fipronil|neurotoxicity|terminella laxiflora</t>
  </si>
  <si>
    <t>Khalaf AA, Galal MK, Ibrahim MA, Allah AAA, Afify MM, Refaat R</t>
  </si>
  <si>
    <t>Bioscience reports</t>
  </si>
  <si>
    <t>Evaluation of pilot-scale biochar-amended woodchip bioreactors to remove nitrate, metals, and trace organic contaminants from urban stormwater runoff.</t>
  </si>
  <si>
    <t>Ashoori N, Teixido M, Spahr S, LeFevre GH, Sedlak DL, Luthy RG</t>
  </si>
  <si>
    <t>Effects of urban multi-stressors on three stream biotic assemblages.</t>
  </si>
  <si>
    <t>Waite IR, Munn MD, Moran PW, Konrad CP, Nowell LH, Meador MR, Van Metre PC, Carlisle DM</t>
  </si>
  <si>
    <t>660</t>
  </si>
  <si>
    <t>1472-1485</t>
  </si>
  <si>
    <t>An enhanced sensitivity and cleanup strategy for the nontargeted screening and targeted determination of pesticides in tea using modified dispersive solid-phase extraction and cold-induced acetonitrile aqueous two-phase systems coupled with liquid chromatography-high resolution mass spectrometry.</t>
  </si>
  <si>
    <t>Wang F, Li S, Feng H, Yang Y, Xiao B, Chen D</t>
  </si>
  <si>
    <t>275</t>
  </si>
  <si>
    <t>530-538</t>
  </si>
  <si>
    <t>Distribution of fipronil in humans, and adverse health outcomes of in utero fipronil sulfone exposure in newborns.</t>
  </si>
  <si>
    <t>Kim YA, Yoon YS, Kim HS, Jeon SJ, Cole E, Lee J, Kho Y, Cho YH</t>
  </si>
  <si>
    <t>222</t>
  </si>
  <si>
    <t>524-532</t>
  </si>
  <si>
    <t>Hazardous sub-cellular effects of Fipronil directly influence the organismal parameters of Spodoptera litura.</t>
  </si>
  <si>
    <t>Jameel M, Alam MF, Younus H, Jamal K, Siddique HR</t>
  </si>
  <si>
    <t>216-224</t>
  </si>
  <si>
    <t>Transcriptome analysis reveals the role of the PCP pathway in fipronil and endotoxin-induced lung damage.</t>
  </si>
  <si>
    <t>Transcriptome analysis reveals the role of the PCP pathway in fipronil and endotoxin-induced lung damage.    ABSTRACT:    KEYWORDS:  MeSH Chemical: Endotoxins| Il17c protein, mouse| Insecticides| Interleukin-17| Proto-Oncogene Proteins| Pyrazoles| Wnt Proteins| Wnt6 protein, mouse| Interleukin-4| Mitogen-Activated Protein Kinase 8| fipronil MeSH: | Animals| Bronchoalveolar Lavage Fluid/cytology| Endotoxins/majr| Gene Expression Profiling/majr| Immunohistochemistry| Insecticides/majr| Interleukin-17/biosynthesis| Interleukin-4/biosynthesis| Lung Diseases/majr/chemically induced/genetics| Male| Mice| Microarray Analysis| Mitogen-Activated Protein Kinase 8/biosynthesis| Polymerase Chain Reaction| Proto-Oncogene Proteins/biosynthesis| Pyrazoles/majr| Wnt Proteins/biosynthesis| Wnt Signaling Pathway/majr/drug effects/genetics</t>
  </si>
  <si>
    <t>Pandit AA, Gandham RK, Mukhopadhyay CS, Verma R, Sethi RS</t>
  </si>
  <si>
    <t>Respiratory research</t>
  </si>
  <si>
    <t>Fluxametamide: A novel isoxazoline insecticide that acts via distinctive antagonism of insect ligand-gated chloride channels.</t>
  </si>
  <si>
    <t>Asahi M, Kobayashi M, Kagami T, Nakahira K, Furukawa Y, Ozoe Y</t>
  </si>
  <si>
    <t>151</t>
  </si>
  <si>
    <t>67-72</t>
  </si>
  <si>
    <t>Insecticidal and repellent properties of novel trifluoromethylphenyl amides II.</t>
  </si>
  <si>
    <t>Insecticidal and repellent properties of novel trifluoromethylphenyl amides II.    ABSTRACT:  This project focused on the design, synthesis, and testing of trifluoromethylphenyl amides (TFMPAs) as potential mosquitocides and repellents. Fourteen compounds were evaluated for toxicity against larvae and adults of Aedes aegypti. Several compounds were toxic against Aedes aegypti (larval, adult and feeding bioassays) and Drosophila melanogaster (glass-surface contact assay), but were much less toxic than fipronil, with toxicity ratios ranging from 100-fold in the larval assay to 100,000-fold for topical application to adult insects. In repellency bioassays to determine minimum effective dosage (MED), compound N-(2,6-dichloro-4-(trifluoromethyl)phenyl)-2,2,3,3,3-pentafluoropropanamide (7b) repelled Ae. aegypti females at lower concentration, 0.017 (±0.006) μmol/cm2, than N, N-diethyl-meta-toluamide (DEET) 0.026 (±0.005) μmol/cm2. 2-Chloro-N-(3-(trifluoromethyl)phenyl)acetamide (6a) performed better than DEET against two species of mosquitoes: it repelled Ae. aegypti females at 0.013 (±0.006) μmol/cm2 and Anopheles gambiae females (in a warm body repellent assay), at a standard exposure of 2 nmol/cm2. These studies revealed novel active structures that could further lead to compounds with better repellent activity.Copyright © 2018 Elsevier Inc. All rights reserved.  KEYWORDS:  MeSH Chemical: Amides| Insect Repellents| Insecticides| DEET MeSH: | Aedes/drug effects| Amides/majr/chemical synthesis/chemistry/pharmacology| Animals| Anopheles/drug effects| DEET/pharmacology| Drosophila| Insect Repellents/chemical synthesis/chemistry/pharmacology| Insecticides/chemical synthesis/chemistry/pharmacology Other:Aedes aegypti|Anopheles gambiae|Drosophila melanogaster|Mosquito</t>
  </si>
  <si>
    <t>Tsikolia M, Bernier UR, Agramonte NM, Estep AS, Becnel JJ, Tabanca N, Linthicum KJ, Gross AD, Guerin PM, Kröber T, Bloomquist JR</t>
  </si>
  <si>
    <t>40-46</t>
  </si>
  <si>
    <t>Temperature-Mediated Variations in Behavior and Mortality Caused by Non-Repellent Insecticides in Subterranean Termites (Blattodea: Rhinotermitidae).</t>
  </si>
  <si>
    <t>Temperature-Mediated Variations in Behavior and Mortality Caused by Non-Repellent Insecticides in Subterranean Termites (Blattodea: Rhinotermitidae).    ABSTRACT:  Behavioral symptoms and mortality associated with intoxication with insecticides fipronil and indoxacarb were determined in field-collected eastern subterranean termites, Reticulitermes flavipes (Kollar), and Formosan subterranean termites, Coptotermes formosanus Shiraki. Behaviors and mortality were evaluated at three temperatures (16, 22, and 28 °C) and three concentrations of fipronil (0.5, 1, and 5 ppm) and indoxacarb (50, 75, and 100 ppm). LT50 (median lethal time to kill 50% of the termites) values declined with increasing concentrations and temperatures for both fipronil-exposed eastern and Formosan subterranean termites, whereas these values were not always the highest at 16 °C for indoxacarb-treated termites. The greatest change (reduction) in LT50 values occurred for both species between 16 and 22 °C at the lowest concentration of each insecticide. Intoxication and moribundity were the most frequently observed behaviors for fipronil-exposed termites, whereas intoxication, ataxia, and moribundity were observed for most concentration and temperature combinations for indoxacarb-exposed termites. The inherent toxicity of fipronil was higher than that of indoxacarb. The higher presence and duration of intoxication behaviors may positively affect the performance of indoxacarb against subterranean termite colonies.  KEYWORDS:  Other:Formosan subterranean termite|eastern subterranean termite|sublethal behaviors|temperature-toxicity</t>
  </si>
  <si>
    <t>Quarcoo FY, Hu XP, Appel AG</t>
  </si>
  <si>
    <t>Efficacy of winter-spring strategic control against Rhipicephalus (Boophilus) microplus infestations on cattle in an area with ecological conditions highly favourable for the tick in northeast Argentina.</t>
  </si>
  <si>
    <t>Efficacy of winter-spring strategic control against Rhipicephalus (Boophilus) microplus infestations on cattle in an area with ecological conditions highly favourable for the tick in northeast Argentina.    ABSTRACT:  This work was performed to test the efficacy of winter-spring control strategies against Rhipicephalus (Boophilus) microplus (Ixodida: Ixodidae) infestations on cattle in the area ecologically most favourable for the development of this tick in Argentina. Two control schemes using three and four annual applications of acaricides, respectively, were evaluated. Animals in Group 1 were treated with ivermectin 3.15% on day 0, fluazuron on day 34, and fipronil on day 85. Animals in Group 2 were treated with ivermectin 3.15% on day 0, fluazuron on day 34, flumethrin on day 85, and fipronil on day 114. Animals in Group 3 represented the control group. Both treatment schemes provided appropriate levels of efficacy against R. microplus and also prevented the occurrence of the major peak in the frequency of this tick in autumn. The two treatment schemes were similar in terms of efficacy and thus the addition of a fourth treatment does not seem to confer any further advantage. The results of this work indicate that these strategic control methods provide appropriate levels of control against R. microplus.© 2019 The Royal Entomological Society.  KEYWORDS:  MeSH Chemical: Acaricides MeSH: | Acaricides/majr/pharmacology| Animals| Argentina| Cattle| Cattle Diseases/majr/parasitology/prevention &amp; control| Disease Eradication/majr/methods| Ecosystem| Female| Rhipicephalus/majr/drug effects/physiology| Seasons| Tick Infestations/majr/parasitology/prevention &amp; control/veterinary Other:Argentina|Cattle|cattle tick|control</t>
  </si>
  <si>
    <t>Nava S, Toffaletti JR, Morel N, Guglielmone AA, Mangold AJ</t>
  </si>
  <si>
    <t>312-316</t>
  </si>
  <si>
    <t>Trap-treat-release: horizontal transfer of fipronil in field colonies of black carpenter ants, Camponotus pennsylvanicus.</t>
  </si>
  <si>
    <t>2195-2201</t>
  </si>
  <si>
    <t>Ultrasound-assisted emulsification liquid phase microextraction method based on deep eutectic solvent as extraction solvent for determination of five pesticides in traditional Chinese medicine.</t>
  </si>
  <si>
    <t>Li X, Wang M, Zhao J, Guo H, Gao X, Xiong Z, Zhao L</t>
  </si>
  <si>
    <t>166</t>
  </si>
  <si>
    <t>213-221</t>
  </si>
  <si>
    <t>Development of precise GC-EI-MS method to determine the residual fipronil and its metabolites in chicken egg.</t>
  </si>
  <si>
    <t>Development of precise GC-EI-MS method to determine the residual fipronil and its metabolites in chicken egg.    ABSTRACT:  Fipronil is a highly toxic insecticide, and fipronil egg scandal greatly threaten people's health. Herein, a precise and reliable method was developed for the determination of fipronil and three metabolites in chicken egg by GC-EI-MS. Sample pretreatment took about 20 min and baseline separation of four analytes were realized within 12 min by GC-MS. Moreover, the limits of detection were 0.2-0.5 ng g-1 and the limits of quantitation was 0.5-1 ng g-1 with relative standard deviations (RSDs) lower that 3.32%. Satisfactory recoveries were get in the range of 81.16-103.57% for three levels of spiked samples. Finally, the developed method has been applied for the analysis of egg samples from four sources. Results showed that fipronil and fipronil-sulfone were detected in three samples, while fipronil-desulfinyl and fipronil-sulfide were totally absent. The method showed great promising in quantification of fipronil and its metabolites in food safety affairs.Copyright © 2018. Published by Elsevier Ltd.  KEYWORDS:  MeSH Chemical: Acetonitriles| Insecticides| Pyrazoles| Sulfones| fipronil| acetonitrile MeSH: | Acetonitriles/analysis| Eggs/majr/analysis| Food Analysis/majr| Food Contamination/majr/analysis| Gas Chromatography-Mass Spectrometry| Insecticides/majr/analysis| Limit of Detection| Pyrazoles/majr/analysis| Reproducibility of Results| Sulfones/analysis Other:Fipronil|Gas chromatography tandem mass spectrometry|Liquid-liquid re-extraction|Protein precipitation|Solid-phase extraction</t>
  </si>
  <si>
    <t>Li X, Li H, Ma W, Guo Z, Li X, Song S, Tang H, Li X, Zhang Q</t>
  </si>
  <si>
    <t>281</t>
  </si>
  <si>
    <t>85-90</t>
  </si>
  <si>
    <t>Synergism of Adulticides and Insect Growth Regulators Against Larval Cat Fleas (Siphonaptera: Pulicidae).</t>
  </si>
  <si>
    <t>Rust MK, Hemsarth WLH</t>
  </si>
  <si>
    <t>790-795</t>
  </si>
  <si>
    <t>Evaluation of Five Pulicides to Suppress Fleas on Black-Tailed Prairie Dogs: Encouraging Long-Term Results with Systemic 0.005% Fipronil.</t>
  </si>
  <si>
    <t>Eads DA, Biggins DE, Bowser J, Broerman K, Livieri TM, Childers E, Dobesh P, Griebel RL</t>
  </si>
  <si>
    <t>Vector borne and zoonotic diseases (Larchmont, N.Y.)</t>
  </si>
  <si>
    <t>400-406</t>
  </si>
  <si>
    <t>Butylene fipronil induces apoptosis in PC12 murine nervous cells via activation of p16-CDK4/6-cyclin D1 and mitochondrial apoptotic pathway.</t>
  </si>
  <si>
    <t>Butylene fipronil induces apoptosis in PC12 murine nervous cells via activation of p16-CDK4/6-cyclin D1 and mitochondrial apoptotic pathway.    ABSTRACT:  Butylene fipronil (BFPN) is a phenylpyrazole insecticide, acting at the γ-aminobutyric acid (GABA) receptor. Here, we show that BFPN inducedcytotoxicity in PC12 murinenervous cells, which lacks GABA receptor. Treatment with BFPN for 48 hours significantly enhanced G0/G1 arrest and induced apoptosis. BFPN decreased the expression of cyclin-dependent kinase (CDK4 and CDK6) and increased P16 and cyclin D1. Simultaneously, Bcl-2 protein was declined while Bax and cytochrome c were significantly enhanced in BFPN-treated groups. The apoptotic enzymes caspase-8, -9, and -3 were also activated by BFPN. Furthermore, treatment with BFPN significantly stimulated reactive oxygen species (ROS) generation, and pretreatment with antioxidant diphenyleneiodonium, substantially reduced cell death. Overall, these results suggest that BFPN is effective to induce G0/G1-phase arrest and apoptosis in PC12 murine nervous cell. Stimulating ROS generation and activation of P16-CDK4/6-cyclin D1 and mitochondrial apoptotic pathway may participate in the cytotoxicity of BFPN.© 2018 Wiley Periodicals, Inc.  KEYWORDS:  MeSH Chemical: Pyrazoles| butylene fipronil| Cyclin D1| Cytochromes c| Cyclin-Dependent Kinase 4| Cyclin-Dependent Kinase 6| Caspases| 1-(2,6-dichloro-4-trifluoromethylphenyl)-5-(N-(2-methylprop-2-enyl)amino)-4-trifluoromethylsulfinylpyrazole-3-carbonitrile MeSH: | Animals| Apoptosis/majr/drug effects| Caspases/metabolism| Cyclin D1/metabolism| Cyclin-Dependent Kinase 4/metabolism| Cyclin-Dependent Kinase 6/metabolism| Cytochromes c/metabolism| G1 Phase Cell Cycle Checkpoints/majr/drug effects| PC12 Cells| Pyrazoles/majr/pharmacology| Rats Other:G0/G1-phase arrest|PC12 cells|apoptosis|butylene fipronil|reactive oxygen species</t>
  </si>
  <si>
    <t>Zhong S, Zhu J, Li Y, Wang X, Yu J, Ji D, Wu C</t>
  </si>
  <si>
    <t>Journal of biochemical and molecular toxicology</t>
  </si>
  <si>
    <t>e22264</t>
  </si>
  <si>
    <t>Interaction of insecticides with heteromeric GABA-gated chloride channels from zebrafish Danio rerio (Hamilton).</t>
  </si>
  <si>
    <t>Interaction of insecticides with heteromeric GABA-gated chloride channels from zebrafish Danio rerio (Hamilton).    ABSTRACT:  The ionotropic GABAA receptor (GABAAR) is the main fast inhibitory post-synaptic receptor and is also an important insecticidal target. Effect of insecticides on fish has attracted intensive attention. However, no systematic study on heteromeric zebrafish GABAAR expressed in oocytes has been reported to date. In this study, the α1 subunit, the β2S subunit lacking 47 amino acid residues compared with the β2L subunit, and the γ2 subunit having five transmembrane domains were isolated from zebrafish Danio rerio. The responses of homomeric and heteromeric (α1, β2S and γ2) channels to agonists and GABAAR-targeted compounds were detected with two-electrode voltage clamp. Dose-dependent responses were observed in heteromeric α1β2S, β2Sγ2, and α1β2Sγ2 GABAR channels with EC50 values at 21.75, 6291, and 33.69 μM for GABA-induced current and 3.28, 155.5, and 3.79 mM for β-alanine-induced current, respectively. However, no response was induced by benzamidine in all GABAR channels. Abamectin, dieldrin, fluralaner and fipronil could strongly inhibited GABA-induced inward current ≥50% at 10-6 M, while α-endosulfan, flufiprole and ethiprole only inhibited GABA-induced current &lt;50%. This study has clarified the interaction of insecticides with the heteromeric GABAAR channel, which could help us further explore the potential function and toxicological importance of GABAARs from D. rerio.Copyright © 2018 Elsevier B.V. All rights reserved.  KEYWORDS:  MeSH Chemical: Chloride Channels| Insecticides| Receptors, GABA MeSH: | Animals| Chloride Channels/majr/metabolism| Insecticides/majr/pharmacology| Receptors, GABA/majr/metabolism| Zebrafish/majr/metabolism Other:Danio rerio|Fluralaner|GABA(A) receptor|Insecticides|Xenopus oocytes</t>
  </si>
  <si>
    <t>Huang QT, Sheng CW, Jiang J, Tang T, Jia ZQ, Han ZJ, Zhao CQ</t>
  </si>
  <si>
    <t>366</t>
  </si>
  <si>
    <t>643-650</t>
  </si>
  <si>
    <t>Function and pharmacology of glutamate-gated chloride channel exon 9 splice variants from the diamondback moth Plutella xylostella.</t>
  </si>
  <si>
    <t>Wang X, O Reilly AO, Williamson MS, Puinean AM, Yang Y, Wu S, Wu Y</t>
  </si>
  <si>
    <t>Insect biochemistry and molecular biology</t>
  </si>
  <si>
    <t>104</t>
  </si>
  <si>
    <t>58-64</t>
  </si>
  <si>
    <t>Spectral interval optimization on rapid determination of prohibited addition in pesticide by ATR-FTIR.</t>
  </si>
  <si>
    <t>Spectral interval optimization on rapid determination of prohibited addition in pesticide by ATR-FTIR.    ABSTRACT:  Acetamiprid, as a low-toxicity pesticide, has already been extensively used to increase plant production and quality. Although fipronil has been prohibited, it is usually illicitly added to acetamiprid due to its particular insecticidal action and effect, so it is highly desirable to obtain a rapid and effective method to detect its concentration. Mid-infrared spectroscopy (MIR) combined with two variable selection methods, interval combination optimization (ICO) and interval partial least squares (iPLS), were used to determinate the prohibited addition of fipronil.The full spectra for both ICO and iPLS were divided into 40 equal-width intervals. Consequently, 45 and 135 characteristic variables were extracted from ICO and iPLS to establish the models. Compared with iPLS, the ICO model acquired a more suitable spectral region and as a result gained a higher prediction accuracy. Specifically, the ICO method selected the characteristic wavelengths ascribed to CF and CN (in five-membered heterocyclics), iPLS chose the intervals associated with CF and SO.Results revealed that MIR combined with ICO could be efficiently used for rapid identification of illegal addition and had great potential to provide on-site pesticide quality control. © 2018 Society of Chemical Industry.© 2018 Society of Chemical Industry.  KEYWORDS:  MeSH Chemical: Neonicotinoids| Pesticides| Pyrazoles| acetamiprid| fipronil MeSH: | Algorithms| Drug Compounding/majr| Least-Squares Analysis| Models, Statistical| Neonicotinoids/chemistry| Pesticides/majr/chemistry| Pyrazoles/majr/chemistry| Spectroscopy, Fourier Transform Infrared/majr| Time Factors Other:interval combination optimization|interval partial least squares|mid-infrared spectroscopypartial least squares|pesticide</t>
  </si>
  <si>
    <t>Li Q, Huang Y, Song X, Zhang J, Min S</t>
  </si>
  <si>
    <t>1743-1749</t>
  </si>
  <si>
    <t>Quantitative Detection of Fipronil and Fipronil-Sulfone in Sera of Black-Tailed Prairie Dogs and Rats after Oral Exposure to Fipronil by Camel Single-Domain Antibody-Based Immunoassays.</t>
  </si>
  <si>
    <t>Quantitative Detection of Fipronil and Fipronil-Sulfone in Sera of Black-Tailed Prairie Dogs and Rats after Oral Exposure to Fipronil by Camel Single-Domain Antibody-Based Immunoassays.    ABSTRACT:  The insecticide fipronil can be metabolized to its sulfone in mammalian species. Two camel single-domain antibodies (VHHs) F1 and F6, selective to fipronil and fipronil-sulfone, respectively, were generated and used to develop enzyme linked immunosorbent assays (ELISAs) for the detection of the two compounds in the sera of black-tailed prairie dogs and rats. The limits of detection of fipronil and fipronil-sulfone in the rodent sera by the corresponding ELISAs were 10 and 30 ng mL-1, and the linear ranges were 30-1000 and 75-2200 ng mL-1. ELISAs showed a good recovery for fipronil and fipronil-sulfone cospiked in the control sera of the black-tailed prairie dogs (90-109%) and rats (93-106%). The VHH-based ELISAs detected fipronil and fipronil-sulfone in the sera of the rodents that received a repeated oral administration of fipronil. The average concentration of fipronil-sulfone was approximately 3.2-fold higher than fipronil in the prairie dog sera (1.15 vs 0.36 μg mL-1) and rat sera (1.77 vs 0.53 μg mL-1). ELISAs agreed well with a liquid chromatography-mass spectrometry method for the quantification of both fipronil and fipronil-sulfone in real serum samples. Fipronil-sulfone was identified as the predominant metabolite of fipronil in the black-tailed prairie dog and rat sera.  KEYWORDS:  MeSH Chemical: Insecticides| Pyrazoles| Single-Domain Antibodies| fipronil sulfone| fipronil MeSH: | Administration, Oral| Animals| Enzyme-Linked Immunosorbent Assay/majr/methods| Immunization| Insecticides/majr/administration &amp; dosage/blood/immunology/metabolism| Pyrazoles/majr/administration &amp; dosage/blood/immunology/metabolism| Rats| Sciuridae| Single-Domain Antibodies/majr/immunology</t>
  </si>
  <si>
    <t>Wang K, Vasylieva N, Wan D, Eads DA, Yang J, Tretten T, Barnych B, Li J, Li QX, Gee SJ, Hammock BD, Xu T</t>
  </si>
  <si>
    <t>91</t>
  </si>
  <si>
    <t>1532-1540</t>
  </si>
  <si>
    <t>An overexpressed cytochrome P450 CYP439A1v3 confers deltamethrin resistance in Laodelphax striatellus Fallén (Hemiptera: Delphacidae).</t>
  </si>
  <si>
    <t>Miah MA, Elzaki MEA, Husna A, Han Z</t>
  </si>
  <si>
    <t>Archives of insect biochemistry and physiology</t>
  </si>
  <si>
    <t>100</t>
  </si>
  <si>
    <t>e21525</t>
  </si>
  <si>
    <t>Fipronil pesticide as a suspect in historical mass mortalities of honey bees.</t>
  </si>
  <si>
    <t>Holder PJ, Jones A, Tyler CR, Cresswell JE</t>
  </si>
  <si>
    <t>13033-13038</t>
  </si>
  <si>
    <t>Fipronil-induced decrease in the epididymal sperm count: oxidative effect and protection by vitamin E.</t>
  </si>
  <si>
    <t>Fipronil-induced decrease in the epididymal sperm count: oxidative effect and protection by vitamin E.    ABSTRACT:  The toxic effects of the insecticide fipronil on the sperm production and oxidative damage in the testis were evaluated, as well as the protective action of vitamin E. Male rats received vehicle or fipronil 5 mg/kg and fipronil 5 mg/kg + vitamin E 100 mg/kg for 14 days. Thereafter, the sperm concentration in the epididymis and parameters of oxidative damage in the homogenate of testicles were assessed. Fipronil reduced epidydimal sperm count. The activity of the glutathione peroxidase enzyme increased and that of catalase was reduced in the testis. Also, a reduction in GSH and an increase in the concentration of malondialdehyde were observed in the animals treated with fipronil. The vitamin E reestablished the analysed parameters to levels similar to those of the control group. We concluded that fipronil decreased sperm production in rats because of its oxidant activity and that this effect was reversed by vitamin E.Copyright © The Author(s). Published by CBRA.  KEYWORDS:  Other:antioxidants|insecticide|oxidative stress|spermatozoids|testis</t>
  </si>
  <si>
    <t>Mazzo M, Balieira KVB, Bizerra PFV, Mingatto FE</t>
  </si>
  <si>
    <t>Animal reproduction</t>
  </si>
  <si>
    <t>1223-1230</t>
  </si>
  <si>
    <t>Use of an Argentine Ant, Linepithema humile, Semiochemical to Deliver an Acute Toxicant.</t>
  </si>
  <si>
    <t>Gochnour BM, Suiter DR, Davis JW, Huang Q</t>
  </si>
  <si>
    <t>Field effectiveness and safety of fluralaner plus moxidectin (Bravecto® Plus) against ticks and fleas: a European randomized, blinded, multicenter field study in naturally-infested client-owned cats.</t>
  </si>
  <si>
    <t>Rohdich N, Zschiesche E, Wolf O, Loehlein W, Pobel T, Gil MJ, Roepke RKA</t>
  </si>
  <si>
    <t>598</t>
  </si>
  <si>
    <t>Functional integrity of honeybee (Apis mellifera L.) resistant to dieldrin γ-aminobutyric acid receptor channels conjugated with three fluorescent proteins.</t>
  </si>
  <si>
    <t>Huang QT, Sheng CW, Jiang J, Jia ZQ, Han ZJ, Zhao CQ, Liu GY</t>
  </si>
  <si>
    <t>Insect molecular biology</t>
  </si>
  <si>
    <t>313-320</t>
  </si>
  <si>
    <t>Manipulation of parasite load induces significant changes in the structural-based throat color of male iberian green lizards.</t>
  </si>
  <si>
    <t>Megía-Palma R, Martínez J, Merino S</t>
  </si>
  <si>
    <t>Current zoology</t>
  </si>
  <si>
    <t>64</t>
  </si>
  <si>
    <t>293-302</t>
  </si>
  <si>
    <t>Enantioselective toxic effects and environmental behavior of ethiprole and its metabolites against Chlorella pyrenoidosa.</t>
  </si>
  <si>
    <t>Gao J, Wang F, Wang P, Jiang W, Zhang Z, Liu D, Zhou Z</t>
  </si>
  <si>
    <t>757-765</t>
  </si>
  <si>
    <t>Hepatoprotective activity of Uncaria tomentosa extract against sub-chronic exposure to fipronil in male rats.</t>
  </si>
  <si>
    <t>Elgawish RA, Abdelrazek HMA, Ismail SAA, Loutfy NM, Soliman MTA</t>
  </si>
  <si>
    <t>199-207</t>
  </si>
  <si>
    <t>Evaluation of the enantioselective in vitro metabolism of the chiral pesticide fipronil employing a human model: Risk assessment through in vitro-in vivo correlation and prediction of toxicokinetic parameters.</t>
  </si>
  <si>
    <t>Evaluation of the enantioselective in vitro metabolism of the chiral pesticide fipronil employing a human model: Risk assessment through in vitro-in vivo correlation and prediction of toxicokinetic parameters.    ABSTRACT:  The chiral pesticide fipronil is employed as a racemic mixture to control pests. Although there are no enantioselective differences in the fipronil enantiomer activities toward target organisms, fipronil enantiomers may exhibit enantioselective differences in their bioaccumulation, toxicity, and metabolism toward non-target organisms, including humans. The present work aims to provide significant reliable enantioselective information concerning fipronil risk assessment in humans. For that, the in vitro metabolism of rac-fipronil, S-fipronil, and R-fipronil by human liver microsomes was evaluated, the in vivo enantioselective toxicokinetic parameters were predicted and the main CYP450 isoforms involved in the enantioselective metabolism were determined. The obtained results demonstrated that fipronil may undergo a clearance by the liver and it is exclusively metabolized by the CYP3A4 isoform. Although no significative stereoselective differences were observed, the results provide reliable information on fipronil risk assessment for humans.Copyright © 2018 Elsevier Ltd. All rights reserved.  KEYWORDS:  MeSH Chemical: Pesticides| Pyrazoles| Cytochrome P-450 CYP3A| fipronil MeSH: | Cytochrome P-450 CYP3A/chemistry/metabolism| Humans| Microsomes, Liver/chemistry/metabolism| Pesticides/majr/chemistry/metabolism/toxicity| Pyrazoles/majr/chemistry/metabolism/toxicity| Risk Assessment| Stereoisomerism| Toxicokinetics Other:Enantioselective in vitro metabolism|Fipronil|Human liver microsomes|In vitro-in vivo extrapolation|Pesticide|Predicted in vivo toxicokinetic parameters</t>
  </si>
  <si>
    <t>Carrão DB, Dos Reis Gomes IC, Barbosa Junior F, de Oliveira ARM</t>
  </si>
  <si>
    <t>225-232</t>
  </si>
  <si>
    <t>High Resistance to Bacillus sphaericus and Susceptibility to Other Common Pesticides in Culex pipiens (Diptera: Culicidae) from Salt Lake City, UT.</t>
  </si>
  <si>
    <t>Su T, Thieme J, White GS, Lura T, Mayerle N, Faraji A, Cheng ML, Brown MQ</t>
  </si>
  <si>
    <t>506-513</t>
  </si>
  <si>
    <t>Determinants of pesticide concentrations in silicone wristbands worn by Latina adolescent girls in a California farmworker community: The COSECHA youth participatory action study.</t>
  </si>
  <si>
    <t>Harley KG, Parra KL, Camacho J, Bradman A, Nolan JES, Lessard C, Anderson KA, Poutasse CM, Scott RP, Lazaro G, Cardoso E, Gallardo D, Gunier RB</t>
  </si>
  <si>
    <t>652</t>
  </si>
  <si>
    <t>1022-1029</t>
  </si>
  <si>
    <t>Non-detection of honeybee hive contamination following Vespula wasp baiting with protein containing fipronil.</t>
  </si>
  <si>
    <t>Edwards ED, Woolly EF, McLellan RM, Keyzers RA</t>
  </si>
  <si>
    <t>e0206385</t>
  </si>
  <si>
    <t>Monitoring, Cross-Resistance, Inheritance, and Synergism of Plutella xylostella (Lepidoptera: Plutellidae) Resistance to Pyridalyl in China.</t>
  </si>
  <si>
    <t>Monitoring, Cross-Resistance, Inheritance, and Synergism of Plutella xylostella (Lepidoptera: Plutellidae) Resistance to Pyridalyl in China.    ABSTRACT:  Pyridalyl is an insecticide that shows significant efficacy against Plutella xylostella, a notorious pest insect worldwide. In this study, we monitored resistance of P. xylostella to pyridalyl in China from 2016 to 2017, determined cross-resistance, inheritance, and synergism of pyridalyl resistance in two pyridalyl-resistant populations, one field-evolved resistant population (ZL-PR) and one laboratory-selected resistant population (XY-PR). We found that variation in susceptibility among 15 field populations in China from 2016 to 2017 was high, with mean LC50 values ranging from 1.839 to 1,652 mg/liter. The laboratory-selected XY-PR strain showed 31.3-fold resistance to pyridalyl and moderate cross-resistance to fipronil. The ZL-PR displayed 1,050.2-fold resistance to pyridalyl and high resistance to all tested insecticides. Genetic analysis illustrated that pyridalyl resistance in ZL-PR was autosomally inherited and incompletely recessive. However, pyridalyl resistance in the XY-PR strain was autosomally inherited but incompletely dominant. Moreover, piperonyl butoxide significantly inhibited pyridalyl resistance in the XY-PR strain. In conclusion, P. xylostella field populations from South China have high levels of resistance to pyridalyl and different modes of inheritance of resistance were found in XY-PR and ZL-PR. Moreover, enhanced oxidative metabolism is possibly involved in resistance of the XY-PR strain but not in the ZL-PR strain.  KEYWORDS:  MeSH Chemical: Insecticides| Maleates| Organophosphates| Pesticide Synergists| Phenyl Ethers| diethyl maleate| Piperonyl Butoxide| S 1812| triphenyl phosphate MeSH: | Animals| Female| Inheritance Patterns| Insecticide Resistance/genetics| Insecticides/majr| Male| Maleates| Moths/majr/genetics| Organophosphates| Pesticide Synergists/majr| Phenyl Ethers/majr| Piperonyl Butoxide</t>
  </si>
  <si>
    <t>Yin C, Wang R, Luo C, Zhao K, Wu Q, Wang Z, Yang G</t>
  </si>
  <si>
    <t>329-334</t>
  </si>
  <si>
    <t>Behavior of isoprothiolane and fipronil in paddy water, soil, and rice plants after nursery-box or submerged applications.</t>
  </si>
  <si>
    <t>Behavior of isoprothiolane and fipronil in paddy water, soil, and rice plants after nursery-box or submerged applications.    ABSTRACT:  We investigated the behavior of isoprothiolane and fipronil after nursery-box application and that of isoprothiolane after submerged application in an experimental paddy field. The concentrations of the pesticides and their metabolites were monitored in paddy water, soil, and rice plants. The distribution profile for isoprothiolane mass in the field differed greatly between the nursery-box and submerged applications. The nursery-box-applied pesticides were mostly distributed in soil near the transplanted rice seedlings (root zone), versus little distribution in paddy water and rice plants (&lt;1.1 and &lt;0.3% of the applied mass, respectively). The residual levels in rice plants were similar to those in the root-zone soil. To estimate the soil pesticide mass, we defined a key parameter: the ratio of the root-zone area to the total area of the paddy field estimated to be 0.1 to 0.15. This parameter is important when evaluating the concentrations of nursery-box-applied pesticides in soil and rice plants.  KEYWORDS:  Other:environmental fate of pesticides|nursery box|paddy conditions|root zone|submerged application</t>
  </si>
  <si>
    <t>Inao K, Iwafune T, Horio T, Kitayama I</t>
  </si>
  <si>
    <t>132-141</t>
  </si>
  <si>
    <t>Were the sharp declines of dragonfly populations in the 1990s in Japan caused by fipronil and imidacloprid? An analysis of Hill's causality for the case of Sympetrum frequens.</t>
  </si>
  <si>
    <t>35</t>
  </si>
  <si>
    <t>35352-35364</t>
  </si>
  <si>
    <t>Multiple combinations of RDL subunits diversify the repertoire of GABA receptors in the honey bee parasite Varroa destructor.</t>
  </si>
  <si>
    <t>Ménard C, Folacci M, Brunello L, Charreton M, Collet C, Mary R, Rousset M, Thibaud JB, Vignes M, Charnet P, Cens T</t>
  </si>
  <si>
    <t>The Journal of biological chemistry</t>
  </si>
  <si>
    <t>293</t>
  </si>
  <si>
    <t>19012-19024</t>
  </si>
  <si>
    <t>Simultaneous determination and risk assessment of fipronil and its metabolites in sugarcane, using GC-ECD and confirmation by GC-MS/MS.</t>
  </si>
  <si>
    <t>Simultaneous determination and risk assessment of fipronil and its metabolites in sugarcane, using GC-ECD and confirmation by GC-MS/MS.    ABSTRACT:  A sensitive gas chromatographic method using a modified QuEChERS technique is reported for simultaneous determination, dissipation and risk assessment of fipronil and its metabolites in sugarcane and soil. Recoveries were 80.7-98.5% with precision within 1.4-16.5% estimated at the limits of detection (LOD) 0.0015-0.002 µg g-1 and limits of quantification (LOQ) 0.005 µg g-1. Fipronil dissipated with half-life (T1/2) of 2.8-4.3 days while for total fipronil it was 3.7-6.0 days following application of fipronil (5% SC) in sugarcane fields at recommended (100 g a.i. ha-1) and double the recommended (200 g a.i. ha-1) doses. Estimated pre-harvest intervals (PHI) for fipronil were 20.3-27.0 days in sugarcane plants, and for total fipronil the corresponding values were 28.2-37.8 days. No dietary risk was observed due to fipronil (RQd &lt; 1) 5 days after application. Potential risk exists towards algae and soil macro-organism (RQs &gt; 1), but for earthworms it was safe (RQs &lt; 1).Copyright © 2018 Elsevier Ltd. All rights reserved.  KEYWORDS:  MeSH Chemical: Insecticides| Pesticide Residues| Pyrazoles| Soil Pollutants| fipronil MeSH: | Chromatography, Gas| Gas Chromatography-Mass Spectrometry| Half-Life| Humans| Insecticides/majr/analysis/metabolism| Limit of Detection| Pesticide Residues/majr/analysis| Plant Leaves/chemistry/metabolism| Pyrazoles/majr/analysis/metabolism| Reproducibility of Results| Risk Assessment| Saccharum/majr/chemistry/metabolism| Soil Pollutants/analysis Other:Fipronil|GC-ECD|GC-MS/MS|Residues|Risk quotient|Soil|Sugarcane</t>
  </si>
  <si>
    <t>Biswas S, Mondal R, Mukherjee A, Sarkar M, Kole RK</t>
  </si>
  <si>
    <t>272</t>
  </si>
  <si>
    <t>559-567</t>
  </si>
  <si>
    <t>Endocrine disruption and chronic effects of plant protection products in bees: Can we better protect our pollinators?</t>
  </si>
  <si>
    <t>Christen V, Kunz PY, Fent K</t>
  </si>
  <si>
    <t>243</t>
  </si>
  <si>
    <t>1588-1601</t>
  </si>
  <si>
    <t>Hepatorenal protective effects of taurine and N-acetylcysteine against fipronil-induced injuries: The antioxidant status and apoptotic markers expression in rats.</t>
  </si>
  <si>
    <t>Abdel-Daim MM, Dessouki AA, Abdel-Rahman HG, Eltaysh R, Alkahtani S</t>
  </si>
  <si>
    <t>650</t>
  </si>
  <si>
    <t>Pt 2</t>
  </si>
  <si>
    <t>2063-2073</t>
  </si>
  <si>
    <t>Variation in susceptibility of eight insecticides in the brown planthopper Nilaparvata lugens in three regions of Vietnam 2015-2017.</t>
  </si>
  <si>
    <t>Khoa DB, Thang BX, Liem NV, Holst N, Kristensen M</t>
  </si>
  <si>
    <t>e0204962</t>
  </si>
  <si>
    <t>Repellency and Laboratory Performance of Selected Insecticides to Field-Collected Insecticide Resistant German Cockroaches (Blattodea: Ectobiidae).</t>
  </si>
  <si>
    <t>Repellency and Laboratory Performance of Selected Insecticides to Field-Collected Insecticide Resistant German Cockroaches (Blattodea: Ectobiidae).    ABSTRACT:  German cockroaches, Blattella germanica (L.) (Blattodea: Ectobiidae), are important indoor insect pests and remain difficult to control because of their ability to develop resistance to insecticides. The toxicity, resistance levels, repellency, and performance index (PI) value of five formulated insecticides (permethrin, chlorpyrifos, propoxur, imidacloprid, and fipronil) were determined for adult males of seven strains of the German cockroach: a laboratory-reared susceptible strain (S) and six field-collected strains (B, D, E, G, H, and I). Propoxur was generally the most toxic insecticide to all strains using continuous exposure methods; however, using Ebeling choice box methods, chlorpyrifos, and fipronil were most toxic. In both continuous exposure and Ebeling choice box tests, the field-collected strains were generally most resistant to permethrin among the five insecticides. The greatest increase in resistance ratios between the two exposure methods was for permethrin and propoxur. Permethrin was the most repellent insecticide against all but two strains (D and H). PI values reached 100 (no repellency and complete mortality) for the susceptible strain against only chlorpyrifos and fipronil. Only fipronil resulted in a PI value of 100 for any of the field-collected strains. Continuous exposure and Ebeling choice box resistance ratios were correlated, and both were correlated with previously reported resistance ratios (based on LD50 values). Choice box repellency, however, was only correlated with LD50 resistance ratios. PIMax was negatively correlated with all measures of resistance ratios.  KEYWORDS:  MeSH Chemical: Insect Repellents| Insecticides MeSH: | Animals| Blattellidae/majr| Female| Insect Repellents/majr| Insecticides/majr| Male| Toxicity Tests</t>
  </si>
  <si>
    <t>Wu X, Appel AG</t>
  </si>
  <si>
    <t>111</t>
  </si>
  <si>
    <t>2788-2798</t>
  </si>
  <si>
    <t>Ecotoxicological effects of fipronil, neem cake and neem extract in edaphic organisms from tropical soil.</t>
  </si>
  <si>
    <t>Zortéa T, da Silva AS, Dos Reis TR, Segat JC, Paulino AT, Sousa JP, Baretta D</t>
  </si>
  <si>
    <t>207-214</t>
  </si>
  <si>
    <t>Detection of Male Oriental Fruit Fly (Diptera: Tephritidae) Susceptibility to Naled- and Fipronil-Intoxicated Methyl Eugenol.</t>
  </si>
  <si>
    <t>Detection of Male Oriental Fruit Fly (Diptera: Tephritidae) Susceptibility to Naled- and Fipronil-Intoxicated Methyl Eugenol.    ABSTRACT:  Naled-intoxicated methyl eugenol (ME) is commonly used to control oriental fruit flies, Bactrocera dorsalis (Hendel) (Diptera: Tephritidae), in Taiwan. However, non-responsiveness to ME and pesticide resistance in oriental fruit flies may reduce control efficacy. In this study, mark-recapture experiments were used to analyze the effects of naled-intoxicated ME on field and naled-resistant fly strains. ME non-responsiveness was tested in field, naled-resistant, and susceptible strains and pyrosequencing techniques were used to detect frequencies of point mutations on organophosphate resistant alleles in field strains. Finally, the effects of fipronil-intoxicated ME were analyzed to determine whether control efficiency could be enhanced through the use of alternate pesticides. Control efficiency of naled-intoxicated ME was found to be significantly lower in the field and resistant strains compared to the susceptible strain. ME non-responsiveness was found to be 1.7-1.9% in our lab-reared strains (both naled-resistant and susceptible) and 3.4-4.3% in field strains. Results of our pyrosequencing study found frequency of resistant alleles in captured male field flies to be significantly lower than that of the original population, indicating that it is highly probable that resistant flies may escape from traps. Finally, capture rates of naled-resistant flies increased when naled was replaced with fipronil in attractants, showing that use of pesticides with different modes of action could possibly increase control efficiency of intoxicated ME attractants.  KEYWORDS:  MeSH Chemical: Insecticides| Organophosphates| Pyrazoles| methyleugenol| Eugenol| Naled| fipronil MeSH: | Animals| Eugenol/analogs &amp; derivatives| Insecticide Resistance/genetics| Insecticides/majr| Male| Naled/majr| Organophosphates| Point Mutation| Pyrazoles| Tephritidae/majr</t>
  </si>
  <si>
    <t>Chen PH, Wu WJ, Hsu JC</t>
  </si>
  <si>
    <t>316-323</t>
  </si>
  <si>
    <t>[Rapid determination of fipronil and its metabolite residues in eggs using ultra performance liquid chromatography-tandem mass spectrometry].</t>
  </si>
  <si>
    <t>[Rapid determination of fipronil and its metabolite residues in eggs using ultra performance liquid chromatography-tandem mass spectrometry].    ABSTRACT:  A method was developed for the rapid simultaneous determination of fipronil and its metabolite residues in eggs using ultra performance liquid chromatography-tandem mass spectrometry (UPLC-MS/MS). The egg samples (2 g) with 2 mL water were extracted with 4 mL acetonitrile. After adding 1 g sodium chloride, the mixture was centrifuged at 9000 r/min for 10 min at 4℃. The suspension was diluted and filtered through a 0.22 μm organic membrane. The analytes were separated on a C18 column (100 mm×2.1 mm, 1.7 μm), and detected under the multiple reaction monitoring (MRM) mode with a negative ESI source. The average recoveries of fipronil and its metabolites varied from 77.4% to 112.1%, and the relative standard deviations were between 4.0% and 13.6% at three spiked levels. The limits of detection (LODs) ranged from 0.10 μg/kg to 0.43 μg/kg. The method is simple, effective, and can be applied to real samples.  KEYWORDS:  MeSH Chemical: Pyrazoles| fipronil MeSH: | Chromatography, High Pressure Liquid| Eggs/majr/analysis| Food Contamination/majr/analysis| Limit of Detection| Pyrazoles/majr/analysis| Tandem Mass Spectrometry Other:QuEChERS|eggs|fipronil and its metabolites|matrix effects|ultra performance liquid chromatography-tandem mass spectrometry (UPLC-MS/MS)</t>
  </si>
  <si>
    <t>Zhang A, Li X, Wang Z, Zhang S, Song Y, Cao L, Cai J, Chen L</t>
  </si>
  <si>
    <t>745-751</t>
  </si>
  <si>
    <t>Fipronil (Phenylpyrazole) induces hemato-biochemical, histological and genetic damage at low doses in common carp, Cyprinus carpio (Linnaeus, 1758).</t>
  </si>
  <si>
    <t>Fipronil (Phenylpyrazole) induces hemato-biochemical, histological and genetic damage at low doses in common carp, Cyprinus carpio (Linnaeus, 1758).    ABSTRACT:  This study was conducted to investigate the toxic effects of fipronil on common carp (Cyprinus carpio). The trial was performed in laboratory of Department of Life Sciences at the Islamia University of Bahawalpur, Punjab, Pakistan. Total of 72 fishes, with apparently no clinical signs were purchased from local fish hatchery near Bahawalpur, Punjab, Pakistan. After 2 weeks of acclimatization fish were divided into six groups in glass aquaria (each having 100 liters of water capacity) and treated with different concentrations of fipronil for 12 days: 0 mg/L-control group (A),0.02 mg/L (B),0.04 mg/L (C),0.06 mg/L (D),0.08 mg/L (E) and 0.10 mg/L (F). Blood samples were taken every 4 days for evaluation of hemato-biochemical parameters. Fish in high doses treated groups show severe abnormalities in clinical-hematological and biochemical parameters. At high dose in group E and F fish show clinical ailments such as convulsions, jerking, faintness, increase in operculum movement, body curvature and breathing difficulty. Erythrocyte count, hemoglobin, hematocrit were decreased significantly (P &lt; 0.05) and mean corpuscular volume, total leukocyte count, neutrophils, monocytes, and lymphocytes were significantly increased. Biochemical parameters including urea, creatinine, cholesterol, triglyceride, glucose were significantly increased but albumin was significantly decreased. Nuclear and cellular abnormalities were also increased in high dose treated groups. Hence fipronil induces clinico-hematological and serum biochemical changes in common carp C. carpio.  KEYWORDS:  MeSH Chemical: Pyrazoles| Water Pollutants, Chemical| fipronil MeSH: | Animals| Carps/majr/physiology| Hematocrit| Pyrazoles/majr/toxicity| Toxicity Tests| Water Pollutants, Chemical/majr/toxicity Other:Common carp|Fipronil|Hematology|Histopathology|Nuclear changes</t>
  </si>
  <si>
    <t>Ghaffar A, Hussain R, Abbas G, Kalim M, Khan A, Ferrando S, Gallus L, Ahmed Z</t>
  </si>
  <si>
    <t>1261-1271</t>
  </si>
  <si>
    <t>2D europium coordination polymer as a regenerable fluorescence probe for efficiently detecting fipronil.</t>
  </si>
  <si>
    <t xml:space="preserve">2D europium coordination polymer as a regenerable fluorescence probe for efficiently detecting fipronil.    ABSTRACT:  Recently, considerable attention has been paid to European eggs that were found to contain the poisonous insecticide fipronil. Excessive consumption of fipronil can harm the human body, in particular, the liver, thyroid, nervous system and kidneys. As a consequence, there is an urgent need to develop a method to detect fipronil. In this work, a lanthanide coordination polymer [Eu(SIP)(H2O)4]n (1) (NaH2SIP = 5-sulfoisophthalic acid monosodium salt) was synthesized and characterized by single-crystal X-ray crystallography, elemental analysis, infrared spectrum and powder X-ray diffractions. The X-ray studies show that 1 is a two-dimensional layered structure, which is constructed of fused {[Eu(H2O)4]3(SIP)3} pseudo-hexagonal grids. The luminescence properties of 1 exhibit effective recognition for fipronil in methanol solution. Furthermore, a wide linear range (10-6-10-4 M), a low detection limit of 0.8 μM, high selectivity and excellent recyclability, reveal that 1 can potentially act as a luminescence-based sensor for quantitative and highly sensitive detection of fipronil. To the best of our knowledge, it is the first time that a metal-organic coordination polymer, as a fluorescent-based probe, has been used for the detection of fipronil. Moreover, fluorescent-based test papers of 1 have also been prepared, which can be regarded as a simple and practical method for detecting fipronil.  KEYWORDS: </t>
  </si>
  <si>
    <t>Yang SL, Lu JN, Zhang SJ, Zhang CX, Wang QL</t>
  </si>
  <si>
    <t>143</t>
  </si>
  <si>
    <t>4901-4906</t>
  </si>
  <si>
    <t>Degradation of various insecticides in cooked eggs during in vitro human digestion.</t>
  </si>
  <si>
    <t>Kim HS, Hur SJ</t>
  </si>
  <si>
    <t>437-443</t>
  </si>
  <si>
    <t>Enantioselectivity and residue analysis of fipronil in tea (Camellia sinensis) by ultra-performance liquid chromatography Orbitrap mass spectrometry.</t>
  </si>
  <si>
    <t>Enantioselectivity and residue analysis of fipronil in tea (Camellia sinensis) by ultra-performance liquid chromatography Orbitrap mass spectrometry.    ABSTRACT:  This study aimed to determine the residues of fipronil, metabolites, and enantiomers in tea (Camellia sinensis) during tea planting and green tea manufacture. An AD-RH chiral column was used to separate the fipronil enantiomers. During tea planting, the half-lives of the sum of fipronil and metabolites were similar to those of fipronil, which were 2.37 and 3.88 days for tea shoots and mature leaves, respectively. The residues of fipronil and its metabolites increased 2.3-3.6-fold during green tea manufacture. The values for the processing factors of fipronil and metabolites ranged from 1.0 to 2.1. A slightly significant enantioselectivity of (R)- and (S)-fipronil was observed during tea planting and green tea manufacturing. The residue pattern indicated that fipronil should not be applied in tea gardens due to its long persistence. The maximum residual limits of fipronil and metabolites at 2 μg kg-1 were considered optimal.  KEYWORDS:  MeSH Chemical: Pesticide Residues| Pyrazoles| fipronil MeSH: | Camellia sinensis/majr/chemistry| Chromatography, High Pressure Liquid| Food Contamination/majr/analysis| Mass Spectrometry| Pesticide Residues/majr/analysis/metabolism| Pyrazoles/majr/analysis/metabolism| Stereoisomerism Other:Tea|chiral analysis|fipronil|metabolites|ultra-performance liquid chromatography Orbitrap mass spectrometry</t>
  </si>
  <si>
    <t>Chen H, Gao G, Yin P, Dai J, Chai Y, Liu X, Lu C</t>
  </si>
  <si>
    <t>2000-2010</t>
  </si>
  <si>
    <t>The linker length of glucose-fipronil conjugates has a major effect on the rate of bioactivation by β-glucosidase.</t>
  </si>
  <si>
    <t>Wen Y, Jiang X, Yang C, Meng H, Wang B, Wu H, Zhang Z, Xu H</t>
  </si>
  <si>
    <t>708-717</t>
  </si>
  <si>
    <t>Efficacy of acetamiprid and fipronil fly baits against the housefly (Musca domestica L.) under laboratory conditions.</t>
  </si>
  <si>
    <t>Levchenko MA, Silivanova EA</t>
  </si>
  <si>
    <t>Veterinary world</t>
  </si>
  <si>
    <t>953-958</t>
  </si>
  <si>
    <t>Multi-compartmental toxicokinetic modeling of fipronil in tilapia: Accumulation, biotransformation and elimination.</t>
  </si>
  <si>
    <t>Li H, You J, Wang WX</t>
  </si>
  <si>
    <t>360</t>
  </si>
  <si>
    <t>420-427</t>
  </si>
  <si>
    <t>[Determination of fipronil and its metabolites in feeds by stable isotope dilution ultra high performance liquid chromatography-tandem mass spectrometry].</t>
  </si>
  <si>
    <t>[Determination of fipronil and its metabolites in feeds by stable isotope dilution ultra high performance liquid chromatography-tandem mass spectrometry].    ABSTRACT:  A method based on ultra high performance liquid chromatography-tandem mass spectrometry (UHPLC-MS/MS) was established for the determination of fipronil and its metabolites in feeds. Sodium chloride was added to the samples after the ultrasonic extraction of pure water and acetonitrile, and then cleaned up by the QuEChERS method. The target analytes were separated on a Waters HSS T3 C18 column using methanol and water as mobile phases with gradient elution, and detected by a MS/MS system under negative electro-spry ionization (ESI-) and the multiple reaction monitoring (MRM) mode. The limits of detection (LODs) were 0.05 μg/kg, and the limits of quantification (LOQs) were 0.2 μg/kg. The linear correlation coefficients were more than 0.9998. The average recoveries ranged from 92.3% to 105.4% with RSDs no more than 2.3%. This method is suitable for the identification of fipronil and its metabolites in feeds because of its simplicity and high sensitivity.  KEYWORDS:  MeSH Chemical: Pyrazoles| fipronil MeSH: | Animal Feed/majr/analysis| Chromatography, High Pressure Liquid/majr| Limit of Detection| Pyrazoles/majr/analysis| Tandem Mass Spectrometry/majr Other:QuEChERS|feeds|fipronil and its metabolites|isotope dilution|ultra high performance liquid chromatography-tandem mass spectrometry(UHPLC-MS/MS)</t>
  </si>
  <si>
    <t>Zhou P, Huang Q, Ouyang L, Wang Z, Meng P, Dai M, Wang Y</t>
  </si>
  <si>
    <t>629-633</t>
  </si>
  <si>
    <t>[Quick determination of fipronil and its metabolites in eggs by gas chromatography-triple quadrupole mass spectrometry].</t>
  </si>
  <si>
    <t>[Quick determination of fipronil and its metabolites in eggs by gas chromatography-triple quadrupole mass spectrometry].    ABSTRACT:  A method was established for the simultaneous determination of fipronil and its metabolites in eggs by gas chromatography-tandem mass spectrometry coupled with QuEChERS. Fipronil and its metabolites were extracted from eggs with acetonitrile, and the solution was dehydrated with 150 mg anhydrous magnesium sulfate. The extracts were purified with 50 mg N-propyl ethylenediamine (PSA) and 50 mg C18, and a capillary column pesticide Ⅱ was used. The analytes were detected in timed selected reaction monitoring (timed-SRM) mode, and were quantified using external standard method with matrix correction standard curves. A good linearity in the range of 1.0-200 μg/L with correlation coefficients (R2)&gt;0.999 was observed. The limits of quantification (LOQs) were between 0.5 and 1.0 μg/kg. The recoveries at three spiked levels (2.0, 5.0 and 10.0 μg/kg) were in the range of 87.8% to 111.5% with RSDs between 2.0% and 9.2% (n=3). This new method satisfied the related regulations of the European Union for the determination of fipronil and its metabolites in eggs.  KEYWORDS:  MeSH Chemical: Pesticide Residues| Pyrazoles| fipronil MeSH: | Eggs/majr/analysis| Food Contamination/majr/analysis| Gas Chromatography-Mass Spectrometry| Pesticide Residues/majr/analysis| Pyrazoles/majr/analysis| Tandem Mass Spectrometry Other:QuEChERS|eggs|fipronil and its metabolites|gas chromatography-triple quadrupole mass spectrometry (GC-MS/MS)</t>
  </si>
  <si>
    <t>Deng W, Wu W, Zhao X, Liang H, Liang S, Jin B, Wang S</t>
  </si>
  <si>
    <t>547-551</t>
  </si>
  <si>
    <t>Fipronil causes toxicity in mouse preimplantation embryos.</t>
  </si>
  <si>
    <t>Šefčíková Z, Babeľová J, Čikoš Š, Kovaříková V, Burkuš J, Špirková A, Koppel J, Fabian D</t>
  </si>
  <si>
    <t>Toxicology</t>
  </si>
  <si>
    <t>410</t>
  </si>
  <si>
    <t>214-221</t>
  </si>
  <si>
    <t>SERS-Active-Charged Microgels for Size- and Charge-Selective Molecular Analysis of Complex Biological Samples.</t>
  </si>
  <si>
    <t>SERS-Active-Charged Microgels for Size- and Charge-Selective Molecular Analysis of Complex Biological Samples.    ABSTRACT:  Surface-enhanced Raman scattering (SERS) provides a dramatic increase of Raman intensity for molecules adsorbed on nanogap-rich metal nanostructures, serving as a promising tool for molecular analysis. However, surface contamination caused by protein adsorption and low surface concentration of small target molecules reduce the sensitivity, which severely restricts the use of SERS in many applications. Here, charged microgels containing agglomerates of gold nanoparticles (Au NPs) are designed using droplet-based microfluidics to provide a reliable SERS substrate with molecular selectivity and high sensitivity. The limiting mesh size of hydrogel enables the autonomous exclusion of large proteins and the charged matrix concentrates oppositely charged small molecules through electrostatic attraction. As nanogaps among Au NPs in the agglomerates enhance Raman intensity, Raman spectrum of the adsorbed molecules is selectively measured with high sensitivity in the absence of interruption from adhesive proteins. Therefore, the SERS-active-charged microgels can be used for direct analysis of pristine biological samples without the pretreatment steps of separation and concentration, which are commonly a prerequisite for Raman analysis. For the purpose of demonstration, a direct detection of fipronil sulfone with partial negative charges, a metabolite of toxic insecticide, dissolved in eggs using the positively charged microgels without any pretreatment of the samples, is shown.© 2018 WILEY-VCH Verlag GmbH &amp; Co. KGaA, Weinheim.  KEYWORDS:  MeSH Chemical: Gold MeSH: | Gold/majr/chemistry| Metal Nanoparticles/majr/chemistry| Microfluidics/majr/methods| Spectrum Analysis, Raman/majr/methods| Static Electricity Other:charge|electrostatic interaction|microfluidics|microgels|surface-enhanced Raman scattering</t>
  </si>
  <si>
    <t>Kim DJ, Park SG, Kim DH, Kim SH</t>
  </si>
  <si>
    <t>Small (Weinheim an der Bergstrasse, Germany)</t>
  </si>
  <si>
    <t>e1802520</t>
  </si>
  <si>
    <t>Evaluation of an 11.2% spinetoram topical spot-on solution for the control of experimental and natural flea (Ctenocephalides felis) infestations on cats in Europe.</t>
  </si>
  <si>
    <t>Wheeler DW, Trout CM, Thompson CM, Winkle JR, White WH</t>
  </si>
  <si>
    <t>258</t>
  </si>
  <si>
    <t>99-107</t>
  </si>
  <si>
    <t>The effect of biochar on the mitigation of the chiral insecticide fipronil and its metabolites burden on loach (Misgurnus.anguillicaudatus).</t>
  </si>
  <si>
    <t>Qu H, Ma R, Wang F, Gao J, Wang P, Zhou Z, Liu D</t>
  </si>
  <si>
    <t>214-222</t>
  </si>
  <si>
    <t>Arylpyrrole and fipronil analogues that inhibit the motility and/or development of Haemonchus contortus in vitro.</t>
  </si>
  <si>
    <t>Dilrukshi Herath HMP, Song H, Preston S, Jabbar A, Wang T, McGee SL, Hofmann A, Garcia-Bustos J, Chang BCH, Koehler AV, Liu Y, Ma Q, Zhang P, Zhao Q, Wang Q, Gasser RB</t>
  </si>
  <si>
    <t>International journal for parasitology. Drugs and drug resistance</t>
  </si>
  <si>
    <t>379-385</t>
  </si>
  <si>
    <t>Ecotoxicological effect of fipronil and its metabolites on Folsomia candida in tropical soils.</t>
  </si>
  <si>
    <t>Zortéa T, Dos Reis TR, Serafini S, de Sousa JP, da Silva AS, Baretta D</t>
  </si>
  <si>
    <t>62</t>
  </si>
  <si>
    <t>203-209</t>
  </si>
  <si>
    <t>Cloning and Functional Characterisation of the Duplicated RDL Subunits from the Pea Aphid, Acyrthosiphon pisum.</t>
  </si>
  <si>
    <t>Cloning and Functional Characterisation of the Duplicated RDL Subunits from the Pea Aphid, Acyrthosiphon pisum.    ABSTRACT:  The insect GABA receptor, RDL (resistance to dieldrin), is a cys-loop ligand-gated ion channel (cysLGIC) that plays a central role in neuronal signaling, and is the target of several classes of insecticides. Many insects studied to date possess one Rdl gene; however, there is evidence of two Rdls in aphids. To characterise further this insecticide target from pests that cause millions of dollars' worth of crop damage each year, we identified the complete cysLGIC gene superfamily of the pea aphid, Acyrthosiphon pisum, using BLAST analysis. This confirmed the presence of two Rdl-like genes (RDL1 and RDL2) that likely arose from a recent gene duplication. When expressed individually in Xenopus laevis oocytes, both subunits formed functional ion channels gated by GABA. Alternative splicing of RDL1 influenced the potency of GABA, and the potency of fipronil was different on the RDL1bd splice variant and RDL2. Imidacloprid and clothianidin showed no antagonistic activity on RDL1, whilst 100 μM thiacloprid reduced the GABA responses of RDL1 and RDL2 to 55% and 62%, respectively. It was concluded that gene duplication of Rdl may have conferred increased tolerance to natural insecticides, and played a role in the evolution of insect cysLGICs.  KEYWORDS:  MeSH Chemical: Insecticides| Neonicotinoids| Pyrazoles| Thiazines| thiacloprid| fipronil MeSH: | Alternative Splicing/majr/drug effects/genetics| Animals| Aphids/majr/drug effects/genetics| Gene Duplication/drug effects/genetics| Insecticide Resistance/genetics| Insecticides/pharmacology| Neonicotinoids/pharmacology| Pyrazoles/pharmacology| Thiazines/pharmacology Other:Acyrthosiphon pisum|GABA receptor|alternative splicing|fipronil|gene duplication|neonicotinoid</t>
  </si>
  <si>
    <t>Del Villar SG, Jones AK</t>
  </si>
  <si>
    <t>Exposure to amitraz, fipronil and permethrin affects cell viability and ABC transporter gene expression in an Ixodes ricinus cell line.</t>
  </si>
  <si>
    <t>Mangia C, Vismarra A, Genchi M, Epis S, Bandi C, Grandi G, Bell-Sakyi L, Otranto D, Passeri B, Kramer L</t>
  </si>
  <si>
    <t>437</t>
  </si>
  <si>
    <t>Adverse effects of the insecticides chlordecone and fipronil on population growth and expression of the entire cytochrome P450 (CYP) genes in the freshwater rotifer Brachionus calyciflorus and the marine rotifer Brachionus plicatilis.</t>
  </si>
  <si>
    <t>Lee YH, Park JC, Hwang UK, Lee JS, Han J</t>
  </si>
  <si>
    <t>202</t>
  </si>
  <si>
    <t>181-187</t>
  </si>
  <si>
    <t>Field evaluation of a 0.005% fipronil bait, orally administered to Rhombomys opimus, for control of fleas (Siphonaptera: Pulicidae) and phlebotomine sand flies (Diptera: Psychodidae) in the Central Asian Republic of Kazakhstan.</t>
  </si>
  <si>
    <t>Poché DM, Torres-Poché Z, Yeszhanov A, Poché RM, Belyaev A, Dvořák V, Sayakova Z, Polyakova L, Aimakhanov B</t>
  </si>
  <si>
    <t>e0006630</t>
  </si>
  <si>
    <t>Lethal and sub-lethal effects of the insecticide fipronil on juvenile brown shrimp Farfantepenaeus aztecus.</t>
  </si>
  <si>
    <t>Lethal and sub-lethal effects of the insecticide fipronil on juvenile brown shrimp Farfantepenaeus aztecus.    ABSTRACT:  Chemical pesticides are widely used around the world, but at the same time, they may cause direct or indirect risks to many non-target organisms. Recent increased use of insecticides in coastal areas, for example to control invasive tawny crazy ants, raises concern that insecticides may affect ecologically and/or commercially important species found in estuaries. Here, we investigated the lethal and sub-lethal effects of fipronil on juvenile brown shrimp Farfantepenaeus aztecus over 29 days at five different nominal concentrations (0.1, 1.0, 3.0, 6.4, and 10.0 µg/L) in a laboratory experiment. Exposure to all of the fipronil treatments resulted in all individuals dying before the end of the experiment; whereas, no individual died in the control (0.0 µg/L). The 96-hour LC50 was determined to be 1.3 µg/L. Shrimp also experienced weight loss under all of the fipronil treatments. Inter-moult interval was increased from 12.2 ± 1.64 day in the control group to 15.5 ± 0.53 day in the 1.0 μg/L treatment. Lipid content of shrimp increased significantly in a concentration-dependent manner. Finally, behavioral and body color changes were also observed under the fipronil treatments. We conclude F. aztecus is very sensitive to fipronil and monitoring is needed in coastal areas.  KEYWORDS:  MeSH Chemical: Insecticides MeSH: | Animals| Behavior, Animal/drug effects| Environmental Exposure| Insecticides/majr/toxicity| Molting/drug effects| Penaeidae/majr/drug effects/growth &amp; development| Toxicity Tests, Acute</t>
  </si>
  <si>
    <t>Al-Badran AA, Fujiwara M, Gatlin DM, Mora MA</t>
  </si>
  <si>
    <t>10769</t>
  </si>
  <si>
    <t>Six-month field efficacy and safety of the combined treatment of dogs with Frontline Tri-Act® and NexGard Spectra®.</t>
  </si>
  <si>
    <t>Abbate JM, Napoli E, Arfuso F, Gaglio G, Giannetto S, Halos L, Beugnet F, Brianti E</t>
  </si>
  <si>
    <t>425</t>
  </si>
  <si>
    <t>Comparative Impact of Chitin Synthesis Inhibitor Baits and Non-repellent Liquid Termiticides on Subterranean Termite Colonies Over Foraging Distances: Colony Elimination Versus Localized Termite Exclusion.</t>
  </si>
  <si>
    <t>Chouvenc T</t>
  </si>
  <si>
    <t>2317-2328</t>
  </si>
  <si>
    <t>Spectral Characterization and Molecular Dynamics Simulation of Pesticides Based on Terahertz Time-Domain Spectra Analyses and Density Functional Theory (DFT) Calculations.</t>
  </si>
  <si>
    <t>Qu F, Lin L, He Y, Nie P, Cai C, Dong T, Pan Y, Tang Y, Luo S</t>
  </si>
  <si>
    <t>A randomized, controlled field study to assess the efficacy and safety of lotilaner (Credelio™) in controlling ticks in client-owned cats in Europe.</t>
  </si>
  <si>
    <t>Cavalleri D, Murphy M, Seewald W, Nanchen S</t>
  </si>
  <si>
    <t>411</t>
  </si>
  <si>
    <t>A randomized, controlled field study to assess the efficacy and safety of lotilaner (Credelio™) in controlling fleas in client-owned cats in Europe.</t>
  </si>
  <si>
    <t>Heterogeneous atmospheric degradation of pesticides by ozone: Influence of relative humidity and particle type.</t>
  </si>
  <si>
    <t>Heterogeneous atmospheric degradation of pesticides by ozone: Influence of relative humidity and particle type.    ABSTRACT:  In the atmosphere pesticides can be adsorbed on the surface of particles, depending on their physico-chemical properties. They can react with atmospheric oxidants such as ozone but parameters influencing the degradation kinetics are not clear enough. In this study the heterogeneous ozonolysis of eight commonly used pesticides (i.e., difenoconazole, tetraconazole, cyprodinil, fipronil, oxadiazon, pendimethalin, deltamethrin, and permethrin) adsorbed on hydrophobic and hydrophilic silicas, and Arizona dust at relative humidity ranging from 0% to 80% was investigated. Under experimental conditions, only cyprodinil, deltamethrin, permethrin and pendimethalin were degraded by ozone. Second-order kinetic constants calculated for the pesticides degraded by ozone ranged from (4.7 ± 0.4) × 10-20 cm3 molecule-1 s-1 (pendimethalin, hydrophobic silica, 55% RH) to (2.3 ± 0.4) × 10-17 cm3 molecule-1 s-1 (cyprodinil, Arizona dust, 0% RH). Results obtained can contribute to a better understanding of the atmospheric fate of pesticides in the particulate phase and show the importance of taking humidity and particle type into account for the determination of pesticides atmospheric half-lives.Copyright © 2018 Elsevier B.V. All rights reserved.  KEYWORDS:  Other:Heterogeneous reactivity|Kinetics|Ozonolysis|Pesticides|Relative humidity|Silica particles</t>
  </si>
  <si>
    <t>625</t>
  </si>
  <si>
    <t>1544-1553</t>
  </si>
  <si>
    <t>Effects of short-term, sublethal fipronil and its metabolite on dragonfly feeding activity.</t>
  </si>
  <si>
    <t>Jinguji H, Ohtsu K, Ueda T, Goka K</t>
  </si>
  <si>
    <t>e0200299</t>
  </si>
  <si>
    <t>Matrix solid-phase dispersion associated to gas chromatography for the assessment in honey bee of a group of pesticides of concern in the apicultural field.</t>
  </si>
  <si>
    <t>Balsebre A, Báez ME, Martínez J, Fuentes E</t>
  </si>
  <si>
    <t>1567</t>
  </si>
  <si>
    <t>47-54</t>
  </si>
  <si>
    <t>The fungal alkaloid Okaramine-B activates an L-glutamate-gated chloride channel from Ixodes scapularis, a tick vector of Lyme disease.</t>
  </si>
  <si>
    <t>Furutani S, Ihara M, Lees K, Buckingham SD, Partridge FA, David JA, Patel R, Warchal S, Mellor IR, Matsuda K, Sattelle DB</t>
  </si>
  <si>
    <t>350-360</t>
  </si>
  <si>
    <t>Fluorescent-fipronil: Design and synthesis of a stable conjugate.</t>
  </si>
  <si>
    <t>Fluorescent-fipronil: Design and synthesis of a stable conjugate.    ABSTRACT:  Fipronil is a phenyl pyrazole molecule widely used across the world as both insecticide and veterinary drug. The main goal of this work was to synthesize a fluorescently labeled fipronil derivative for cellular imaging without affecting its intrinsic properties. We selected fluorescein as fluorescent probe and we investigated different strategies for stable chemical ligation between both entities, such as thiourea and direct peptide bond. While thiourea bond displayed low stability, direct peptide bond was difficult to achieve due to problems of steric hindrance. The best result was obtained by conjugation using click chemistry, which allowed to obtain fipronil stably labeled with the fluorescent probe.Copyright © 2018 Elsevier Ltd. All rights reserved.  KEYWORDS:  MeSH Chemical: Amides| Antiparasitic Agents| Fluorescent Dyes| Insecticides| Pyrazoles| Veterinary Drugs| Thiourea| fipronil| Fluorescein MeSH: | Amides/chemistry| Antiparasitic Agents/majr/chemical synthesis/chemistry/toxicity| Click Chemistry| Drug Stability| Fluorescein/majr/chemistry| Fluorescent Dyes/majr/chemistry| Insecticides/majr/chemical synthesis/chemistry/toxicity| Pyrazoles/majr/chemical synthesis/chemistry/toxicity| Thiourea/chemistry| Veterinary Drugs Other:Azide-alkyne cycloaddition|Fipronil|Fluorescein|Stability</t>
  </si>
  <si>
    <t>Aloisi A, Franchet A, Ferrandon D, Bianco A, Ménard-Moyon C</t>
  </si>
  <si>
    <t>Bioorganic &amp; medicinal chemistry letters</t>
  </si>
  <si>
    <t>2631-2635</t>
  </si>
  <si>
    <t>Design of a New Glutamine-Fipronil Conjugate with α-Amino Acid Function and Its Uptake by A. thaliana Lysine Histidine Transporter 1 ( AtLHT1).</t>
  </si>
  <si>
    <t>Jiang X, Xie Y, Ren Z, Ganeteg U, Lin F, Zhao C, Xu H</t>
  </si>
  <si>
    <t>66</t>
  </si>
  <si>
    <t>7597-7605</t>
  </si>
  <si>
    <t>Analysis of pesticides in surface water, stemflow, and throughfall in an agricultural area in South Georgia, USA.</t>
  </si>
  <si>
    <t>Analysis of pesticides in surface water, stemflow, and throughfall in an agricultural area in South Georgia, USA.    ABSTRACT:  To study spray drift contributions to non-targeted habitats, pesticide concentrations in stemflow (water flowing down the trunk of a tree during a rain event), throughfall (water from tree canopy only), and surface water in an agriculturally impacted wetland area near Tifton, Georgia, USA were measured (2015-2016). Agricultural fields and sampling locations were on the University of Georgia's Gibbs Research Farm, Tifton, GA. Samples were screened for more than 160 pesticides, and cumulatively, 32 different pesticides were detected across matrices. Data indicate that herbicides and fungicides were present in all types of environmental samples analyzed while insecticides were only detected in surface water samples. The highest pesticide concentration observed was 10.50 μg/L of metolachlor in an August 2015 surface water sample. Metolachlor, tebuconazole, and fipronil were the most frequently detected herbicide, fungicide, and insecticide, respectively, regardless of sample origin. The most frequently detected pesticide in surface water and stemflow samples was metolachlor (0.09-10.5 μg/L), however, the most commonly detected pesticide in throughfall samples was biphenyl (0.02-0.07 μg/L). These data help determine the importance of indirect chemical exposures to non-targeted habitats by assessing inputs from stemflow and throughfall into surface waters.Copyright © 2018 Elsevier Ltd. All rights reserved.  KEYWORDS:  MeSH Chemical: Pesticides| Water Pollutants, Chemical| Water MeSH: | Agriculture/majr| Farms| Georgia| Pesticides/majr/analysis| Rain| Water/majr/analysis| Water Movements| Water Pollutants, Chemical/majr/analysis Other:GCxGC-ToF/MS|Pesticides|Stemflow|Surface water|Throughfall</t>
  </si>
  <si>
    <t>Glinski DA, Purucker ST, Van Meter RJ, Black MC, Henderson WM</t>
  </si>
  <si>
    <t>496-507</t>
  </si>
  <si>
    <t>Consequences of fipronil exposure in egg-laying hens.</t>
  </si>
  <si>
    <t>Consequences of fipronil exposure in egg-laying hens.    ABSTRACT:  NOABSTRACT. No abstract found.  KEYWORDS:  MeSH Chemical: Pesticides| Pyrazoles| fipronil MeSH: | Animal Feed/analysis| Animals| Chickens/majr/metabolism| Europe| Female| Food Contamination/majr/prevention &amp; control| Food Safety| Ovum/majr/metabolism| Pesticides/majr/adverse effects| Pyrazoles/majr/adverse effects</t>
  </si>
  <si>
    <t>Stafford EG, Tell LA, Lin Z, Davis JL, Vickroy TW, Riviere JE, Baynes RE</t>
  </si>
  <si>
    <t>253</t>
  </si>
  <si>
    <t>57-60</t>
  </si>
  <si>
    <t>Observing the Effect of Soil-Applied Insecticides on Wireworm (Coleoptera: Elateridae) Behavior and Mortality Using Radiographic Imaging.</t>
  </si>
  <si>
    <t>Observing the Effect of Soil-Applied Insecticides on Wireworm (Coleoptera: Elateridae) Behavior and Mortality Using Radiographic Imaging.    ABSTRACT:  Radiographic imaging was used to study corn wireworm, Melanotus communis (Gyllenhal) (Coleoptera: Elateridae), behavior in the soil relative to Irish potato, Solanum tuberosum L. (Solanales: Solanaceae), placed above a barrier of insecticide-treated soil. Behavioral response to three insecticides was evaluated by 1) calculating the percentage of wireworms that breached the zone of insecticide-treated soil, 2) comparing the variability in the mean distance between each wireworm and the center of the tuber in each arena compartment, 3) comparing the cumulative distance of wireworm travel, and 4) comparing incidence and severity of wireworm-inflicted tuber injury. The percentage of wireworms that breached the insecticide zone was significantly lower in the bifenthrin treatment than the untreated check, but not different from clothianidin or fipronil. Limited difference between treatments in relation to the cumulative distance traveled was observed where bifenthrin inhibited travel distance more than other insecticides tested. No difference in variability of movement in relation to the food source was observed between treatments. Bifenthrin and fipronil treatments resulted in the greatest reduction in wireworm injury incidence and severity compared to the untreated check. While bifenthrin suppressed wireworm movement and feeding more than other insecticides tested, exposure to fipronil resulted in higher wireworm mortality at all sample dates.© The Author(s) 2018. Published by Oxford University Press on behalf of Entomological Society of America. All rights reserved. For permissions, please e-mail: journals.permissions@oup.com.  KEYWORDS:  MeSH Chemical: Insecticides| Soil MeSH: | Animals| Coleoptera/majr| Insecticides/majr| Soil| Solanum tuberosum/majr Other:Elateridae|Irish potato|radiograph|wireworm</t>
  </si>
  <si>
    <t>Langdon KW, Colee J, Abney MR</t>
  </si>
  <si>
    <t>1724-1731</t>
  </si>
  <si>
    <t>Thymoquinone and diallyl sulfide protect against fipronil-induced oxidative injury in rats.</t>
  </si>
  <si>
    <t>Abdel-Daim MM, Shaheen HM, Abushouk AI, Toraih EA, Fawzy MS, Alansari WS, Aleya L, Bungau S</t>
  </si>
  <si>
    <t>23909-23916</t>
  </si>
  <si>
    <t>Integrated control of juvenile Ixodes scapularis parasitizing Peromyscus leucopus in residential settings in Connecticut, United States.</t>
  </si>
  <si>
    <t>Williams SC, Little EAH, Stafford KC, Molaei G, Linske MA</t>
  </si>
  <si>
    <t>1310-1316</t>
  </si>
  <si>
    <t>Assessment of fipronil toxicity on wistar rats: A hepatotoxic perspective.</t>
  </si>
  <si>
    <t>Assessment of fipronil toxicity on wistar rats: A hepatotoxic perspective.    ABSTRACT:  Extensive pesticide application has contributed to environmental contamination globally, imposing adverse health effects on non-target organisms. Need for an understanding of cellular response following pesticide exposure is, therefore, paradigmatic for elucidating perturbations occurring within biological systems. The present investigation was aimed to examine safe and toxic dose level of a persistent, synthetic, phenylpyrazole based insecticide, Fipronil (FPN) on rat liver. Experimental animals were divided into four groups and gavaged with 0.0 (control), 32.33 (high), 12.12 (medium) and 6.46 mg/kg body weight/day (low dose) of FPN for 90 days. While results for liver catalase and glutathione S-transferase indicated significant changes in high and medium dose groups, the superoxide dismutase and glutathione peroxidase activity suggested significant changes in all exposed groups as compared to control. Elevated levels of liver malondialdehyde reflected oxidative damage potential under the exposed groups but remained insignificant for low dose. Histologically, structural irregularities with findings like impaired portal vein and hypertrophy of hepatocytes were prominent under all the exposed groups. The FT-IR based spectral investigation further revealed changes in absorption patterns and peak intensities in rats exposed to FPN. Significant elevation was also noticed in liver enzymes; alanine aminotransferase, aspartate aminotransferase and alkaline phosphatase in rat serum suggesting the toxicity in dose -dependent pattern. Based on the outcome, it could be ascertained that the toxicity of FPN is certain at high and medium dose levels but remains ambiguous at a low dose of 6.46 mg/kg body weight/day. The current upshots serve as a preliminary report thereby advising the farming community against the usage of FPN insecticide.  KEYWORDS:  Other:Antioxidants|Fipronil|Hepatotoxicity|Necrosis|Pesticide</t>
  </si>
  <si>
    <t>Kartheek RM, David M</t>
  </si>
  <si>
    <t>Toxicology reports</t>
  </si>
  <si>
    <t>448-456</t>
  </si>
  <si>
    <t>CYP1A gene expression as a basic factor for fipronil toxicity in Caspian kutum fish.</t>
  </si>
  <si>
    <t>Ardeshir RA, Zolgharnein H, Movahedinia A, Salamat N, Zabihi E</t>
  </si>
  <si>
    <t>113-124</t>
  </si>
  <si>
    <t>Evaluation of a Hydrogel Matrix for Baiting Western Yellowjacket (Vespidae: Hymenoptera).</t>
  </si>
  <si>
    <t>Evaluation of a Hydrogel Matrix for Baiting Western Yellowjacket (Vespidae: Hymenoptera).    ABSTRACT:  Baiting is an effective method to manage Vespula spp. yellowjacket (Hymenoptera: Vespidae) populations without having to locate and treat nests. Here, we assessed the utility of a commercially available polyacrylamide hydrogel as an alternative bait material for yellowjacket baiting. The experimental bait (hereafter referred to as 'hydrogel bait') consisted of diluted chicken juice (from canned chicken meat) and fipronil (0.025%, wt/wt) absorbed into granular polyacrylamide hydrogel particles. Three separate 24-h baiting trials were conducted at two different field sites with the western yellowjacket, Vespula pensylvanica (Saussare), as the target species. The monitoring data from pre- and posttreatment periods indicated that baiting with polyacrylamide hydrogel baits provided ≈74-96% reduction in the foraging activity of V. pensylvanica during its active season. In addition to their ability to absorb large quantities of aqueous bait containing phagostimulants and toxicants, the hydrogels' tactile resemblance to fresh meat upon hydration makes them a promising option as a non-meat material for delivering small amounts of insecticides to yellowjacket populations in a highly targeted manner.© The Author(s) 2018. Published by Oxford University Press on behalf of Entomological Society of America. All rights reserved. For permissions, please e-mail: journals.permissions@oup.com.  KEYWORDS:  MeSH Chemical: Hydrogels| Insecticides MeSH: | Animals| Chickens| Hydrogels| Insecticides/majr| Seasons| Wasps/majr Other:Vespula pensylvanica|fipronil|monitoring|polyacrylamide</t>
  </si>
  <si>
    <t>Choe DH, Campbell K, Hoddle MS, Kabashima J, Dimson M, Rust MK</t>
  </si>
  <si>
    <t>1799-1805</t>
  </si>
  <si>
    <t>Fipronil-induced toxic effects in zebrafish (Danio rerio) larvae by using digital gene expression profiling.</t>
  </si>
  <si>
    <t>Xu H, Liu X, Jia Y, Dong F, Xu J, Wu X, Yang Y, Zheng Y</t>
  </si>
  <si>
    <t>639</t>
  </si>
  <si>
    <t>550-559</t>
  </si>
  <si>
    <t>Ecotoxicological effects of the insecticide fipronil in Brazilian native stingless bees Melipona scutellaris (Apidae: Meliponini).</t>
  </si>
  <si>
    <t>Ecotoxicological effects of the insecticide fipronil in Brazilian native stingless bees Melipona scutellaris (Apidae: Meliponini).    ABSTRACT:  Melipona scutellaris Latreille, 1811 (Hymenoptera, Apidae) is a pollinator of various native and cultivated plants. Because of the expansion of agriculture and the need to ensure pest control, the use of insecticides such as fipronil (FP) has increased. This study aimed to evaluate the effects of sublethal doses of FP insecticide on M. scutellaris at different time intervals (6, 12, and 24 h) after exposure, via individually analyzed behavioral biomarkers (locomotor activity, behavioral change) as well as the effect of FP on different brain structures of bees (mushroom bodies, antennal cells, and optic cells), using sub-individual cell biomarkers (heterochromatin dispersion, total nuclear and heterochromatic volume). Forager bees were collected when they were returning to the nest and were exposed to three different concentrations of FP (0.40, 0.040, and 0.0040 ng a.i/bee) by topical application. The results revealed a reduction in the mean velocity, lethargy, motor difficulty, paralysis, and hyperexcitation in all groups of bees treated with FP. A modification of the heterochromatic dispersion pattern and changes in the total volume of the nucleus and heterochromatin were also observed in the mushroom bodies (6, 12, and 24 h of exposure) and antennal lobes (6 and 12 h) of bees exposed to 0.0040 ng a.i/bee (LD50/100). FP is toxic to M. scutellaris and impairs the essential functions required for the foraging activity.Copyright © 2018 Elsevier Ltd. All rights reserved.  KEYWORDS:  MeSH Chemical: Insecticides MeSH: | Animals| Bees| Brazil| Ecotoxicology/majr/methods| Insecticides/majr/adverse effects Other:Behavioral change|Epigenetic profile|Heterochromatin|Stingless bees|Sublethal concentration</t>
  </si>
  <si>
    <t>de Morais CR, Travençolo BAN, Carvalho SM, Beletti ME, Vieira Santos VS, Campos CF, de Campos Júnior EO, Pereira BB, Carvalho Naves MP, de Rezende AAA, Spanó MA, Vieira CU, Bonetti AM</t>
  </si>
  <si>
    <t>632-642</t>
  </si>
  <si>
    <t>Determination of fipronil and its metabolites in chicken egg, muscle and cake by a modified QuEChERS method coupled with LC-MS/MS.</t>
  </si>
  <si>
    <t>Determination of fipronil and its metabolites in chicken egg, muscle and cake by a modified QuEChERS method coupled with LC-MS/MS.    ABSTRACT:  An easy-to-use method for determining the levels of fipronil and its metabolites (fipronil-desulfinyl, fipronil-sulfone and fipronil-sulfide) in chicken egg, muscle and cake was developed and validated using a modified quick, easy, cheap, effective, rugged and safe (QuEChERS) approach coupled with liquid chromatography-tandem mass spectrometry (LC-MS/MS) analysis. The samples were extracted using acetonitrile, salted out with sodium chloride at -20°C, and then purified by combined PSA and C18 phases and anhydrous magnesium sulphate. The recoveries were 80.4-119% with relative standard deviations (RSDs) &lt; 10% for the different matrixes. The validated method was used to analyse the target compounds in 214 real samples collected in Beijing. The metabolite fipronil-sulfone was detected in most of the samples and was identified as the main residue in the egg and cake. The method was validated using a proficiency test for fipronil in products of animal origin published by Wageningen University &amp; Research in 2017.  KEYWORDS:  MeSH Chemical: Insecticides| Pyrazoles| fipronil MeSH: | Animals| Chickens| Chromatography, Liquid| Food Contamination/majr/analysis| Insecticides/majr/analysis/metabolism| Muscles/majr/chemistry| Ovum/majr/chemistry| Pyrazoles/majr/analysis/metabolism| Tandem Mass Spectrometry Other:Fipronil and its metabolites|cake|chicken egg|muscle|ultra-performance liquid chromatography-tandem mass spectrometry</t>
  </si>
  <si>
    <t>Guo Q, Zhao S, Zhang J, Qi K, Du Z, Shao B</t>
  </si>
  <si>
    <t>1543-1552</t>
  </si>
  <si>
    <t>Validation, residue analysis, and risk assessment of fipronil and flonicamid in cotton (Gossypium sp.) samples and soil.</t>
  </si>
  <si>
    <t>Chawla S, Gor HN, Patel HK, Parmar KD, Patel AR, Shukla V, Ilyas M, Parsai SK, SomashekarMeena RS, Shah PG</t>
  </si>
  <si>
    <t>19167-19178</t>
  </si>
  <si>
    <t>Fiprole insecticide resistance of Laodelphax striatellus: electrophysiological and molecular docking characterization of A2'N RDL GABA receptors.</t>
  </si>
  <si>
    <t>Sheng CW, Casida JE, Durkin KA, Chen F, Han ZJ, Zhao CQ</t>
  </si>
  <si>
    <t>74</t>
  </si>
  <si>
    <t>2645-2651</t>
  </si>
  <si>
    <t>Occurrence of residues of fipronil and other acaricides in chicken eggs and poultry muscle/fat.</t>
  </si>
  <si>
    <t>Occurrence of residues of fipronil and other acaricides in chicken eggs and poultry muscle/fat.    ABSTRACT:  Following the detection of fipronil residues in eggs resulting from a misuse of non-approved veterinary medicinal products in poultry farms against red mites, an ad-hoc monitoring programme was set up in the EU. Member States have provided results for 5,439 samples of eggs and chicken muscle/fat which were analysed for fipronil and a number of additional active substances which were proposed by the European Commission to be monitored in view of potential misuse in poultry farms against red mites. The report summarises the data sampled during the period 1 September 2017 to 30 November 2017 and reported to EFSA. It provides an overview on the results with regard to frequency of occurrence and compliance with the legal limits. The results are presented by country of origin, by type of food product, and by the active substances analysed.© 2018 European Food Safety Authority. EFSA Journal published by John Wiley and Sons Ltd on behalf of European Food Safety Authority.  KEYWORDS:  Other:acaricides|chicken eggs|compliance with legal limit|fipronil|monitoring data|poultry</t>
  </si>
  <si>
    <t>Reich H, Triacchini GA</t>
  </si>
  <si>
    <t>EFSA journal. European Food Safety Authority</t>
  </si>
  <si>
    <t>e05164</t>
  </si>
  <si>
    <t>Investigation of novel pyrazole carboxamides as new apoptosis inducers on neuronal cells in Helicoverpa zea.</t>
  </si>
  <si>
    <t>Ren Y, Yang N, Yue Y, Jin H, Tao K, Hou T</t>
  </si>
  <si>
    <t>2280-2286</t>
  </si>
  <si>
    <t>Hydrophilicity nano-titania coating modified magnetic graphene oxide for pass-through cleanup of fipronil and its metabolites in human blood.</t>
  </si>
  <si>
    <t>He SW, Zhao YG, Zhang Y, Jin MC, Zhu Y</t>
  </si>
  <si>
    <t>1553</t>
  </si>
  <si>
    <t>16-24</t>
  </si>
  <si>
    <t>Repellent efficacy of a new combination of fipronil and permethrin against Lutzomyia longipalpis.</t>
  </si>
  <si>
    <t>Cutolo AA, Galvis-Ovallos F, de Souza Neves E, Silva FO, Chester ST, Fankhauser B</t>
  </si>
  <si>
    <t>247</t>
  </si>
  <si>
    <t>Fipronil recognition by the FA1 site of human serum albumin.</t>
  </si>
  <si>
    <t>Fipronil recognition by the FA1 site of human serum albumin.    ABSTRACT:  Fipronil is a broad-spectrum pesticide widely used in agriculture, horticulture, and forestry. Because fipronil can cause a variety of toxic effects in animals and humans, its use is authorized as a pesticide in veterinary medicinal products for pets, but not for the treatment of livestock animals whose products are intended for consumption. Recently, however, the presence of fipronil residues has been detected in the eggs and meat of layer hens from farms located in different European countries. Given the relevance of fipronil toxicity for human health, it is important to gain information concerning its fate in the human body, including its binding mode to human serum albumin (HSA), the most abundant protein in plasma. Here, the inhibition of heme-Fe(III) binding to the fatty acid site 1 (FA1) of HSA by fipronil is reported. Docking simulations support functional data, indicating that the FA1 site is the preferential cleft for fipronil recognition by HSA. The affinity of fipronil for HSA (Kf  = 1.9 × 10-6  M, at pH 7.3, and 20.0°C) may be relevant in vivo. Indeed, HSA could play a pivotal role in fipronil transport and scavenging, thus reducing the pesticide-free plasmatic levels, with consequent reduced systemic toxicity. In turn, fipronil binding to the FA1 site of HSA could impair the recognition of endogenous and exogenous molecules.Copyright © 2018 John Wiley &amp; Sons, Ltd.  KEYWORDS:  MeSH Chemical: Fatty Acids| Pesticides| Pyrazoles| fipronil| Serum Albumin, Human MeSH: | Allosteric Regulation/drug effects| Animals| Binding Sites/drug effects| Chickens| Fatty Acids| Humans| Kinetics| Pesticides/majr/adverse effects/chemistry/pharmacology| Protein Binding/drug effects| Protein Conformation/majr/drug effects| Pyrazoles/majr/adverse effects/chemistry/pharmacology| Serum Albumin, Human/majr/chemistry/drug effects Other:fipronil binding|human serum albumin|inhibition of warfarin binding|molecular docking</t>
  </si>
  <si>
    <t>Ascenzi P, Leboffe L, Toti D, Polticelli F, Trezza V</t>
  </si>
  <si>
    <t>Journal of molecular recognition : JMR</t>
  </si>
  <si>
    <t>e2713</t>
  </si>
  <si>
    <t>Therapeutic Contraindications in Exotic Pets.</t>
  </si>
  <si>
    <t>Therapeutic Contraindications in Exotic Pets.    ABSTRACT:  The selection and dosing of medications for exotic pets are often challenging because most drugs are used in an extralabel manner without pharmacokinetic and pharmacodynamic studies. Doses are often extrapolated from common domestic animals and safety data are often lacking in exotic species. Just as the bioavailability and therapeutic levels are different for each species, what may be a safe and commonly used medication in one species can be deadly in another. Various drugs with documented contraindications in certain exotic pet species are outlined in this review and the pathophysiology, clinical signs, and treatment options are described when applicable.Copyright © 2018 Elsevier Inc. All rights reserved.  KEYWORDS:  MeSH Chemical: Veterinary Drugs MeSH: | Animals| Animals, Domestic| Animals, Exotic/majr| Contraindications, Drug/majr| Pets/majr| Veterinary Drugs/majr/administration &amp; dosage/adverse effects/pharmacokinetics| Veterinary Medicine Other:Antibiotic-associated dysbiosis|Benzimidazoles|Fipronil|Glucocorticoids|Ibuprofen|Ivermectin|Ketoprofen</t>
  </si>
  <si>
    <t>Petritz OA, Chen S</t>
  </si>
  <si>
    <t>The veterinary clinics of North America. Exotic animal practice</t>
  </si>
  <si>
    <t>327-340</t>
  </si>
  <si>
    <t>Toxicity and motor changes in Africanized honey bees (Apis mellifera L.) exposed to fipronil and imidacloprid.</t>
  </si>
  <si>
    <t>Toxicity and motor changes in Africanized honey bees (Apis mellifera L.) exposed to fipronil and imidacloprid.    ABSTRACT:  This study evaluated the in vitro toxicity and motor activity changes in African-derived adult honey bees (Apis mellifera L.) exposed to lethal or sublethal doses of the insecticides fipronil and imidacloprid. Mortality of bees was assessed to determine the ingestion and contact lethal dose for 24 h using probit analysis. Motor activities in bees exposed to lethal (LD50) and sublethal doses (1/500th of the lethal dose) of both insecticides were evaluated in a behavioral observation box at 1 and 4 h. Ingestion and contact lethal doses of fipronil were 0.2316 ? 0.0626 and 0.0080 ? 0.0021 μg/bee, respectively. Ingestion and contact lethal doses of imidacloprid were 0.1079 ? 0.0375 and 0.0308 ? 0.0218 μg/bee, respectively. Motor function of bees exposed to lethal doses of fipronil and imidacloprid was impaired; exposure to sublethal doses of fipronil but not imidacloprid impaired motor function. The insecticides evaluated in this study were highly toxic to African-derived A. mellifera and caused impaired motor function in these pollinators.  KEYWORDS:  MeSH Chemical: Insecticides| Neonicotinoids| Nitro Compounds| Pyrazoles| imidacloprid| fipronil MeSH: | Animals| Bees/majr/drug effects/physiology| Behavior, Animal/drug effects| Insecticides/majr/toxicity| Lethal Dose 50| Motor Activity/majr/drug effects| Neonicotinoids/majr/toxicity| Nitro Compounds/majr/toxicity| Pyrazoles/majr/toxicity</t>
  </si>
  <si>
    <t>Bovi TS, Zaluski R, Orsi RO</t>
  </si>
  <si>
    <t>Anais da Academia Brasileira de Ciencias</t>
  </si>
  <si>
    <t>90</t>
  </si>
  <si>
    <t>239-245</t>
  </si>
  <si>
    <t>Interactions of Fipronil within Fish and Insects: Experimental and Molecular Modeling Studies.</t>
  </si>
  <si>
    <t>Zhang B, Zhang L, He L, Yang X, Shi Y, Liao S, Yang S, Cheng J, Ren T</t>
  </si>
  <si>
    <t>5756-5761</t>
  </si>
  <si>
    <t>Binding properties of four antennae-expressed chemosensory proteins (CSPs) with insecticides indicates the adaption of Spodoptera litura to environment.</t>
  </si>
  <si>
    <t>Lin X, Mao Y, Zhang L</t>
  </si>
  <si>
    <t>43-51</t>
  </si>
  <si>
    <t>Synthesis of Novel Amino Acid-Fipronil Conjugates and Study on Their Phloem Loading Mechanism.</t>
  </si>
  <si>
    <t>Synthesis of Novel Amino Acid-Fipronil Conjugates and Study on Their Phloem Loading Mechanism.    ABSTRACT:  To develop a new pesticide with phloem mobility, a series of new amino acid-fipronil conjugates were designed and synthesized based on derivatization at the 3-position of the pyrazole ring of fipronil. Experiments using a Ricinus communis seedling system showed that all tested conjugates were phloem mobile except for the isoleucine-fipronil conjugate, and that the serine-fipronil conjugate (4g) exhibited the highest concentration in phloem sap (52.00 ± 5.80 μM). According to prediction with log Cf values and uptake experiments with Xenopus oocytes, the phloem loading process of conjugate 4g involved both passive diffusion and an active carrier system (RcANT15). In particular, compared with for a previously reported glycinergic-fipronil conjugate (GlyF), passive diffusion played a more important role for conjugate 4g in the enhancement of phloem mobility. This study suggests that associating a nutrient at a different position of an existing pesticide structure could still be effective in obtaining phloem-mobile derivatives, but the distinct physicochemical properties of resultant conjugates may lead to different phloem loading mechanisms.  KEYWORDS:  MeSH Chemical: Amino Acids| Carrier Proteins| Plant Proteins| Pyrazoles| fipronil MeSH: | Amino Acids/majr/genetics/metabolism| Animals| Biological Transport, Active/physiology| Carrier Proteins/majr/genetics/metabolism| Oocytes| Phloem/majr/metabolism| Plant Proteins/majr/genetics/metabolism| Pyrazoles/majr/metabolism| Ricinus/majr/genetics/metabolism| Seedlings/majr/genetics/metabolism| Xenopus Other:amino acid transporter|fipronil|passive diffusion|phloem-mobile pesticides</t>
  </si>
  <si>
    <t>Sheng Q, Liu X, Xie Y, Lin F, Zhang Z, Zhao C, Xu H</t>
  </si>
  <si>
    <t>Sublethal Effects of Some Insecticides on Functional Response of Habrobracon hebetor (Hymneoptera: Braconidae) When Reared on Two Lepidopteran Hosts.</t>
  </si>
  <si>
    <t>Rashidi F, Nouri-Ganbalani G, Imani S</t>
  </si>
  <si>
    <t>1104-1111</t>
  </si>
  <si>
    <t>Polyoxymethylene passive samplers to assess the effectiveness of biochar by reducing the content of freely dissolved fipronil and ethiprole.</t>
  </si>
  <si>
    <t>Polyoxymethylene passive samplers to assess the effectiveness of biochar by reducing the content of freely dissolved fipronil and ethiprole.    ABSTRACT:  An equilibrium passive sampler based on polyoxymethylene (POM) was used to determine the freely dissolved concentrations (Cfree) of fipronil and ethiprole. The sorption equilibrium times of fipronil and ethiprole in POM were 14.2d and 24.0d, respectively. The POM-water partitioning coefficients (logKPOM-water) were 2.6 for fipronil and 1.4 for ethiprole. The method was further used to evaluate the sorption behavior of biochars which produced by pyrolysis of Magnolia wood (Magnolia denudata) at 300°C, 500°C and 700°C. The amounts of target compounds adsorbed increased with increasing pyrolysis temperature of the biochars. Biochars characterized by a low polarity index had better sorption capacity for the target compounds. The additions of biochars to sediment were effective in reducing Cfree, and the enhancement was found to be more pronounced with high biochar content. Cfree in sediment with more organic matter was significantly higher after biochar addition. Increasing the sediment-biochar contact time from 7 to 30d resulted in an increase in sorption of the compounds. We conclude that Magnolia wood biochar effectively reduces the content of freely dissolved fipronil and ethiprole content in sediment.Copyright © 2018. Published by Elsevier B.V.  KEYWORDS:  MeSH Chemical: Pyrazoles| Resins, Synthetic| Water Pollutants, Chemical| biochar| Charcoal| ethiprole| delrin| fipronil MeSH: | Charcoal/majr/chemistry| Environmental Monitoring/majr/instrumentation/methods| Geologic Sediments/majr/chemistry| Pyrazoles/majr/analysis/chemistry| Resins, Synthetic/majr/chemistry| Water Pollutants, Chemical/majr/analysis/chemistry Other:Biochar|Ethiprole|Fipronil|Freely dissolved concentrations|Polyoxymethylene</t>
  </si>
  <si>
    <t>Li S, Wang P, Liu X, Wu X, Dong F, Xu J, Zheng Y</t>
  </si>
  <si>
    <t>630</t>
  </si>
  <si>
    <t>960-966</t>
  </si>
  <si>
    <t>Evaluation of on-line concentration coupled to liquid chromatography tandem mass spectrometry for the quantification of neonicotinoids and fipronil in surface water and tap water.</t>
  </si>
  <si>
    <t>Montiel-León JM, Duy SV, Munoz G, Amyot M, Sauvé S</t>
  </si>
  <si>
    <t>2765-2779</t>
  </si>
  <si>
    <t>Induction of Amyloid-β42 Production by Fipronil and Other Pyrazole Insecticides.</t>
  </si>
  <si>
    <t>Cam M, Durieu E, Bodin M, Manousopoulou A, Koslowski S, Vasylieva N, Barnych B, Hammock BD, Bohl B, Koch P, Omori C, Yamamoto K, Hata S, Suzuki T, Karg F, Gizzi P, Erakovic Haber V, Bencetic Mihaljevic V, Tavcar B, Portelius E, Pannee J, Blennow K, Zetterberg H, Garbis SD, Auvray P, Gerber H, Fraering J, Fraering PC, Meijer L</t>
  </si>
  <si>
    <t>Journal of Alzheimer's disease : JAD</t>
  </si>
  <si>
    <t>1663-1681</t>
  </si>
  <si>
    <t>Evaluation of supercritical fluid chromatography coupled to tandem mass spectrometry for pesticide residues in food.</t>
  </si>
  <si>
    <t>Cutillas V, Galera MM, Rajski Ł, Fernández-Alba AR</t>
  </si>
  <si>
    <t>1545</t>
  </si>
  <si>
    <t>67-74</t>
  </si>
  <si>
    <t>An update of the Worldwide Integrated Assessment (WIA) on systemic insecticides. Part 3: alternatives to systemic insecticides.</t>
  </si>
  <si>
    <t>An update of the Worldwide Integrated Assessment (WIA) on systemic insecticides. Part 3: alternatives to systemic insecticides.    ABSTRACT:  Over-reliance on pesticides for pest control is inflicting serious damage to the environmental services that underpin agricultural productivity. The widespread use of systemic insecticides, neonicotinoids, and the phenylpyrazole fipronil in particular is assessed here in terms of their actual use in pest management, effects on crop yields, and the development of pest resistance to these compounds in many crops after two decades of usage. Resistance can only be overcome in the longterm by implementing methods that are not exclusively based on synthetic pesticides. A diverse range of pest management tactics is already available, all of which can achieve efficient pest control below the economic injury level while maintaining the productivity of the crops. A novel insurance method against crop failure is shown here as an example of alternative methods that can protect farmer's crops and their livelihoods without having to use insecticides. Finally, some concluding remarks about the need for a new framework for a truly sustainable agriculture that relies mainly on natural ecosystem services instead of chemicals are included; this reinforcing the previous WIA conclusions (van der Sluijs et al. Environ Sci Pollut Res 22:148-154, 2015).  KEYWORDS:  MeSH Chemical: Insecticides| Neonicotinoids| Pesticides MeSH: | Ecosystem| Insecticides/majr| Neonicotinoids| Pest Control| Pesticides/majr Other:Biological control|Fipronil|IPM|Insurance cover|Mutual funds|Neonicotinoids|Pest control|Resistance|Review|Systemic insecticides</t>
  </si>
  <si>
    <t>Furlan L, Pozzebon A, Duso C, Simon-Delso N, Sánchez-Bayo F, Marchand PA, Codato F, Bijleveld van Lexmond M, Bonmatin JM</t>
  </si>
  <si>
    <t>11798-11820</t>
  </si>
  <si>
    <t>Using in vitro derived enzymatic reaction rates of metabolism to inform pesticide body burdens in amphibians.</t>
  </si>
  <si>
    <t>Glinski DA, Henderson WM, Van Meter RJ, Purucker ST</t>
  </si>
  <si>
    <t>288</t>
  </si>
  <si>
    <t>9-16</t>
  </si>
  <si>
    <t>Protective effects of rosuvastatin and vitamin E against fipronil-mediated oxidative damage and apoptosis in rat liver and kidney.</t>
  </si>
  <si>
    <t>Abdel-Daim MM, Abdeen A</t>
  </si>
  <si>
    <t>69-77</t>
  </si>
  <si>
    <t>Molecular cloning, spatiotemporal and functional expression of GABA receptor subunits RDL1 and RDL2 of the rice stem borer Chilo suppressalis.</t>
  </si>
  <si>
    <t>Sheng CW, Jia ZQ, Ozoe Y, Huang QT, Han ZJ, Zhao CQ</t>
  </si>
  <si>
    <t>18-27</t>
  </si>
  <si>
    <t>Activated carbon as a means of limiting bioaccumulation of organochlorine pesticides, triclosan, triclocarban, and fipronil from sediments rich in organic matter.</t>
  </si>
  <si>
    <t>Dang VD, Kroll KJ, Supowit SD, Halden RU, Denslow ND</t>
  </si>
  <si>
    <t>627-633</t>
  </si>
  <si>
    <t>The effect of vitamin C on Cyprinus carpio survival in water environment with chemical toxicants. Some comments.</t>
  </si>
  <si>
    <t>The effect of vitamin C on Cyprinus carpio survival in water environment with chemical toxicants. Some comments.    ABSTRACT:  NOABSTRACT. No abstract found.  KEYWORDS:  MeSH Chemical: Insecticides| Pyrazoles| Thiadiazines| Water Pollutants, Chemical| buprofezin| Ascorbic Acid| fipronil MeSH: | Animals| Ascorbic Acid| Carps/majr| Insecticides/majr| Pyrazoles| Thiadiazines| Water Pollutants, Chemical/majr/analysis</t>
  </si>
  <si>
    <t>Chirumbolo S, Bjørklund G</t>
  </si>
  <si>
    <t>7-8</t>
  </si>
  <si>
    <t>Association of detoxification enzymes with butene-fipronil in larvae and adults of Drosophila melanogaster.</t>
  </si>
  <si>
    <t>Arain MS, Shakeel M, Elzaki MEA, Farooq M, Hafeez M, Shahid MR, Shah SAH, Khan FZA, Shakeel Q, Salim AMA, Li GQ</t>
  </si>
  <si>
    <t>10006-10013</t>
  </si>
  <si>
    <t>[Determination of fipronil and its metabolites in eggs and egg products with gas chromatography-negative chemical ionization-mass spectrometry].</t>
  </si>
  <si>
    <t>[Determination of fipronil and its metabolites in eggs and egg products with gas chromatography-negative chemical ionization-mass spectrometry].    ABSTRACT:  A method was established for the determination of fipronil and its metabolites in eggs and egg products with gas chromatography-negative chemical ionization-mass spectrometry (GC-NCI-MS). The targets were extracted from samples with acetonitrile, and followed by a simple cleanup step known as dispersive solid-phase extraction QuEChERS. The extracts were determined by GC-NCI-MS, and quantified by external standard method with matrix correction standard curves. The recoveries were in the range of 87.0% to 99.3% at four spiked levels (0.1, 2.0, 4.0 and 20.0 μg/kg), and all RSDs were not more than 12.7% for the four analytes. The linearity of the method was good between 0.005 and 0.10 mg/L, and all LOQs were less than 0.10 μg/kg. So this method can be used to determine the residues of fipronil and its metabolites in eggs and egg products.  KEYWORDS:  MeSH Chemical: Pesticide Residues| Pyrazoles| fipronil MeSH: | Eggs/majr/analysis| Gas Chromatography-Mass Spectrometry| Mass Spectrometry| Pesticide Residues/majr/analysis| Pyrazoles/majr/analysis| Solid Phase Extraction Other:QuEChERS|egg products|eggs|fipronil and its metabolites|gas chromatography-mass spectrometry (GC-MS)|negative chemical ionization (NCI)</t>
  </si>
  <si>
    <t>Shen W, Liu H, Zhang R, Yu K, Cai L, Liu Y, Wang H</t>
  </si>
  <si>
    <t>1224-1228</t>
  </si>
  <si>
    <t>[Rapid screening of fipronil and its metabolites in egg and egg products by solid phase extraction-liquid chromatography-quadrupole time-of-flight mass spectrometry].</t>
  </si>
  <si>
    <t>[Rapid screening of fipronil and its metabolites in egg and egg products by solid phase extraction-liquid chromatography-quadrupole time-of-flight mass spectrometry].    ABSTRACT:  A method for rapid screening of fipronil and its metabolites in egg and egg products was developed by liquid chromatography coupled with quadrupole time-of-flight mass spectrometry (LC-QTOF MS). The samples were extracted by acid-acetonitrile, cleaned up by PRiME HLB SPE. The separation was performed on a Poroshell 120 EC C18 column (150 mm×3 mm, 2.7 μm) with gradient elution using water and acetonitrile as mobile phases. The target compounds were monitored under negative ionization mode with electrospray ionization (ESI) source and two databases of accurate mass and fragment ions were created. The matrix effects in four kinds of egg and egg products were considered and the quantification was carried out by internal standard method. The results demonstrated that the linear ranges were from 0.1 to 5 μg/L with good correlation coefficients (r2&gt;0.99). The limits of detection (LODs, S/N&gt;3) and limits of quantitation (LOQs, S/N&gt;10) were 0.2 μg/kg and 1 μg/kg, respectively. The recoveries of fipronil and its metabolites in different matrixes spiked with 1, 2 and 5 μg/kg varied from 82.6%-98.1%, and the relative standard deviations (RSDs) were between 3.8%-9.9% (n=6). The method can effectively correct the ionization suppression. It is sensitive, accurate and suitable for the rapid screening of fipronil, fipronil sulfide, fipronil sulfone and fipronil desulfinyl in egg, egg noodle, cake and mayonnaise.  KEYWORDS:  MeSH Chemical: Pyrazoles| fipronil sulfone| fipronil MeSH: | Chromatography, Liquid| Eggs/majr/analysis| Food Analysis/majr/methods| Limit of Detection| Pyrazoles/majr/analysis| Solid Phase Extraction| Tandem Mass Spectrometry Other:egg and egg products|fipronil and its metabolites|liquid chromatography-quadrupole time-of-flight mass spectrometry (LC-QTOF MS)|screening|solid phase extraction (SPE)</t>
  </si>
  <si>
    <t>Guo D, Shi Y, Li Y, Yi X, Deng X, Xiao W, Wang J, Li X, Liu H, Shen W</t>
  </si>
  <si>
    <t>1216-1223</t>
  </si>
  <si>
    <t>[Determination of fipronil and its metabolites in bird eggs by ultra-performance liquid chromatography-tandem mass spectrometry with dispersive solid phase extraction].</t>
  </si>
  <si>
    <t>[Determination of fipronil and its metabolites in bird eggs by ultra-performance liquid chromatography-tandem mass spectrometry with dispersive solid phase extraction].    ABSTRACT:  An ultra-performance liquid chromatography-tandem mass spectrometry (UPLC-MS/MS) method was developed to determine fipronil and its metabolites (fipronil desulfinyl, fipronil sulfone and fipronil sulfide) in bird eggs. The samples were extracted with acetonitrile containing 0.1%(v/v) acetic acid, and then purified by a mixture of anhydrous sodium sulfate, octadecyl carbon silica gel (C18-N) sorbent and ethylenediamine-N-propyl carbon silica gel (NH2-PSA) sorbent. The analysis was performed by a UPLC-MS/MS system with Shim-pack GIST C18 column (50 mm×2.1 mm, 2 μm). The mobile phases consisted of methanol and 1 mmol/L ammonium acetate aqueous solution by gradient elution, and multiple reaction monitoring (MRM) mode with negative electrospray ionization was used. The effect of the dosages of anhydrous sodium sulfate, C18-N and NH2-PSA in cleaning-up agent was studied. The main influence factors and analytical conditions were modified. Four linear calibration curves were obtained with correlation coefficients r2 ≥ 0.9989. The recoveries were determined at three concentrations and ranged from 95.09%-103.26%. The limit of quantification (LOQ) was 0.2 μg/kg. It is suitable for the determination of fipronil and its metabolites in bird eggs.  KEYWORDS:  MeSH Chemical: Pyrazoles| fipronil MeSH: | Animals| Birds/majr| Chromatography, High Pressure Liquid| Eggs/majr/analysis| Pyrazoles/majr/analysis| Solid Phase Extraction| Tandem Mass Spectrometry Other:bird eggs|dispersive solid phase extraction|fipronil|ultra-performance liquid chromatography-tandem mass spectrometry (UPLC-MS/MS)</t>
  </si>
  <si>
    <t>Li J, Zheng X, Wang H, Qiu H</t>
  </si>
  <si>
    <t>1211-1215</t>
  </si>
  <si>
    <t>Enantiomeric separation of six chiral pesticides that contain chiral sulfur/phosphorus atoms by supercritical fluid chromatography.</t>
  </si>
  <si>
    <t>Enantiomeric separation of six chiral pesticides that contain chiral sulfur/phosphorus atoms by supercritical fluid chromatography.    ABSTRACT:  Six chiral pesticides containing chiral sulfur/phosphorus atoms were separated by supercritical fluid chromatography with supercritical CO2 as the main mobile phase component. The effect of the chiral stationary phase, different type and concentration of modifiers, column temperature, and backpressure on the separation efficiency was investigated to obtain the appropriate separation condition. Five chiral pesticides (isofenphos-methyl, isocarbophos, flufiprole, fipronil, and ethiprole) were baseline separated under experimental conditions, while isofenphos only obtained partial separation. The Chiralpak AD-3 column showed a better chiral separation ability than others for chiral pesticides containing chiral sulfur/phosphorus atoms. When different modifiers at the same concentration were used, the retention factor of pesticides except flufiprole decreased in the order of isopropanol, ethanol, methanol; meanwhile, the retention factor of flufiprole increased in the order of isopropanol, ethanol, methanol. For a given modifier, the retention factor and resolution decreased on the whole with the increase of its concentration. The enantiomer separation of five chiral pesticides was an "enthalpy-driven" process, and the separation factor decreased as the temperature increased. The backpressure of the mobile phase had little effect on the separation factor and resolution.© 2018 WILEY-VCH Verlag GmbH &amp; Co. KGaA, Weinheim.  KEYWORDS:  Other:chiral pesticides|chiral stationary phases|enantiomeric separation|supercritical fluid chromatography</t>
  </si>
  <si>
    <t>Zhang L, Miao Y, Lin C</t>
  </si>
  <si>
    <t>Journal of separation science</t>
  </si>
  <si>
    <t>1460-1470</t>
  </si>
  <si>
    <t>Vitamin C attenuates biochemical and genotoxic damage in common carp (Cyprinus carpio) upon joint exposure to combined toxic doses of fipronil and buprofezin insecticides.</t>
  </si>
  <si>
    <t>Ghazanfar M, Shahid S, Qureshi IZ</t>
  </si>
  <si>
    <t>196</t>
  </si>
  <si>
    <t>43-52</t>
  </si>
  <si>
    <t>Development and validation of an ultra performance liquid chromatography Q-Exactive Orbitrap mass spectrometry for the determination of fipronil and its metabolites in tea and chrysanthemum.</t>
  </si>
  <si>
    <t>Development and validation of an ultra performance liquid chromatography Q-Exactive Orbitrap mass spectrometry for the determination of fipronil and its metabolites in tea and chrysanthemum.    ABSTRACT:  A fast, sensitive and reliable method for the determination of fipronil and its metabolites in tea and chrysanthemum was developed using a modified QuEChERS technique and an ultra performance liquid chromatography Q-Exactive Orbitrap mass spectrometry. The mixture of adsorbents containing primary secondary amine (PSA), octadecylsilane (C18) and carbon nanotubes (CNTs), was used as QuEChERS adsorbents. The use of mass resolution at 70000 full width at half maximum (FWHM) and narrow mass windows at 5 ppm achieved high selectivity and repeatability. Satisfactory linearity with correlative coefficient (R2) higher than 0.996 was achieved for all compounds. Recoveries at three levels (2, 10 and 50 μg kg-1) ranged from 86% to 112%, while the intra- and inter-day accuracies were less than 15%. Limits of quantification for fipronil and its metabolites were 2 μg kg-1, which fulfils the requirement of maximum residue limits formulated by European Union and Japan.Copyright © 2017 Elsevier Ltd. All rights reserved.  KEYWORDS:  MeSH Chemical: Insecticides| Nanotubes, Carbon| Pyrazoles| Tea| fipronil MeSH: | China| Chromatography, High Pressure Liquid/majr/methods| Chrysanthemum/majr/chemistry| Insecticides/majr| Limit of Detection| Mass Spectrometry/majr/methods| Nanotubes, Carbon| Pyrazoles/majr/analysis/metabolism| Reproducibility of Results| Tea/majr/chemistry Other:Fipronil|Metabolites|QuEChERS|Tea|Ultra performance liquid chromatography Q-Exactive Orbitrap mass spectrometry</t>
  </si>
  <si>
    <t>Chen H, Gao G, Liu P, Pan M, Chai Y, Liu X, Lu C</t>
  </si>
  <si>
    <t>328-334</t>
  </si>
  <si>
    <t>In Vitro Selection of a Single-Stranded DNA Molecular Recognition Element against the Pesticide Fipronil and Sensitive Detection in River Water.</t>
  </si>
  <si>
    <t>In Vitro Selection of a Single-Stranded DNA Molecular Recognition Element against the Pesticide Fipronil and Sensitive Detection in River Water.    ABSTRACT:  Fipronil is a commonly used insecticide that has been shown to have environmental and human health risks. The current standard methods of detection for fipronil and its metabolites, such as GC-MS, are time consuming and labor intensive. In this study, a variant of systematic evolution of ligands by exponential enrichment (SELEX), was utilized to identify the first single-stranded DNA (ssDNA) molecular recognition element (MRE) that binds to fipronil with high affinity (Kd = 48 ± 8 nM). The selected MRE displayed low cross binding activity on various environmentally relevant, structurally unrelated herbicides and pesticides, in addition to broad-spectrum binding activity on major metabolites of fipronil and a structurally similar pesticide in prepared river samples. Additionally, a proof-of-principle fluorescent detection assay was developed by using the selected ssDNA MRE as a signal-reporting element, with a limit of detection of 105 nM in a prepared river water sample.  KEYWORDS:  MeSH Chemical: Aptamers, Nucleotide| DNA, Single-Stranded| Insecticides| Pyrazoles| Water Pollutants, Chemical| fipronil MeSH: | Aptamers, Nucleotide/majr/chemical synthesis/chemistry| Base Pairing| Base Sequence| Binding Sites| Biological Assay/majr| DNA, Single-Stranded/majr/chemical synthesis/chemistry| Fresh Water/chemistry| Insecticides/majr/isolation &amp; purification| Limit of Detection| Nucleic Acid Conformation| Pyrazoles/majr/isolation &amp; purification| Reproducibility of Results| SELEX Aptamer Technique| Water Pollutants, Chemical/majr/isolation &amp; purification Other:Decoy-SELEX|ELISA|SELEX|aptamer|fipronil|in vitro selection|insecticide|molecular recognition element (MRE)|pesticide</t>
  </si>
  <si>
    <t>Hong KL, Sooter LJ</t>
  </si>
  <si>
    <t>Capture and Reductive Transformation of Halogenated Pesticides by an Activated Carbon-Based Electrolysis System for Treatment of Runoff.</t>
  </si>
  <si>
    <t>Li Y, Mitch WA</t>
  </si>
  <si>
    <t>1435-1443</t>
  </si>
  <si>
    <t>An unusual case of insecticide poisoning presenting as acute kidney injury.</t>
  </si>
  <si>
    <t>An unusual case of insecticide poisoning presenting as acute kidney injury.    ABSTRACT:  Poisoning due to insecticides such as organophosphorus and super vasmol presenting as acute kidney injury (AKI) is well-reported. Poisoning due to fipronil (phenylpyrazole) is known to present with mild neurological and dermatological complaints. However, fipronil poisoning presenting as AKI and hepatic dysfunction is not known. Herein, we are presenting a case of fipronil poisoning presenting with severe AKI.  KEYWORDS:  MeSH Chemical: Insecticides| Pyrazoles| fipronil MeSH: | Acute Kidney Injury/majr/chemically induced/diagnosis/physiopathology/therapy| Female| Humans| Insecticides/majr/blood/poisoning| Kidney/majr/drug effects/physiopathology| Middle Aged| Pyrazoles/majr/blood/poisoning| Renal Dialysis| Treatment Outcome</t>
  </si>
  <si>
    <t>Yadla M, Sailaja S, Ahmed N, Uppin M, Arlappa N</t>
  </si>
  <si>
    <t>Saudi journal of kidney diseases and transplantation : an official publication of the Saudi Center for Organ Transplantation, Saudi Arabia</t>
  </si>
  <si>
    <t>1432-1434</t>
  </si>
  <si>
    <t>Crystal structure of fipronil.</t>
  </si>
  <si>
    <t>Crystal structure of fipronil.    ABSTRACT:  The title compound, C12H4Cl2F6N4OS {systematic name: 5-amino-1-[2,6-di-chloro-4-(tri-fluoro-meth-yl)phen-yl]-4-[(tri-fluoro-methane)sulfinyl]-1H-pyrazole-3-carbo-nitrile}, is a member of the phenyl-pyrazole group of acaricides, and one of the phenyl-pyrazole group of insecticides. The dihedral angle between the planes of the pyrazole and benzene rings is 89.03 (9)°. The fluorine atoms of the tri-fluoro-methyl substituent on the benzene ring are disordered over two sets of sites, with occupancy ratios 0.620 (15):0.380 (15). In the crystal, C-N⋯π inter-actions [N⋯ring centroid = 3.607 (4) Å] together with N-H⋯N and C-H⋯F hydrogen bonds form a looped chain structure along [10[Formula: see text]]. Finally, N-H⋯O hydrogen bonds and C-Cl⋯π inter-actions [Cl⋯ring centroid = 3.5159 (16) Å] generate a three-dimensional structure. Additionally, there are a short inter-molecular F⋯ F contacts present.  KEYWORDS:  Other:acaricides|crystal structure|fipronil|insecticides</t>
  </si>
  <si>
    <t>Park H, Kim J, Kwon E, Kim TH</t>
  </si>
  <si>
    <t>Acta crystallographica. Section E, Crystallographic communications</t>
  </si>
  <si>
    <t>73</t>
  </si>
  <si>
    <t>Pt 10</t>
  </si>
  <si>
    <t>1472-1474</t>
  </si>
  <si>
    <t>Species specific RNA A-to-I editing of mosquito RDL modulates GABA potency and influences agonistic, potentiating and antagonistic actions of ivermectin.</t>
  </si>
  <si>
    <t>Taylor-Wells J, Senan A, Bermudez I, Jones AK</t>
  </si>
  <si>
    <t>Effects of insecticides chlorpyrifos, emamectin benzoate and fipronil on Spodoptera litura might be mediated by OBPs and CSPs.</t>
  </si>
  <si>
    <t>Lin X, Jiang Y, Zhang L, Cai Y</t>
  </si>
  <si>
    <t>108</t>
  </si>
  <si>
    <t>658-666</t>
  </si>
  <si>
    <t>The impacts of modern-use pesticides on shrimp aquaculture: An assessment for north eastern Australia.</t>
  </si>
  <si>
    <t>Hook SE, Doan H, Gonzago D, Musson D, Du J, Kookana R, Sellars MJ, Kumar A</t>
  </si>
  <si>
    <t>148</t>
  </si>
  <si>
    <t>770-780</t>
  </si>
  <si>
    <t>Novaluron ingestion causes larval lethality and inhibits chitin content in Leptinotarsa decemlineata fourth-instar larvae.</t>
  </si>
  <si>
    <t>Xu QY, Meng QW, Shi JF, Deng P, Guo WC, Li GQ</t>
  </si>
  <si>
    <t>173-180</t>
  </si>
  <si>
    <t>RDL mutations predict multiple insecticide resistance in Anopheles sinensis in Guangxi, China.</t>
  </si>
  <si>
    <t>Yang C, Huang Z, Li M, Feng X, Qiu X</t>
  </si>
  <si>
    <t>482</t>
  </si>
  <si>
    <t>Integrated Control of Nymphal Ixodes scapularis: Effectiveness of White-Tailed Deer Reduction, the Entomopathogenic Fungus Metarhizium anisopliae, and Fipronil-Based Rodent Bait Boxes.</t>
  </si>
  <si>
    <t>Williams SC, Stafford KC, Molaei G, Linske MA</t>
  </si>
  <si>
    <t>55-64</t>
  </si>
  <si>
    <t>Development and validation of modified QuEChERS method coupled with LC-MS/MS for simultaneous determination of cymiazole, fipronil, coumaphos, fluvalinate, amitraz, and its metabolite in various types of honey and royal jelly.</t>
  </si>
  <si>
    <t>Zheng W, Park JA, Abd El-Aty AM, Kim SK, Cho SH, Choi JM, Yi H, Cho SM, Ramadan A, Jeong JH, Shim JH, Shin HC</t>
  </si>
  <si>
    <t>1072</t>
  </si>
  <si>
    <t>60-69</t>
  </si>
  <si>
    <t>An update of the Worldwide Integrated Assessment (WIA) on systemic insecticides. Part 2: impacts on organisms and ecosystems.</t>
  </si>
  <si>
    <t>Pisa L, Goulson D, Yang EC, Gibbons D, Sánchez-Bayo F, Mitchell E, Aebi A, van der Sluijs J, MacQuarrie CJK, Giorio C, Long EY, McField M, Bijleveld van Lexmond M, Bonmatin JM</t>
  </si>
  <si>
    <t>11749-11797</t>
  </si>
  <si>
    <t>Field-relevant doses of the systemic insecticide fipronil and fungicide pyraclostrobin impair mandibular and hypopharyngeal glands in nurse honeybees (Apis mellifera).</t>
  </si>
  <si>
    <t>Zaluski R, Justulin LA, Orsi RO</t>
  </si>
  <si>
    <t>15217</t>
  </si>
  <si>
    <t>Influence of the RDL A301S mutation in the brown planthopper Nilaparvata lugens on the activity of phenylpyrazole insecticides.</t>
  </si>
  <si>
    <t>Garrood WT, Zimmer CT, Gutbrod O, Lüke B, Williamson MS, Bass C, Nauen R, Emyr Davies TG</t>
  </si>
  <si>
    <t>142</t>
  </si>
  <si>
    <t>An update of the Worldwide Integrated Assessment (WIA) on systemic insecticides. Part 1: new molecules, metabolism, fate, and transport.</t>
  </si>
  <si>
    <t>An update of the Worldwide Integrated Assessment (WIA) on systemic insecticides. Part 1: new molecules, metabolism, fate, and transport.    ABSTRACT:  With the exponential number of published data on neonicotinoids and fipronil during the last decade, an updated review of literature has been conducted in three parts. The present part focuses on gaps of knowledge that have been addressed after publication of the Worldwide Integrated Assessment (WIA) on systemic insecticides in 2015. More specifically, new data on the mode of action and metabolism of neonicotinoids and fipronil, and their toxicity to invertebrates and vertebrates, were obtained. We included the newly detected synergistic effects and/or interactions of these systemic insecticides with other insecticides, fungicides, herbicides, adjuvants, honeybee viruses, and parasites of honeybees. New studies have also investigated the contamination of all environmental compartments (air and dust, soil, water, sediments, and plants) as well as bees and apicultural products, food and beverages, and the exposure of invertebrates and vertebrates to such contaminants. Finally, we review new publications on remediation of neonicotinoids and fipronil, especially in water systems. Conclusions of the previous WIA in 2015 are reinforced; neonicotinoids and fipronil represent a major threat worldwide for biodiversity, ecosystems, and all the services the latter provide.  KEYWORDS:  MeSH Chemical: Insecticides| Neonicotinoids| Soil MeSH: | Animals| Bees| Ecosystem| Insecticides/majr/analysis| Invertebrates| Neonicotinoids| Soil Other:Fipronil|Metabolites|Mode of action|Neonicotinoids|Remediation|Residues|Review|Synergy|Systemic insecticides</t>
  </si>
  <si>
    <t>Giorio C, Safer A, Sánchez-Bayo F, Tapparo A, Lentola A, Girolami V, van Lexmond MB, Bonmatin JM</t>
  </si>
  <si>
    <t>11716-11748</t>
  </si>
  <si>
    <t>Simultaneous determination of three pesticides and their metabolites in unprocessed foods using ultraperformance liquid chromatography-tandem mass spectrometry.</t>
  </si>
  <si>
    <t>Simultaneous determination of three pesticides and their metabolites in unprocessed foods using ultraperformance liquid chromatography-tandem mass spectrometry.    ABSTRACT:  We have developed a rapid, multi-compound analytical method for measuring residues of the pesticides thiamethoxam and its metabolite, clothianidin; fipronil and its three metabolites, fipronil sulfone, fipronil sulfide, and fipronil desulfinyl; and pyraclostrobin in unprocessed foods (rice, corn, cucumbers, tomatoes, apples, and bananas) by ultra-performance liquid chromatography coupled to tandem mass spectrometry. Acetonitrile was used as the extraction solvent, and an octadecylsilane-dispersive SPE was used to clean up the analytes, which were then separated through a UPLC HSS T3 column connected to a tandem mass spectrometer via an electrospray ionisation source. The linearity of this method for the target analytes was excellent (R2 ≥0.990) in the concentration range of 5-1000 μg kg-1. The average recoveries of the seven compounds at concentrations of 10, 100, and 1000 μg kg-1 from six spiked matrix samples ranged from 73.6 to 110.6%, all with RSD values of ≤19.7%. The limit of quantification was 10 μg kg-1. The method validated the effectiveness of the method for routine monitoring the residue of these pesticides and their metabolites in foods.  KEYWORDS:  MeSH Chemical: Neonicotinoids| Nitro Compounds| Oxazines| Pesticides| Thiazoles| Thiamethoxam MeSH: | Chromatography, High Pressure Liquid| Cucumis sativus/chemistry| Food Analysis/majr/methods| Food Contamination/majr/analysis| Lycopersicon esculentum/chemistry| Malus/chemistry| Musa/chemistry| Neonicotinoids/analysis/metabolism| Nitro Compounds/analysis/metabolism| Oryza/chemistry| Oxazines/analysis/metabolism| Pesticides/majr/analysis/metabolism| Tandem Mass Spectrometry| Thiamethoxam| Thiazoles/analysis/metabolism| Zea mays/chemistry Other:Pesticides|QuEChERS|UPLC-MS/MS|metabolites|residue|unprocessed food</t>
  </si>
  <si>
    <t>Rong L, Wu X, Xu J, Dong F, Liu X, Pan X, Du P, Wei D, Zheng Y</t>
  </si>
  <si>
    <t>273-281</t>
  </si>
  <si>
    <t>A randomised, blinded, controlled field study to assess the efficacy and safety of lotilaner tablets (Credelio™) in controlling fleas in client-owned dogs in European countries.</t>
  </si>
  <si>
    <t>Cavalleri D, Murphy M, Seewald W, Drake J, Nanchen S</t>
  </si>
  <si>
    <t>526</t>
  </si>
  <si>
    <t>A randomized, controlled study to assess the efficacy and safety of lotilaner (Credelio™) in controlling ticks in client-owned dogs in Europe.</t>
  </si>
  <si>
    <t>531</t>
  </si>
  <si>
    <t>The novel isoxazoline ectoparasiticide lotilaner (Credelio™): a non-competitive antagonist specific to invertebrates γ-aminobutyric acid-gated chloride channels (GABACls).</t>
  </si>
  <si>
    <t>Rufener L, Danelli V, Bertrand D, Sager H</t>
  </si>
  <si>
    <t>530</t>
  </si>
  <si>
    <t>The Biology and Ecology of Cat Fleas and Advancements in Their Pest Management: A Review.</t>
  </si>
  <si>
    <t>HPLC Analysis to Determine the Half-life and Bioavailability of the Termiticides Bifenthrin and Fipronil in Soil.</t>
  </si>
  <si>
    <t>Manzoor F, Pervez M</t>
  </si>
  <si>
    <t>2527-2533</t>
  </si>
  <si>
    <t>[Analysis of fipronil and metabolites residues distrubution in eggs].</t>
  </si>
  <si>
    <t>Lyu B, Chen DW, Li JG, Zhou S, Zhao YF</t>
  </si>
  <si>
    <t>949-953</t>
  </si>
  <si>
    <t>Discovery of the feline fur-mite Lynxacarus radovskyi in a cat resident in New Zealand.</t>
  </si>
  <si>
    <t>Discovery of the feline fur-mite Lynxacarus radovskyi in a cat resident in New Zealand.    ABSTRACT:  NOABSTRACT. No abstract found.  KEYWORDS:  MeSH Chemical: Anthelmintics| Benzimidazoles| Insecticides| Pyrazoles| oxibendazole| Praziquantel| fipronil MeSH: | Animals| Anthelmintics/therapeutic use| Benzimidazoles/administration &amp; dosage/therapeutic use| Cat Diseases/majr/drug therapy/epidemiology/parasitology| Cats| Insecticides/therapeutic use| Male| Mite Infestations/majr/drug therapy/epidemiology/parasitology/veterinary| Mites/majr/classification| New Zealand/epidemiology| Praziquantel/administration &amp; dosage/therapeutic use| Pyrazoles/therapeutic use</t>
  </si>
  <si>
    <t>Nichols J, Heath A</t>
  </si>
  <si>
    <t>New Zealand veterinary journal</t>
  </si>
  <si>
    <t>50-51</t>
  </si>
  <si>
    <t>Synergistic interactions between a variety of insecticides and an ergosterol biosynthesis inhibitor fungicide in dietary exposures of bumble bees (Bombus terrestris L.).</t>
  </si>
  <si>
    <t>Raimets R, Karise R, Mänd M, Kaart T, Ponting S, Song J, Cresswell JE</t>
  </si>
  <si>
    <t>541-546</t>
  </si>
  <si>
    <t>Differential Expression Profile of lncRNAs from Primary Human Hepatocytes Following DEET and Fipronil Exposure.</t>
  </si>
  <si>
    <t>Mitchell RD, Wallace AD, Hodgson E, Roe RM</t>
  </si>
  <si>
    <t>Resistance Status and Resistance Mechanisms in a Strain of Aedes aegypti (Diptera: Culicidae) From Puerto Rico.</t>
  </si>
  <si>
    <t>Estep AS, Sanscrainte ND, Waits CM, Louton JE, Becnel JJ</t>
  </si>
  <si>
    <t>1643-1648</t>
  </si>
  <si>
    <t>Characterization of Spodoptera litura (Lepidoptera: Noctuidae) Takeout Genes and Their Differential Responses to Insecticides and Sex Pheromone.</t>
  </si>
  <si>
    <t>Lin X, Zhang L, Jiang Y</t>
  </si>
  <si>
    <t>Journal of insect science (Online)</t>
  </si>
  <si>
    <t>Comparison of waterborne and intraperitoneal exposure to fipronil in the Caspian white fish (Rutilus frisii) on acute toxicity and histopathology.</t>
  </si>
  <si>
    <t>348-357</t>
  </si>
  <si>
    <t>Development of polyurethane-based passive samplers for ambient monitoring of urban-use insecticides in water.</t>
  </si>
  <si>
    <t>Liao C, Richards J, Taylor AR, Gan J</t>
  </si>
  <si>
    <t>1412-1420</t>
  </si>
  <si>
    <t>Fipronil 1% pour-on: further studies of its effects against lab-reared Glossina palpalis gambiensis.</t>
  </si>
  <si>
    <t>Fipronil 1% pour-on: further studies of its effects against lab-reared Glossina palpalis gambiensis.    ABSTRACT:  In order to assess the residual effects of fipronil 1% on tsetse fly survival, male Glossina palpalis gambiensis were released on non-treated and treated cattle, with 0.1 ml of fipronil/kg b.w. as a pour-on formulation. In a second trial, the female fecundity performances were evaluated by feeding teneral females on the same cattle. These females were then mated and their production parameters monitored, as well as the survival of freshly emerged flies. Fipronil had a significant effect on tsetse fly survival (p &lt; 0.001). Over a period of 30 days, up to 40% of tsetse fly mortality was observed within 72 h after tsetse were released. The residual effects ranged between 51 and 74 days when tsetse flies were released twice within a 15-day interval in the presence of a treated animal. When tsetse flies were fed on treated cattle through a parafilm membrane, 92 days after the treatment, no significant effect of fipronil was observed on the reproductive performance of females, i.e., as well as on fecundity (p = 0.948) and emergence rates (p = 0.743), or puparial weight (p = 0.422). This was also the case for the survival of young flies, with no difference observed between the two groups. After this study, it is confirmed that fipronil is highly effective against tsetse flies. Its efficacy in controlling ticks is already known but other externalities such as the control of biting insects add value to its use.  KEYWORDS:  MeSH Chemical: Insecticides| Pyrazoles| fipronil MeSH: | Animals| Cattle| Cattle Diseases/parasitology/prevention &amp; control| Female| Fertility/drug effects| Insecticides/majr| Male| Pyrazoles/majr| Tsetse Flies/majr/drug effects Other:Fipronil|Persistence|Survival|Tsetse flies</t>
  </si>
  <si>
    <t>Sawadogo B, Rayaisse JB, Adakal H, Kabre AT, Bauer B</t>
  </si>
  <si>
    <t>2927-2932</t>
  </si>
  <si>
    <t>Behavioral responses of pest mole crickets, Neoscapteriscus spp. (Orthoptera: Gryllotalpidae), to selected insecticides.</t>
  </si>
  <si>
    <t>Behavioral responses of pest mole crickets, Neoscapteriscus spp. (Orthoptera: Gryllotalpidae), to selected insecticides.    ABSTRACT:  Mole crickets (Neoscapteriscus spp.) consume turfgrasses and pasture grasses and uproot plants by their tunneling, which is detrimental to turf aesthetics and decreases forage quantity and quality. Insecticides are frequently used to prevent damage. In typical field trials, damage symptoms, not percent mortality or achieved level of control, are used to assess treatment efficacy. Here, however, laboratory tests assessed the direct effect of key insecticides on Neoscapteriscus mole cricket behavior.Mole crickets, Neoscapteriscus spp., were able to detect and avoid areas treated with fipronil [formulated product (FP)] and imidacloprid (FP). They tunneled less in sand treated with fipronil and avoided sand treated with fipronil and imidacloprid if given a choice. Mole crickets escaped areas treated with acephate, bifenthrin and fipronil. Bifenthrin and acephate caused increased tunneling during the first 90 min of observation. Fipronil and imidacloprid significantly reduced overall tunneling on treated areas.Tested insecticides elicited two types of behavioral changes in Neoscapteriscus mole crickets: increased locomotory activity and tunneling [acephate (organophosphate) and bifenthrin (pyrethroid)] and reduced spatial movement [fipronil (phenylpyrazole) and imidacloprid (neonicotinoid)]. These behavioral responses resulted mainly from contact chemoreception and inherent neurotoxicity of the chemicals on Neoscapteriscus mole crickets. © 2017 Society of Chemical Industry.© 2017 Society of Chemical Industry.  KEYWORDS:  MeSH Chemical: Insecticides MeSH: | Animals| Avoidance Learning/majr/drug effects| Behavior, Animal/drug effects| Female| Insecticides/majr/pharmacology| Locomotion/majr/drug effects| Orthoptera/majr/drug effects Other:Neoscapteriscus spp|avoidance|behavioral effects|insecticides|mole crickets|neurotoxicity|repellency|sublethal effects</t>
  </si>
  <si>
    <t>Kostromytska OS, Scharf ME, Buss EA</t>
  </si>
  <si>
    <t>547-556</t>
  </si>
  <si>
    <t>Insecticide susceptibilities of the two rice planthoppers Nilaparvata lugens and Sogatella furcifera in East Asia, the Red River Delta, and the Mekong Delta.</t>
  </si>
  <si>
    <t>Insecticide susceptibilities of the two rice planthoppers Nilaparvata lugens and Sogatella furcifera in East Asia, the Red River Delta, and the Mekong Delta.    ABSTRACT:  The two rice planthoppers, Nilaparvata lugens and Sogatella furcifera, have different life cycles in the regions of East Asia, the Red River Delta, and the Mekong Delta. The susceptibilities of these species to a range of insecticides have not previously been compared among the three regions over multiple years. Here, we describe the differences and similarities in insecticide susceptibilities of the two species among the three regions in 2006-2011.In all three regions in 2006 - 2011, N. lugens developed high and moderate levels of resistance to imidacloprid and thiamethoxam, respectively, but this species did not develop resistance to fipronil. In contrast, S. furcifera developed a high level of resistance to fipronil. The ranges in 50% lethal dose (LD50 ) values for N. lugens treated with both imidacloprid and thiamethoxam were similar over time between East Asia and the Red River Delta, and were different in the Mekong Delta.The results support the idea that resistant populations migrate from the Red River Delta region to East Asia. Therefore, continuous monitoring of the susceptibility of N. lugens to insecticides in the Red River Delta is very important for insecticide resistance management in East Asia. © 2017 Society of Chemical Industry.© 2017 Society of Chemical Industry.  KEYWORDS:  MeSH Chemical: Insecticides MeSH: | Animals| Asia, Southeastern| Far East| Hemiptera/majr/drug effects| Insecticide Resistance/majr| Insecticides/majr/pharmacology| Species Specificity| Time Factors Other:brown planthopper|insecticide resistance|migration|topical application|whitebacked planthopper</t>
  </si>
  <si>
    <t>Matsumura M, Sanada-Morimura S, Otuka A, Sonoda S, Van Thanh D, Van Chien H, Van Tuong P, Loc PM, Liu ZW, Zhu ZR, Li JH, Wu G, Huang SH</t>
  </si>
  <si>
    <t>456-464</t>
  </si>
  <si>
    <t>Insecticide Residues on Poultry Manures: Field Efficacy Test on Selected Insecticides in Managing Musca Domestica Population.</t>
  </si>
  <si>
    <t>Insecticide Residues on Poultry Manures: Field Efficacy Test on Selected Insecticides in Managing Musca Domestica Population.    ABSTRACT:  In this study, bifenthrin (Maxxthor SC, Ensystex Australasia Pty Ltd), imidacloprid (Prothor SC, Ensystex Australasia Pty Ltd) and fipronil (Regent®50SC, Bayer) were applied on the natural infest manures according to the manufacturer rate during a broiler breeding cycle. Solvent direct-immersion extraction (SDIE) was used in detecting the target compound and later, quantification of the insecticide residues in field condition was investigated. The samples were prior cleaned up by solid-phase extraction (SPE) and analysed by Ultra-Performance Liquid Chromatography (UPLC) - photodiode array (PDA) system. In the field trial, three insecticides were showed accumulation during the broiler breeding period and it is suggested that they acted as adulticides when applied on the poultry manures, this is supported by the significant correlation between the increment of insecticide residues to the reduction percentage of adult flies (&lt;0.05). Fipronil showed significantly greater reduction on the adult fly compared to the other insecticides, in which the reduction rate compared to control population at the end of the broiler breeding period; fipronil, imidaclopril and bifenthrin reduced 51.51%, 28.30% and 30.84% of adult flies, respectively.  KEYWORDS:  Other:Extraction method|Musca domestica (L)|Ultra-Performance Liquid Chromatography (UPLC)|poultry manure</t>
  </si>
  <si>
    <t>Ong SQ, Ab Majid AH, Ahmad H</t>
  </si>
  <si>
    <t>45-55</t>
  </si>
  <si>
    <t>Insecticides for Suppression of Nylanderia fulva.</t>
  </si>
  <si>
    <t>Insecticides for Suppression of Nylanderia fulva.    ABSTRACT:  Nylanderia fulva (Mayr) is an invasive ant that is a serious pest in the southern United States. Pest control operators and homeowners are challenged to manage pest populations below acceptable thresholds. Contact and bait insecticides are key components of an Integrated Pest Management (IPM) strategy, however, little is known about their efficacy. In repellency and efficacy bioassays, N. fulva were not completely repelled by any insecticide tested, although fewer ants crossed a surface treated with Temprid®. Few insecticides provided rapid control. Termidor® and Temprid® were the best performing with mean mortality of 100% in 13.4 and 19.0 days, respectively. In no-choice bait acceptance studies, it was shown that N. fulva generally had greater acceptance of carbohydrate-based ant baits (Advion®, InTiceTM (gel), and InTiceTM (granular)). However, mortality was low for the InTiceTM baits in a 7-day bioassay. Maxforce® Ant Killer Bait Gel and Advance® 375A in the spring and Maxforce® Complete in the summer and fall required the fewest days to reach 100% mortality. Bait active ingredients that resulted in the highest mortality were hydramethylnon and fipronil. These data on the efficacy of commercially available contact and bait insecticides provide valuable information to manage this invasive pest.  KEYWORDS:  Other:Nylanderia fulva|control|suppression|tawny crazy ant</t>
  </si>
  <si>
    <t>Calibeo D, Oi F, Oi D, Mannion C</t>
  </si>
  <si>
    <t>The impact of restrictions on neonicotinoid and fipronil insecticides on pest management in maize, oilseed rape and sunflower in eight European Union regions.</t>
  </si>
  <si>
    <t>Kathage J, Castañera P, Alonso-Prados JL, Gómez-Barbero M, Rodríguez-Cerezo E</t>
  </si>
  <si>
    <t>88-99</t>
  </si>
  <si>
    <t>Nosema ceranae, Fipronil and their combination compromise honey bee reproduction via changes in male physiology.</t>
  </si>
  <si>
    <t>Nosema ceranae, Fipronil and their combination compromise honey bee reproduction via changes in male physiology.    ABSTRACT:  The honey bee is threatened by biological agents and pesticides that can act in combination to induce synergistic effects on its physiology and lifespan. The synergistic effects of a parasite/pesticide combination have been demonstrated on workers and queens, but no studies have been performed on drones despite their essential contribution to colony sustainability by providing semen diversity and quality. The effects of the Nosema ceranae/fipronil combination on the life traits and physiology of mature drones were examined following exposure under semi-field conditions. The results showed that the microsporidia alone induced moderate and localized effects in the midgut, whereas fipronil alone induced moderate and generalized effects. The parasite/insecticide combination drastically affected both physiology and survival, exhibiting an important and significant generalized action that could jeopardize mating success. In terms of fertility, semen was strongly impacted regardless of stressor, suggesting that drone reproductive functions are very sensitive to stress factors. These findings suggest that drone health and fertility impairment might contribute to poorly mated queens, leading to the storage of poor quality semen and poor spermathecae diversity. Thus, the queens failures observed in recent years might result from the continuous exposure of drones to multiple environmental stressors.  KEYWORDS:  MeSH Chemical: Insecticides| Pyrazoles| fipronil MeSH: | Animals| Bees/majr/microbiology/physiology| Fertility/drug effects/physiology| Gastrointestinal Tract/drug effects/microbiology/physiology| Host-Pathogen Interactions| Insecticides/pharmacology| Male| Nosema/majr/physiology| Pyrazoles/majr/pharmacology| Reproduction/drug effects/physiology</t>
  </si>
  <si>
    <t>Kairo G, Biron DG, Ben Abdelkader F, Bonnet M, Tchamitchian S, Cousin M, Dussaubat C, Benoit B, Kretzschmar A, Belzunces LP, Brunet JL</t>
  </si>
  <si>
    <t>8556</t>
  </si>
  <si>
    <t>The sustained speed of kill of ticks (Rhipicephalus sanguineus) and fleas (Ctenocephalides felis felis) on dogs by a spot-on combination of fipronil and permethrin (Effitix®) compared with oral afoxolaner (NexGard®).</t>
  </si>
  <si>
    <t>Cvejić D, Schneider C, Neethling W, Hellmann K, Liebenberg J, Navarro C</t>
  </si>
  <si>
    <t>52-57</t>
  </si>
  <si>
    <t>Mdr65 decreases toxicity of multiple insecticides in Drosophila melanogaster.</t>
  </si>
  <si>
    <t>Sun H, Buchon N, Scott JG</t>
  </si>
  <si>
    <t>89</t>
  </si>
  <si>
    <t>11-16</t>
  </si>
  <si>
    <t>Complex mixtures of dissolved pesticides show potential aquatic toxicity in a synoptic study of Midwestern U.S. streams.</t>
  </si>
  <si>
    <t>Nowell LH, Moran PW, Schmidt TS, Norman JE, Nakagaki N, Shoda ME, Mahler BJ, Van Metre PC, Stone WW, Sandstrom MW, Hladik ML</t>
  </si>
  <si>
    <t>613-614</t>
  </si>
  <si>
    <t>1469-1488</t>
  </si>
  <si>
    <t>Enantiomer-specific measurements of current-use pesticides in aquatic systems.</t>
  </si>
  <si>
    <t>Ulrich EM, TenBrook PL, McMillan LM, Wang Q, Lao W</t>
  </si>
  <si>
    <t>99-106</t>
  </si>
  <si>
    <t>Preliminary efficacy investigations of oral fipronil against Anopheles arabiensis when administered to Zebu cattle (Bos indicus) under field conditions.</t>
  </si>
  <si>
    <t>Poché RM, Githaka N, van Gool F, Kading RC, Hartman D, Polyakova L, Abworo EO, Nene V, Lozano-Fuentes S</t>
  </si>
  <si>
    <t>Acta tropica</t>
  </si>
  <si>
    <t>126-133</t>
  </si>
  <si>
    <t>Disruption of oxidative balance in the gut of the western honeybee Apis mellifera exposed to the intracellular parasite Nosema ceranae and to the insecticide fipronil.</t>
  </si>
  <si>
    <t>Disruption of oxidative balance in the gut of the western honeybee Apis mellifera exposed to the intracellular parasite Nosema ceranae and to the insecticide fipronil.    ABSTRACT:  The causes underlying the increased mortality of honeybee colonies remain unclear and may involve multiple stressors acting together, including both pathogens and pesticides. Previous studies suggested that infection by the gut parasite Nosema ceranae combined with chronic exposure to sublethal doses of the insecticide fipronil generated an increase in oxidative stress in the midgut of honeybees. To explore the impact of these two stressors on oxidative balance, we experimentally infected bees with N. ceranae and/or chronically exposed to fipronil at low doses for 22 days, and we measured soluble reactive oxygen species (ROS) and ROS damage by quantifying both protein and lipid oxidation in the midgut. Our results revealed a disruption of the oxidative balance, with a decrease in both the amount of ROS and ROS damage in the presence of the parasite alone. However, protein oxidation was significantly increased in the N. ceranae/fipronil combination, revealing an increase in oxidative damage and suggesting higher fipronil toxicity in infected bees. Furthermore, our results highlighted a temporal order in the appearance of oxidation events in the intestinal cells and revealed that all samples tended to undergo protein oxidation during ageing, regardless of treatment.© 2017 The Authors. Microbial Biotechnology published by John Wiley &amp; Sons Ltd and Society for Applied Microbiology.  KEYWORDS:  MeSH Chemical: Insecticides| Pyrazoles| Reactive Oxygen Species| fipronil MeSH: | Animals| Bees/majr/drug effects/metabolism/microbiology| Insecticides/majr/toxicity| Intestinal Mucosa/metabolism| Intestines/drug effects/microbiology| Nosema| Oxidative Stress/majr/drug effects| Pyrazoles/majr/toxicity| Reactive Oxygen Species/metabolism</t>
  </si>
  <si>
    <t>Paris L, Roussel M, Pereira B, Delbac F, Diogon M</t>
  </si>
  <si>
    <t>Microbial biotechnology</t>
  </si>
  <si>
    <t>1702-1717</t>
  </si>
  <si>
    <t>Scientific support for preparing an EU position in the 49th Session of the Codex Committee on Pesticide Residues (CCPR).</t>
  </si>
  <si>
    <t>Scientific support for preparing an EU position in the 49th Session of the Codex Committee on Pesticide Residues (CCPR).    ABSTRACT:  In accordance with Article 43 of Regulation (EC) 396/2005, EFSA received a request from the European Commission to provide support for the preparation of the EU position for 49th session of the Codex Committee on Pesticide Residues (CCPR). In 2016, JMPR evaluated 12 active substances regarding the setting of toxicological reference values to be used in consumer risk assessment (acibenzolar-S-methyl, fenpropimorph, fluazifop-P-butyl, fluensulfone, imazethapyr, isofetamid, oxathiapiprolin, penconazole, pendimethalin, pinoxaden, spiromesifen and teflubenzuron) and 24 active substance regarding the setting of Maximum Residue Limits (MRLs) (acibenzolar-S-methyl, benzovindiflupyr, bixafen, buprofezin, chlorantraniliprole, deltamethrin, dimethomorph, fipronil, fluazifop-P-butyl, fluensulfone, flupyradifurone, imazethapyr, isofetamid, methoprene, metrafenone, oxathiapiprolin, penconazole, pendimethalin, pinoxaden, saflufenacil, spiromesifen, sulfoxaflor, teflubenzuron and tolfenpyrad); EFSA prepared comments on the Codex MRL proposals and the proposed toxicological reference values. In addition, EFSA provided the views on follow-up assessments of JMPR on pesticides where specific concerns were raised in the previous CCPR meetings. The current report should serve as the basis for deriving the EU position for the CCPR meeting are summarised in this report.© 2017 European Food Safety Authority. EFSA Journal published by John Wiley and Sons Ltd on behalf of European Food Safety Authority.  KEYWORDS:  Other:CCPR meeting 2017|MRL setting|consumer risk assessment|residue definitions|toxicological evaluation</t>
  </si>
  <si>
    <t>e04929</t>
  </si>
  <si>
    <t>Synergy between dinotefuran and fipronil against the cat flea (Ctenocephalides felis): improved onset of action and residual speed of kill in adult cats.</t>
  </si>
  <si>
    <t>Delcombel R, Karembe H, Nare B, Burton A, Liebenberg J, Fourie J, Varloud M</t>
  </si>
  <si>
    <t>341</t>
  </si>
  <si>
    <t>Strategic control of Rhipicephalus (Boophilus) microplus infestation on beef cattle grazed in Panicum maximum grasses in a subtropical semi-arid region of Argentina.</t>
  </si>
  <si>
    <t>Morel N, Signorini ML, Mangold AJ, Guglielmone AA, Nava S</t>
  </si>
  <si>
    <t>179-183</t>
  </si>
  <si>
    <t>Family of Ricinus communis Monosaccharide Transporters and RcSTP1 in Promoting the Uptake of a Glucose-Fipronil Conjugate.</t>
  </si>
  <si>
    <t>Mao GL, Yan Y, Chen Y, Wang BF, Xu FF, Zhang ZX, Lin F, Xu HH</t>
  </si>
  <si>
    <t>65</t>
  </si>
  <si>
    <t>6169-6178</t>
  </si>
  <si>
    <t>Fluralaner as a single dose oral treatment for Caparinia tripilis in a pygmy African hedgehog.</t>
  </si>
  <si>
    <t>Fluralaner as a single dose oral treatment for Caparinia tripilis in a pygmy African hedgehog.    ABSTRACT:  African pygmy hedgehogs (Atelerix albiventris) are popular pets belonging to the Erinaceidae family of spined mammals. Amongst the most common skin diseases occurring in this species is infestation caused by the mite Caparinia spp. Due to their skin anatomy and spiny coat, detection of skin lesions in these hedgehogs can be difficult. This may result in delays in seeking medical care, which may lead to secondary bacterial infection and self-inflicted trauma. Multiple therapies have been used in the treatment of this skin condition including ivermectin, amitraz, fipronil and selamectin. A drug which could be administered as a single oral dose would be advantageous to these pets and their owners.To evaluate the effect of a single oral dose (15 mg/kg) of fluralaner on Caparinia tripilis infestation in the African pygmy hedgehog.A 10-month-old African pygmy hedgehog weighing 184 g.Response to treatment was monitored by dermatological examination and superficial skin scrapings repeated at 7, 14, 21, 30, 60, 90 and 120 days following fluralaner administration.On Day 7 after treatment, adult mites were observed exhibiting normal movement. On Day 14, only dead mites were observed. No life stages of the mites were found after Day 21.A single oral dose at 15 mg/kg of fluralaner was effective within 21 days after treatment for capariniasis in this case. Further studies are required to evaluate the drug's safety and toxicology in hedgehogs, and to confirm efficacy.© 2017 ESVD and ACVD.  KEYWORDS:  MeSH Chemical: A1443 compound| Acaricides| Isoxazoles MeSH: | Acaricides/majr/administration &amp; dosage/therapeutic use| Administration, Oral| Animals| Hedgehogs/majr/parasitology| Isoxazoles/majr/administration &amp; dosage/therapeutic use| Male| Mite Infestations/majr/diagnosis/drug therapy/veterinary| Psoroptidae/majr/drug effects</t>
  </si>
  <si>
    <t>Romero C, Sheinberg Waisburd G, Pineda J, Heredia R, Yarto E, Cordero AM</t>
  </si>
  <si>
    <t>Veterinary dermatology</t>
  </si>
  <si>
    <t>622-e152</t>
  </si>
  <si>
    <t>Biomineralisation of fipronil and its major metabolite, fipronil sulfone, by Aspergillus glaucus strain AJAG1 with enzymes studies and bioformulation.</t>
  </si>
  <si>
    <t>Biomineralisation of fipronil and its major metabolite, fipronil sulfone, by Aspergillus glaucus strain AJAG1 with enzymes studies and bioformulation.    ABSTRACT:  Fipronil is a phenylpryazole insecticide which is extensively used for the protection of agricultural yields. However, this insecticide poses various threats to  the environment. Therefore it is essential to develop an effective method to degrade or eliminate this pollutant from the  environment. In this present study, a fungal strain AJAG1 capable of degrading fipronil and its metabolite, fipronil sulfone, was isolated through enrichment technique. Isolated fungal strain was identified as Aspergillus glaucus based upon its morphological, and 18S rRNA sequence analysis. Strain AJAG1 could degrade 900 mg L-1 of fipronil efficiently in both aqueous medium and soil. In addition, fipronil degradation was tested with various kinetic models and the results revealed that biodegradation in aqueous medium and soil was ascertained by pseudo-first order and zero order rate kinetics, respectively. The infrared spectrum of fipronil degraded sample confirmed the formation of esters, nitro, and alkanes groups. A tentative degradation pathway of fipronil by strain AJAG1 has been proposed on the basis of gas chromatography-mass spectrometry (GC-MS) analysis. The lignolytic enzymes activities were studied during fipronil degradation by strain AJAG1. Further, scanning electron microscopy (SEM) was used to examine the surface morphology of strain AJAG1 after fipronil degradation. In the present investigation, bioformulation of strain AJAG1 was developed using low cost materials such as groundnut shell powder, molasses, and fly ash to remediate the fipronil from agricultural field. These results highlight A. glaucus strain AJAG1 may have potential for use in bioremediation of fipronil-contaminated environment.  KEYWORDS:  Other:Aspergillus glaucus strain AJAG1|Degradation|GC–MS|Kinetic studies|Low cost powder formulation</t>
  </si>
  <si>
    <t>Gajendiran A, Abraham J</t>
  </si>
  <si>
    <t>3 Biotech</t>
  </si>
  <si>
    <t>212</t>
  </si>
  <si>
    <t>Continuous low-level aquatic monitoring (CLAM) samplers for pesticide contaminant screening in urban runoff: Analytical approach and a field test case.</t>
  </si>
  <si>
    <t>Ensminger MP, Vasquez M, Tsai HJ, Mohammed S, Van Scoy A, Goodell K, Cho G, Goh KS</t>
  </si>
  <si>
    <t>184</t>
  </si>
  <si>
    <t>1028-1035</t>
  </si>
  <si>
    <t>Determination of metabolic resistance mechanisms in pyrethroid-resistant and fipronil-tolerant brown dog ticks.</t>
  </si>
  <si>
    <t>Determination of metabolic resistance mechanisms in pyrethroid-resistant and fipronil-tolerant brown dog ticks.    ABSTRACT:  Rhipicephalus sanguineus (Latreille) (Ixodida: Ixodidae) is a three-host dog tick found worldwide that is able to complete its' entire lifecycle indoors. Options for the management of R. sanguineus are limited and its' control relies largely on only a few acaricidal active ingredients. Previous studies have confirmed permethrin resistance and fipronil tolerance in R. sanguineus populations, commonly conferred by metabolic detoxification or target site mutations. Herein, five strains of permethrin-resistant and three strains of fipronil-tolerant ticks were evaluated for metabolic resistance using synergists to block metabolic enzymes. Synergist studies were completed with triphenyl phosphate (TPP) for esterase inhibition, piperonyl butoxide (PBO) for cytochrome P450 inhibition, and diethyl maleate (DEM) for glutathione-S-transferase inhibition. Additionally, increased esterase activity was confirmed using gel electrophoresis. The most important metabolic detoxification mechanism in permethrin-resistant ticks was increased esterase activity, followed by increased cytochrome P450 activity. The inhibition of metabolic enzymes did not have a marked impact on fipronil-tolerant tick strains.© 2017 The Royal Entomological Society.  KEYWORDS:  MeSH Chemical: Acaricides| Pyrazoles| Permethrin| fipronil MeSH: | Acaricides/majr/pharmacology| Animals| Drug Resistance/majr| Inactivation, Metabolic| Larva/drug effects/growth &amp; development/metabolism| Permethrin/majr/pharmacology| Pyrazoles/majr/pharmacology| Rhipicephalus sanguineus/majr/drug effects/growth &amp; development/metabolism Other:Rhipicephalus sanguineus|acaricide|cytochrome P450|esterase|permethrin|synergist</t>
  </si>
  <si>
    <t>Eiden AL, Kaufman PE, Oi FM, Dark MJ, Bloomquist JR, Miller RJ</t>
  </si>
  <si>
    <t>243-251</t>
  </si>
  <si>
    <t>Occurrence of commonly used pesticides in personal air samples and their associated health risk among paddy farmers.</t>
  </si>
  <si>
    <t>Hamsan H, Ho YB, Zaidon SZ, Hashim Z, Saari N, Karami A</t>
  </si>
  <si>
    <t>603-604</t>
  </si>
  <si>
    <t>381-389</t>
  </si>
  <si>
    <t>European demonstration program on the effect-based and chemical identification and monitoring of organic pollutants in European surface waters.</t>
  </si>
  <si>
    <t>Tousova Z, Oswald P, Slobodnik J, Blaha L, Muz M, Hu M, Brack W, Krauss M, Di Paolo C, Tarcai Z, Seiler TB, Hollert H, Koprivica S, Ahel M, Schollée JE, Hollender J, Suter MJ, Hidasi AO, Schirmer K, Sonavane M, Ait-Aissa S, Creusot N, Brion F, Froment J, Almeida AC, Thomas K, Tollefsen KE, Tufi S, Ouyang X, Leonards P, Lamoree M, Torrens VO, Kolkman A, Schriks M, Spirhanzlova P, Tindall A, Schulze T</t>
  </si>
  <si>
    <t>601-602</t>
  </si>
  <si>
    <t>1849-1868</t>
  </si>
  <si>
    <t>Organic Carbon Amendments for Enhanced Biological Attenuation of Trace Organic Contaminants in Biochar-Amended Stormwater Biofilters.</t>
  </si>
  <si>
    <t>Organic Carbon Amendments for Enhanced Biological Attenuation of Trace Organic Contaminants in Biochar-Amended Stormwater Biofilters.    ABSTRACT:  This study sought to evaluate how dissolved organic carbon (DOC) affects attenuation of trace organic contaminants (TOrCs) in biochar-amended stormwater biofilters. It was hypothesized that (1) DOC-augmented runoff would demonstrate enhanced TOrC biodegradation and (2) biochar-amended sand bearing DOC-cultivated biofilms would achieve enhanced TOrC attenuation due to sorptive retention and biodegradation. Microcosm and column experiments were conducted utilizing actual runoff, DOC from straw and compost, and a suite of TOrCs. Biodegradation of TOrCs in runoff was more enhanced by compost DOC than straw DOC (particularly for atrazine, prometon, benzotriazole, and fipronil). 16S rRNA gene quantification and sequencing revealed that growth-induced microbial community changes were, among replicates, most consistent for compost-augmented microcosms and least consistent for raw runoff microcosms. Compost DOC most robustly enhanced utilization of TOrCs as carbon substrates, possibly due to higher residual nutrient levels upon TOrC exposure. Sand columns containing just 0.5 wt % biochar maintained sorptive TOrC retention in the presence of compost-DOC-cultivated biofilms, and TOrC removal was further enhanced by biological activity. Overall, these results suggest that coamendment with biochar and compost may robustly enhance TOrC attenuation in stormwater biofilters, a finding of significance for efforts to mitigate the impacts of runoff on water quality.  KEYWORDS:  MeSH Chemical: RNA, Ribosomal, 16S| biochar| Charcoal| Carbon MeSH: | Biodegradation, Environmental| Carbon| Charcoal/majr| Composting| RNA, Ribosomal, 16S/majr</t>
  </si>
  <si>
    <t>Ulrich BA, Vignola M, Edgehouse K, Werner D, Higgins CP</t>
  </si>
  <si>
    <t>9184-9193</t>
  </si>
  <si>
    <t>Treatment of Neotrombicula species infestation in cats using a 10% (w/v) fipronil topical spot-on formulation: a pilot study.</t>
  </si>
  <si>
    <t>Cadiergues MC, Navarro C, Castilla-Castaño E, Lecru LA, Pressanti C</t>
  </si>
  <si>
    <t>Journal of feline medicine and surgery</t>
  </si>
  <si>
    <t>587-590</t>
  </si>
  <si>
    <t>Lethal effects of selected novel pesticides on immature stages of Trichogramma pretiosum (Hymenoptera: Trichogrammatidae).</t>
  </si>
  <si>
    <t>Khan MA, Ruberson JR</t>
  </si>
  <si>
    <t>2465-2472</t>
  </si>
  <si>
    <t>PCPF-M model for simulating the fate and transport of pesticides and their metabolites in rice paddy field.</t>
  </si>
  <si>
    <t>Boulange J, Malhat F, Thuyet DQ, Watanabe H</t>
  </si>
  <si>
    <t>2429-2438</t>
  </si>
  <si>
    <t>Treated wastewater effluent as a source of pyrethroids and fipronil at todos santos bay, Mexico: Its impact on sediments and organisms.</t>
  </si>
  <si>
    <t>Hernández-Guzmán FA, Macías-Zamora JV, Ramírez-Álvarez N, Alvarez-Aguilar A, Quezada-Hernández C, Fonseca AP</t>
  </si>
  <si>
    <t>3057-3064</t>
  </si>
  <si>
    <t>Unidirectional Cross-Resistance in German Cockroach (Blattodea: Blattellidae) Populations Under Exposure to Insecticidal Baits.</t>
  </si>
  <si>
    <t>Liang D, McGill J, Pietri JE</t>
  </si>
  <si>
    <t>1713-1718</t>
  </si>
  <si>
    <t>Fipronil-induced enantioselective developmental toxicity to zebrafish embryo-larvae involves changes in DNA methylation.</t>
  </si>
  <si>
    <t>Qian Y, Wang C, Wang J, Zhang X, Zhou Z, Zhao M, Lu C</t>
  </si>
  <si>
    <t>2284</t>
  </si>
  <si>
    <t>Rapid screening and identification of chemical hazards in surface and drinking water using high resolution mass spectrometry and a case-control filter.</t>
  </si>
  <si>
    <t>Kaserzon SL, Heffernan AL, Thompson K, Mueller JF, Gomez Ramos MJ</t>
  </si>
  <si>
    <t>182</t>
  </si>
  <si>
    <t>656-664</t>
  </si>
  <si>
    <t>The effectiveness of a fixed-dose combination pour-on formulation of 1.25% fipronil and 2.5% fluazuron against economically important ectoparasites and associated pharmacokinetics in cattle.</t>
  </si>
  <si>
    <t>Lopes WDZ, Chiummo RM, Vettorato LF, de Castro Rodrigues D, Sonada RB</t>
  </si>
  <si>
    <t>Parasitology international</t>
  </si>
  <si>
    <t>627-634</t>
  </si>
  <si>
    <t>Fipronil washoff to municipal wastewater from dogs treated with spot-on products.</t>
  </si>
  <si>
    <t>Teerlink J, Hernandez J, Budd R</t>
  </si>
  <si>
    <t>599-600</t>
  </si>
  <si>
    <t>Efficacy of a fipronil bait in reducing the number of fleas (Oropsylla spp.) infesting wild black-tailed prairie dogs.</t>
  </si>
  <si>
    <t>Efficacy of a fipronil bait in reducing the number of fleas (Oropsylla spp.) infesting wild black-tailed prairie dogs.    ABSTRACT:  Bubonic plague (Yersinia pestis) is a deadly zoonosis with black-tailed prairie dogs (Cynomys ludovicianus) as a reservoir host in the United States. Systemic insecticides are a promising means of controlling the vectors, Oropsylla spp. fleas, infesting these prairie dogs, subsequently disrupting the Y. pestis cycle. The objective of this study was to conduct a field trial evaluating the efficacy of a grain rodent bait containing fipronil (0.005%) against fleas infesting prairie dogs. The study was performed in Larimer County, CO, where bait was applied to a treatment area containing a dense prairie dog population, three times over a three-week period. Prairie dogs were captured and combed for fleas during four study periods (pre-, mid-, 1st post-, and 2nd post-treatment). Results indicated the use of bait containing fipronil significantly reduced flea burden. The bait containing fipronil was determined to reduce the mean number of fleas per prairie dog &gt;95% for a minimum of 52 days post-initial treatment application and 31 days post-final treatment application. These results suggest the potential for this form of treatment to reduce flea population density on prairie dogs, and subsequently plague transmission, among mammalian hosts across the United States and beyond.© 2017 The Society for Vector Ecology.  KEYWORDS:  MeSH Chemical: Pyrazoles| fipronil MeSH: | Animals| Flea Infestations/majr/prevention &amp; control| Plague| Pyrazoles/majr| Rodent Diseases| Sciuridae/majr/parasitology| Siphonaptera/majr| Yersinia pestis Other:Bubonic plague|Cynomys ludovicianus|fleas|southwestern United States|systemic insecticides</t>
  </si>
  <si>
    <t>Poché DM, Hartman D, Polyakova L, Poché RM</t>
  </si>
  <si>
    <t>42</t>
  </si>
  <si>
    <t>Legacy and Current-Use Insecticides in Agricultural Sediments from South China: Impact of Application Pattern on Occurrence and Risk.</t>
  </si>
  <si>
    <t>Legacy and Current-Use Insecticides in Agricultural Sediments from South China: Impact of Application Pattern on Occurrence and Risk.    ABSTRACT:  Legacy and current-use insecticides were analyzed in sediments collected from a typical rice-planting region in South China. Total concentrations of insecticides varied from 1.63 to 775 ng g-1 with mean and median values of 67.0 and 11.5 ng g-1, respectively. Pyrethroids predominated pesticide composition (31.7%), followed by organophosphates (23.0%) and fiproles (20.8%). Sediment risk analysis showed that pyrethroids, fiproles, and abamectin posed significant risk to benthic invertebrates in one-third of sediments. Different distributions of pyrethroids and organophosphates in urban and agricultural areas were consistent with their application patterns, whereas legacy organochlorine pesticides showed no region-specific distribution because of rapid transition of land use pattern from agricultural to urban areas. Likely illegal use of pyrethroids and fipronil caused serious ecological risks in agricultural waterways. Pyrethroids and fipronil were restricted to use in paddy fields, but their occurrence and risk in agricultural waterways were high, calling for better measures to regulate the illegal use of insecticides.  KEYWORDS:  MeSH Chemical: Insecticides| Organophosphates| Pyrethrins MeSH: | Animals| China| Environmental Monitoring| Geologic Sediments/majr/analysis| Insecticides/majr/analysis/pharmacology| Invertebrates/drug effects| Organophosphates/analysis/pharmacology| Oryza/growth &amp; development| Pyrethrins/analysis/pharmacology| Water Pollution, Chemical/analysis Other:agricultural waterways|application pattern|legacy and current-use insecticides|risk|sediment</t>
  </si>
  <si>
    <t>Wei Y, Li H, Zhang J, Xiong J, Yi X, You J</t>
  </si>
  <si>
    <t>4247-4254</t>
  </si>
  <si>
    <t>Evaluation of fipronil and imidacloprid as bait active ingredients against fungus-growing termites (Blattodea: Termitidae: Macrotermitinae).</t>
  </si>
  <si>
    <t>Evaluation of fipronil and imidacloprid as bait active ingredients against fungus-growing termites (Blattodea: Termitidae: Macrotermitinae).    ABSTRACT:  Fungus-growing termites (Macrotermitinae) are important pests in tropical countries. They are difficult to control with existing baiting methods, as chitin synthesis inhibitors are not effectual as active ingredients. We tested two neurotoxins, fipronil and imidacloprid, as potential bait active ingredients against Macrotermes gilvus (Hagen) in Singapore. In laboratory bioassays, M. gilvus showed no preference for doses of 0-64 ppm fipronil, or for doses of 0-250 ppm imidacloprid, indicating no repellence. We tested each insecticide in toilet paper as a bait matrix in a field experiment. After 28 days, termites had eaten 5-13% of the fipronil treated toilet paper, abandoned bait and monitoring stations, contacted no new stations, and repaired poorly their experimentally damaged mounds. Termites ate no imidacloprid treated toilet paper, abandoned bait stations although contacted new stations, and repaired fully their damaged mounds. Termites ate 60-70% of the control toilet paper, remained in bait stations, and fully repaired damaged mounds. After 56 days, all five fipronil colonies were eliminated, whereas all of the imidacloprid and control colonies were healthy. The results suggest that fipronil could be an effective active ingredient in bait systems for fungus-growing termites in tropical countries.  KEYWORDS:  MeSH Chemical: Insecticides| Neonicotinoids| Nitro Compounds| Pyrazoles| imidacloprid| fipronil MeSH: | Animals| Insecticides/majr| Isoptera/majr| Neonicotinoids/majr| Nitro Compounds/majr| Pyrazoles/majr Other:Isoptera|Macrotermitinae|active ingredient|bait active ingredient|fungus-growing|termite</t>
  </si>
  <si>
    <t>Iqbal N, Evans TA</t>
  </si>
  <si>
    <t>14-22</t>
  </si>
  <si>
    <t>Lungworms and gastrointestinal parasites of domestic cats: a European perspective.</t>
  </si>
  <si>
    <t>Giannelli A, Capelli G, Joachim A, Hinney B, Losson B, Kirkova Z, René-Martellet M, Papadopoulos E, Farkas R, Napoli E, Brianti E, Tamponi C, Varcasia A, Margarida Alho A, Madeira de Carvalho L, Cardoso L, Maia C, Mircean V, Mihalca AD, Miró G, Schnyder M, Cantacessi C, Colella V, Cavalera MA, Latrofa MS, Annoscia G, Knaus M, Halos L, Beugnet F, Otranto D</t>
  </si>
  <si>
    <t>47</t>
  </si>
  <si>
    <t>517-528</t>
  </si>
  <si>
    <t>A field trial of a fixed combination of permethrin and fipronil (Effitix®) for the treatment and prevention of flea infestation in dogs living with sheep.</t>
  </si>
  <si>
    <t>Chatzis MK, Psemmas D, Papadopoulos E, Navarro C, Saridomichelakis MN</t>
  </si>
  <si>
    <t>Photo-controlled release of fipronil from a coumarin triggered precursor.</t>
  </si>
  <si>
    <t>Photo-controlled release of fipronil from a coumarin triggered precursor.    ABSTRACT:  Developing efficient controlled release system of insecticide can facilitate the better use of insecticide. We described here a first example of photo-controlled release of an insecticide by linking fipronil with photoresponsive coumarin covalently. The generated coumarin-fipronil (CF) precursor could undergo cleavage to release free fipronil in the presence of blue light (420nm) or sunlight. Photophysical studies of CF showed that it exhibited strong fluorescence properties. The CF had no obvious activity against mosquito larvae under dark, but it can be activated by light inside the mosquito larvae. The released Fip from CF by blue light irradiation in vitro retained its activity to armyworm (Mythimna separate) with LC50 value of 24.64μmolL-1. This photocaged molecule provided an alternative delivery method for fipronil.Copyright © 2017. Published by Elsevier Ltd.  KEYWORDS:  MeSH Chemical: Coumarins| Delayed-Action Preparations| Drug Carriers| Insecticides| Pyrazoles| coumarin| fipronil MeSH: | Aedes/growth &amp; development| Animals| Coumarins/majr/chemistry| Delayed-Action Preparations| Drug Carriers/chemistry| Drug Liberation/radiation effects| Insecticides/majr/chemistry/metabolism/toxicity| Larva/drug effects| Light| Microscopy, Fluorescence| Pyrazoles/majr/chemistry/metabolism/toxicity| Spectrophotometry, Ultraviolet| Spodoptera/drug effects Other:Coumarin|Fipronil|Insecticide|Light|Photocaged</t>
  </si>
  <si>
    <t>Gao Z, Yuan P, Wang D, Xu Z, Li Z, Shao X</t>
  </si>
  <si>
    <t>2528-2535</t>
  </si>
  <si>
    <t>Rapid Throughput Analysis of GABAA Receptor Subtype Modulators and Blockers Using DiSBAC1(3) Membrane Potential Red Dye.</t>
  </si>
  <si>
    <t>Nik AM, Pressly B, Singh V, Antrobus S, Hulsizer S, Rogawski MA, Wulff H, Pessah IN</t>
  </si>
  <si>
    <t>Molecular pharmacology</t>
  </si>
  <si>
    <t>92</t>
  </si>
  <si>
    <t>Multi-pesticides residue analysis of grains using modified magnetic nanoparticle adsorbent for facile and efficient cleanup.</t>
  </si>
  <si>
    <t>Multi-pesticides residue analysis of grains using modified magnetic nanoparticle adsorbent for facile and efficient cleanup.    ABSTRACT:  A facile, rapid sample pretreatment method was developed based on magnetic nanoparticles for multi-pesticides residue analysis of grains. Magnetite (Fe3O4) nanoparticles modified with 3-(N,N-diethylamino)propyltrimethoxysilane (Fe3O4-PSA) and commercial C18 were selected as the cleanup adsorbents to remove the target interferences of the matrix, such as fatty acids and non-polar compounds. Rice was used as the representative grain sample for method optimization. The amount of Fe3O4-PSA and C18 were systematically investigated for selecting the suitable purification conditions, and the simultaneous determination of 50 pesticides and 8 related metabolites in rice was established by liquid chromatography-tandem mass spectrometry. Under the optimal conditions, the method validation was performed including linearity, sensitivity, matrix effect, recovery and precision, which all satisfy the requirement for pesticides residue analysis. Compared to the conventional QuEChERS method with non-magnetic material as cleanup adsorbent, the present method can save 30% of the pretreatment time, giving the high throughput analysis possible.Copyright © 2017 Elsevier Ltd. All rights reserved.  KEYWORDS:  MeSH Chemical: Magnetite Nanoparticles| Pesticide Residues| Pesticides MeSH: | Magnetite Nanoparticles/majr/chemistry| Pesticide Residues/majr/analysis/chemistry| Pesticides/majr/analysis/chemistry| Tandem Mass Spectrometry/methods Other:Acetonitrile (PubChem CID: 6342)|Ammonium formate (PubChem CID: 2723923)|Carbendazim (PubChem CID: 25429)|Carbofuran (PubChem CID: 2566)|Emamectin benzoate (PubChem CID: 22833503)|Fe(3)O(4)-PSA|Fipronil (PubChem CID: 3352)|Grain|LC–MS/MS|Magnesium sulfate (PubChem CID: 24083)|Malathion (PubChem CID: 4004)|Multi-pesticides residue|Phorate (PubChem CID: 4790)|Sodium chloride (PubChem CID: 5234)</t>
  </si>
  <si>
    <t>Liu Z, Qi P, Wang X, Wang Z, Xu X, Chen W, Wu L, Zhang H, Wang Q, Wang X</t>
  </si>
  <si>
    <t>230</t>
  </si>
  <si>
    <t>423-431</t>
  </si>
  <si>
    <t>Efficacy and safety of a new spot-on formulation of selamectin plus sarolaner in the treatment of naturally occurring flea and tick infestations in cats presented as veterinary patients in Europe.</t>
  </si>
  <si>
    <t>Geurden T, Becskei C, Farkas R, Lin D, Rugg D</t>
  </si>
  <si>
    <t>238 Suppl 1</t>
  </si>
  <si>
    <t>S12-S17</t>
  </si>
  <si>
    <t>Hydroxy-fipronil is a new urinary biomarker of exposure to fipronil.</t>
  </si>
  <si>
    <t>Hydroxy-fipronil is a new urinary biomarker of exposure to fipronil.    ABSTRACT:  Occupational medical surveillance is highly desirable in manufacturing facilities where exposure to chemicals is significant. The insecticide fipronil is generally considered safe for humans but with increasing use, exposure to fipronil is of concern. Identification of urinary metabolites of fipronil may allow development of affordable, cheap and rapid procedures for human exposure evaluation. In this study we developed a fast and easy approach for synthesis of hydroxy-fipronil, a potential urinary metabolite of fipronil. This standard was used to develop a sensitive analytical LC-MS/MS method with a limit of quantification (LOQ) of 0.4ng/mL. Fipronil sulfone, a known metabolite, and hydroxy-fipronil were quantified in urine samples from rats treated with a fipronil containing diet. Fipronil sulfone concentration centered around 20ng/mL, while the concentration of hydroxy-fipronil was dose-dependent ranging in 10-10,000ng/mL and thus being a more sensitive marker of fipronil exposure. A fipronil immunoassay with cross-reactivity to hydroxy-fipronil showed a good correlation in signal intensity with LC-MS data. It was also used to demonstrate the applicability of the method for sample screening in the evaluation of exposure levels.Copyright © 2017 Elsevier Ltd. All rights reserved.  KEYWORDS:  MeSH Chemical: Insecticides| Pyrazoles| fipronil sulfone| fipronil MeSH: | Animals| Chromatography, Liquid| Insecticides/majr/pharmacokinetics/standards/urine| Limit of Detection| Pyrazoles/majr/pharmacokinetics/standards/urine| Rats| Tandem Mass Spectrometry Other:Antibody|GABA receptor bioassay|Immunoassay|Insecticide|LC-MS/MS|Metabolite|Screening|Sensor</t>
  </si>
  <si>
    <t>Vasylieva N, Barnych B, Wan D, El-Sheikh EA, Nguyen HM, Wulff H, McMahen R, Strynar M, Gee SJ, Hammock BD</t>
  </si>
  <si>
    <t>103</t>
  </si>
  <si>
    <t>91-98</t>
  </si>
  <si>
    <t>Evaluation of the Potential for Secondary Kill for Ingested Insecticides in the Common Bed Bug (Hemiptera: Cimicidae).</t>
  </si>
  <si>
    <t>Matos YK, Sierras A, Schal C</t>
  </si>
  <si>
    <t>1218-1225</t>
  </si>
  <si>
    <t>Insecticide Resistance of Several Field-Collected German Cockroach (Dictyoptera: Blattellidae) Strains.</t>
  </si>
  <si>
    <t>1203-1209</t>
  </si>
  <si>
    <t>Development of Diagnostic Insecticide Concentrations and Assessment of Insecticide Susceptibility in German Cockroach (Dictyoptera: Blattellidae) Field Strains Collected From Public Housing.</t>
  </si>
  <si>
    <t>Fardisi M, Gondhalekar AD, Scharf ME</t>
  </si>
  <si>
    <t>1210-1217</t>
  </si>
  <si>
    <t>Insecticide Susceptibility in Asian Honey Bees (Apis cerana (Hymenoptera: Apidae)) and Implications for Wild Honey Bees in Asia.</t>
  </si>
  <si>
    <t>Insecticide Susceptibility in Asian Honey Bees (Apis cerana (Hymenoptera: Apidae)) and Implications for Wild Honey Bees in Asia.    ABSTRACT:  To conserve local biodiversity and ensure the provision of pollination services, it is essential to understand the impact of pesticides on wild honey bees. Most studies that have investigated the effects of pesticides on honey bees have focused on the European honey bee (Apis mellifera (Hymenoptera: Apidae)), which is commonly domesticated worldwide. However, the Asian honey bee (Apis cerana) is widely distributed throughout Asia, and toxicity data are lacking for this species. This study aimed to fill this important knowledge gap. In this study, we determined the acute contact toxicity in A. cerana to various pesticides, including neonicotinoids, fipronil, organophosphorus, synthetic pyrethroids, carbamate, and anthranilic diamide. Based on the test duration of 48 h of contact LD50 tests, A. cerana was most sensitive to dinotefuran (0.0014 μg/bee), followed by thiamethoxam (0.0024 μg/bee) and fipronil (0.0025 μg/bee). Dinotefuran is used extensively in Asia, thereby potentially creating a substantial hazard. More generally, A. cerana was approximately one order of magnitude more sensitive than was A. mellifera to most of the pesticides evaluated. The results of our study suggest that neonicotinoid pesticides should not be considered as a single group that acts uniformly on all honey bees, and that more careful management strategies are required to conserve A. cerana populations than A. mellifera.© The Authors 2017. Published by Oxford University Press on behalf of Entomological Society of America. All rights reserved. For Permissions, please email: journals.permissions@oup.com.  KEYWORDS:  MeSH Chemical: Insecticides MeSH: | Animals| Bees/majr/drug effects| Insecticide Resistance/majr| Insecticides/majr/pharmacology| Japan Other:Apis cerana|honey bee|neonicotinoid|pesticide toxicity</t>
  </si>
  <si>
    <t>Yasuda M, Sakamoto Y, Goka K, Nagamitsu T, Taki H</t>
  </si>
  <si>
    <t>447-452</t>
  </si>
  <si>
    <t>Involvement of vimentin in neurite outgrowth damage induced by fipronil in SH-SY5Y cells.</t>
  </si>
  <si>
    <t>Ruangjaroon T, Chokchaichamnankit D, Srisomsap C, Svasti J, Paricharttanakul NM</t>
  </si>
  <si>
    <t>Biochemical and biophysical research communications</t>
  </si>
  <si>
    <t>486</t>
  </si>
  <si>
    <t>652-658</t>
  </si>
  <si>
    <t>Residue analysis and persistence evaluation of fipronil and its metabolites in cotton using high-performance liquid chromatography-tandem mass spectrometry.</t>
  </si>
  <si>
    <t>Residue analysis and persistence evaluation of fipronil and its metabolites in cotton using high-performance liquid chromatography-tandem mass spectrometry.    ABSTRACT:  A simple residue analytical method based on the QuEChERS approach and high-performance liquid chromatography-tandem mass spectrometry (UPLC-MS/MS) detection was developed for the analysis of fipronil and its three metabolites in cottonseed, cotton plant and soil. The average recoveries of four test compounds from all three matrices were 78.6-108.9% at the level of 0.005 to 0.5 mg/kg, with an RSD in the range of 0.6 to 13.7%. The limit of quantification (LOQ) of the four test compounds ranged from 0.005 to 0.01 mg/kg. The results of the residual dynamics experiments showed that fipronil dissipated rapidly in cotton plants and soil and that oxidation and photolysis were the main degradation pathways. Moreover, the bi-exponential models demonstrated a good fit of the measured data for fipronil in cotton plants and soil, with R2 in the range of 0.8989 to 0.9989. Furthermore, a total of 40 samples of cottonseed from Shandong Province were analyzed, and all of the samples were free from the four test compound residues.  KEYWORDS:  MeSH Chemical: Insecticides| Pesticide Residues| Pyrazoles| fipronil MeSH: | Chromatography, High Pressure Liquid/majr/methods| Gossypium/majr/chemistry| Insecticides/majr/analysis| Pesticide Residues/majr/analysis| Pyrazoles/majr/analysis| Reproducibility of Results| Tandem Mass Spectrometry/majr/methods</t>
  </si>
  <si>
    <t>Wu X, Yu Y, Xu J, Dong F, Liu X, Du P, Wei D, Zheng Y</t>
  </si>
  <si>
    <t>e0173690</t>
  </si>
  <si>
    <t>The effects of fipronil and the photodegradation product fipronil desulfinyl on growth and gene expression in juvenile blue crabs, Callinectes sapidus, at different salinities.</t>
  </si>
  <si>
    <t>Goff AD, Saranjampour P, Ryan LM, Hladik ML, Covi JA, Armbrust KL, Brander SM</t>
  </si>
  <si>
    <t>186</t>
  </si>
  <si>
    <t>96-104</t>
  </si>
  <si>
    <t>Salinity impacts on water solubility and n-octanol/water partition coefficients of selected pesticides and oil constituents.</t>
  </si>
  <si>
    <t>Saranjampour P, Vebrosky EN, Armbrust KL</t>
  </si>
  <si>
    <t>2274-2280</t>
  </si>
  <si>
    <t>Efficacy Evaluation of Seed-Coating Compounds Against Cereal Cyst Nematodes and Root Lesion Nematodes on Wheat.</t>
  </si>
  <si>
    <t xml:space="preserve">Efficacy Evaluation of Seed-Coating Compounds Against Cereal Cyst Nematodes and Root Lesion Nematodes on Wheat.    ABSTRACT:  Cereal cyst nematodes (Heterodera avenae and H. filipjevi) and root lesion nematodes (Pratylenchus spp.) have been found to infect cereals in 16 provinces of China. To develop a nematicide that effectively controls nematodes, two novel chemical products, methylene bis thiocyanate (MBT) and MBT + thiamethoxam (MTT); four common pesticides, fipronil + chlorpyrifos (FIC), emamectin benzoate, imidacloprid, and Bacillus thuringiensis; and one fungicide, iprodione, were tested as seed coatings for the control of cereal cysts and root lesion nematodes from 2013 to 2015. Wheat seeds were treated with these seven seed coatings before sowing, and changes in the numbers of Heterodera spp. and Pratylenchus spp. were recorded during three different growth stages. Wheat yields were also compared after harvest. All treatments reduced the numbers of Pratylenchus in wheat and of cysts and eggs of Heterodera in the soil compared with the untreated control. Among the treatments, application of MTT or FIC was more effective than that of the other treatments for nematode control, and the other treatments had similar effects. The results of this study have demonstrated that MTT and FIC applied as seed treatments effectively reduce the number of cysts, inhibit the reproduction of Heterodera and Pratylenchus, and enhance wheat yields. MTT and FIC are thus suitable for controlling nematodes on wheat under natural field conditions.  KEYWORDS: </t>
  </si>
  <si>
    <t>Cui JK, Huang WK, Peng H, Lv Y, Kong LA, Li HX, Luo SJ, Wang Y, Peng DL</t>
  </si>
  <si>
    <t>Plant disease</t>
  </si>
  <si>
    <t>101</t>
  </si>
  <si>
    <t>428-433</t>
  </si>
  <si>
    <t>Assessment of the toxic effect of pesticides on honey bee drone fertility using laboratory and semifield approaches: A case study of fipronil.</t>
  </si>
  <si>
    <t>Kairo G, Poquet Y, Haji H, Tchamitchian S, Cousin M, Bonnet M, Pelissier M, Kretzschmar A, Belzunces LP, Brunet JL</t>
  </si>
  <si>
    <t>2345-2351</t>
  </si>
  <si>
    <t>Mosquitocidal Activity and Mode of Action of the Isoxazoline Fluralaner.</t>
  </si>
  <si>
    <t>Mosquitocidal Activity and Mode of Action of the Isoxazoline Fluralaner.    ABSTRACT:  Mosquitoes, such as Aedes aegypti and Anopheles gambiae, are important vectors of human diseases. Fluralaner, a recently introduced parasiticide, was evaluated as a mosquitocide in this study. On Ae. aegypti and An. gambiae fourth-instar larvae, fluralaner had 24-h LC50 (lethal concentration for 50% mortality) values of 1.8 ppb and 0.4 ppb, respectively. Following topical application to adult Ae. aegypti, fluralaner toxicity reached a plateau in about 3 days, with 1- and 3-day LD50 (lethal dose for 50% mortality) values of 1.3 ng/mg and 0.26 ng/mg, suggesting a slowly developing toxicity. Fipronil outperformed fluralaner by up to 100-fold in adult topical, glass contact, and feeding assays on Ae. aegypti. These data show that fluralaner does not have exceptional toxicity to mosquitoes in typical exposure paradigms. In electrophysiological recordings on Drosophila melanogaster larval central nervous system, the effectiveness of fluralaner for restoring nerve firing after gamma-aminobutyric acid (GABA) treatment, a measure of GABA antagonism, was similar in susceptible Oregon-R and cyclodiene-resistant rdl-1675 strains, with EC50 (half maximal effective concentration) values of 0.34 µM and 0.29 µM. Although this finding suggests low cross resistance in the presence of rdl, the moderate potency, low contact activity, and slow action of fluralaner argue against its use as an adult mosquitocide for vector control.  KEYWORDS:  MeSH Chemical: A1443 compound| Biomarkers| Insecticides| Isoxazoles| Pyrazoles| Receptors, GABA| fipronil MeSH: | Aedes/majr| Animals| Anopheles/majr| Biomarkers/metabolism| Central Nervous System/drug effects/metabolism| Drosophila melanogaster/drug effects/metabolism| Insecticides/majr/pharmacology| Isoxazoles/majr/pharmacology| Larva/drug effects| Lethal Dose 50| Pyrazoles| Receptors, GABA/metabolism Other:Aedes aegypti|Anopheles gambiae|Drosophila melanogaster|GABA receptor|fipronil</t>
  </si>
  <si>
    <t>Jiang S, Tsikolia M, Bernier UR, Bloomquist JR</t>
  </si>
  <si>
    <t>Study of Synergism, Antagonism, and Resistance Mechanisms in Insecticide-Resistant Oxycarenus hyalinipennis (Hemiptera: Lygaeidae).</t>
  </si>
  <si>
    <t>Ullah S, Ejaz M, Ali Shad S</t>
  </si>
  <si>
    <t>615-623</t>
  </si>
  <si>
    <t>Effectiveness and residual speed of flea kill of a novel spot on formulation of spinetoram (Cheristin®) for cats.</t>
  </si>
  <si>
    <t>Paarlberg T, Winkle J, Rumschlag AJ, Young LM, Ryan WG, Snyder DE</t>
  </si>
  <si>
    <t>59</t>
  </si>
  <si>
    <t>Toxicity of four veterinary pharmaceuticals on the survival and reproduction of Folsomia candida in tropical soils.</t>
  </si>
  <si>
    <t>Zortéa T, Segat JC, Maccari AP, Sousa JP, Da Silva AS, Baretta D</t>
  </si>
  <si>
    <t>460-465</t>
  </si>
  <si>
    <t>Effectiveness of Fipronil as a Systemic Control Agent Against Xenopsylla cheopis (Siphonaptera: Pulicidae) in Madagascar.</t>
  </si>
  <si>
    <t>Rajonhson DM, Miarinjara A, Rahelinirina S, Rajerison M, Boyer S</t>
  </si>
  <si>
    <t>411-417</t>
  </si>
  <si>
    <t>Behavioral response and gene expression changes in fipronil-administered male Japanese quail (Coturnix japonica).</t>
  </si>
  <si>
    <t>Khalil SR, Awad A, Mohammed HH</t>
  </si>
  <si>
    <t>51-61</t>
  </si>
  <si>
    <t>A randomized, blinded, controlled USA field study to assess the use of fluralaner topical solution in controlling canine flea infestations.</t>
  </si>
  <si>
    <t>Meadows C, Guerino F, Sun F</t>
  </si>
  <si>
    <t>A randomized, blinded, controlled USA field study to assess the use of fluralaner topical solution in controlling feline flea infestations.</t>
  </si>
  <si>
    <t>Five-month serological monitoring to assess the effectiveness of permethrin/fipronil (Frontline Tri-Act®) spot-on in reducing the transmission of Leishmania infantum in dogs.</t>
  </si>
  <si>
    <t>Papadopoulos E, Angelou A, Diakou A, Halos L, Beugnet F</t>
  </si>
  <si>
    <t>Veterinary parasitology, regional studies and reports</t>
  </si>
  <si>
    <t>48-53</t>
  </si>
  <si>
    <t>Comparative evaluation of risk for operators in various technologies using fipronil-containing pesticides.</t>
  </si>
  <si>
    <t>Comparative evaluation of risk for operators in various technologies using fipronil-containing pesticides.    ABSTRACT:  The authors presented results of hygienic evaluation of various techonologies connected with use of fipronil-based insecticides. Findings are allowable risk of fipronil exposure in workers, if technologic regulations and safety rules met. Exceeded allowable risk in some technologies is due to technologic process features, outdated equipment and poor efficiency of individual protective means - that requires management decisions.  KEYWORDS:  MeSH Chemical: Insecticides| Pyrazoles| fipronil MeSH: | Adult| Agriculture/majr/methods/standards| Farmers/statistics &amp; numerical data| Female| Humans| Insecticides/majr/analysis| Male| Occupational Exposure/majr/adverse effects/analysis/prevention &amp; control| Protective Devices/standards| Pyrazoles/majr/analysis| Risk Assessment/methods| Risk Management/methods| Russia| Safety/majr</t>
  </si>
  <si>
    <t>Lipkina LI, Mikheeva EN, BereznyakI IV</t>
  </si>
  <si>
    <t>Meditsina truda i promyshlennaia ekologiia</t>
  </si>
  <si>
    <t>Hair analysis for the biomonitoring of pesticide exposure: comparison with blood and urine in a rat model.</t>
  </si>
  <si>
    <t>Appenzeller BMR, Hardy EM, Grova N, Chata C, Faÿs F, Briand O, Schroeder H, Duca RC</t>
  </si>
  <si>
    <t>2813-2825</t>
  </si>
  <si>
    <t>Evaluation of Doxycycline-Laden Oral Bait and Topical Fipronil Delivered in a Single Bait Box to Control Ixodes scapularis (Acari: Ixodidae) and Reduce Borrelia burgdorferi and Anaplasma phagocytophilum Infection in Small Mammal Reservoirs and Host-Seeking Ticks.</t>
  </si>
  <si>
    <t>Dolan MC, Schulze TL, Jordan RA, Schulze CJ, Ullmann AJ, Hojgaard A, Williams MA, Piesman J</t>
  </si>
  <si>
    <t>403-410</t>
  </si>
  <si>
    <t>Optimization of fipronil degradation by heterogeneous photocatalysis: Identification of transformation products and toxicity assessment.</t>
  </si>
  <si>
    <t>Gomes Júnior O, Borges Neto W, Machado AEH, Daniel D, Trovó AG</t>
  </si>
  <si>
    <t>133-140</t>
  </si>
  <si>
    <t>Direct chiral separations of the enantiomers of phenylpyrazole pesticides and the metabolites by HPLC.</t>
  </si>
  <si>
    <t>Direct chiral separations of the enantiomers of phenylpyrazole pesticides and the metabolites by HPLC.    ABSTRACT:  The enantiomeric separation of the enantiomers of three phenylpyrazole pesticides (fipronil, flufiprole, ethiprole) and two fipronil metabolites (amide-fipronil and acid-fipronil) were investigated by high-performance liquid chromatography (HPLC) with a CHIRALPAK® IB chiral column. The mobile phase was n-hexane or petroleum ether with 2-propanol or ethanol as modifier at a flow rate of 1.0 mL/min. The influences of mobile phase composition and column temperature between 15 and 35°C on the separations were studied. All the analytes except ethiprole obtained complete enantiomeric separation after chromatographic condition optimization. Fipronil, flufiprole, amide-fipronil, and acid-fipronil obtained complete separation with the best resolution factors of 2.40, 3.40, 1.67, and 16.82, respectively, but ethiprole showed no enantioselectivity under the optimized conditions. In general, n-hexane with 2-propanol gave better separations in most cases. The results showed decreasing temperature and content of modifier in the mobile phase resulted in better separation and longer analysis time as well. The thermodynamic parameters calculated according to linear the Van't Hoff equation indicated the chiral separations in the study were enthalpy-driven. Fipronil and its two chiral hydrolyzed metabolites obtained baseline separation simultaneously under optimized conditions.© 2016 Wiley Periodicals, Inc.  KEYWORDS:  MeSH Chemical: Hexanes| Pesticides| Pyrazoles| n-hexane| ethiprole| 1-(2,6-dichloro-4-trifluoromethylphenyl)-5-(N-(2-methylprop-2-enyl)amino)-4-trifluoromethylsulfinylpyrazole-3-carbonitrile| 2-Propanol| fipronil MeSH: | 2-Propanol/majr/chemistry| Chromatography, High Pressure Liquid/methods| Hexanes/majr/chemistry| Pesticides/majr/chemistry| Pyrazoles/majr/chemistry| Stereoisomerism| Temperature| Thermodynamics Other:HPLC|chiral separation|enantiomers|phenylpyrazole pesticides</t>
  </si>
  <si>
    <t>Gao J, Qu H, Zhang C, Li W, Wang P, Zhou Z</t>
  </si>
  <si>
    <t>19-25</t>
  </si>
  <si>
    <t>A New Film-Based Passive Sampler for Moderately Hydrophobic Organic Compounds.</t>
  </si>
  <si>
    <t>A New Film-Based Passive Sampler for Moderately Hydrophobic Organic Compounds.    ABSTRACT:  Passive samplers for moderately hydrophobic organic compounds (MHOCs) (i.e., log Kow ranging from 2 to 5) are under-developed compared to those that target polar or strongly hydrophobic compounds. The goal of this study was to identify a suitable polymer and develop a robust and sensitive film-based passive sampler for MHOCs in aquatic systems. Poly(methyl methacrylate) (PMMA) exhibited the highest affinity for fipronil and its three metabolites (i.e., fipronils) (log Kow 2.4-4.8) as model MHOCs compared with polyethylene and nylon films. In addition, a 30-60 min treatment of PMMA in ethyl ether was found to increase its sorption capacity by a factor of 10. Fipronils and 108 additional compounds (log Kow 2.4-8.5) reached equilibrium on solvent-treated PMMA within 120 h under mixing conditions and their uptake closely followed first-order kinetics. PMMA-water partition coefficients and Kow revealed an inverse parabolic relationship, with vertex at log Kow of 4.21 ± 0.19, suggesting that PMMA was ideal for MHOCs. The PMMA sampler was tested in an urban surface stream, and in spiked sediment. The results demonstrated that PMMA film, after a simple solvent swelling treatment, may be used as an effective passive sampler for determining Cfree of MHOCs in aquatic environments.  KEYWORDS:  MeSH Chemical: Organic Chemicals| Water Pollutants, Chemical MeSH: | Environmental Monitoring/majr| Hydrophobic and Hydrophilic Interactions| Organic Chemicals/chemistry| Rivers/chemistry| Water Pollutants, Chemical/majr</t>
  </si>
  <si>
    <t>Lao W, Hong Y, Tsukada D, Maruya KA, Gan J</t>
  </si>
  <si>
    <t>13470-13476</t>
  </si>
  <si>
    <t>Assessment of the efficacy of a topical combination of fipronil-permethrin (Frontline Tri-Act®/Frontect®) against egg laying and adult emergence of the cat flea (Ctenocephalides felis) in dogs.</t>
  </si>
  <si>
    <t>Beugnet F, Halos L, Lebon W, Liebenberg J</t>
  </si>
  <si>
    <t>Parasite (Paris, France)</t>
  </si>
  <si>
    <t>Cross-resistance to three phenylpyrazole insecticides and A2'N mutation detection of GABA receptor subunit in fipronil-resistant Laodelphax striatellus (Hemiptera: Delphacidae).</t>
  </si>
  <si>
    <t>Wei Q, Mu XC, Wu SF, Wang LX, Gao CF</t>
  </si>
  <si>
    <t>1618-1624</t>
  </si>
  <si>
    <t>Biochemical response of the Africanized honeybee exposed to fipronil.</t>
  </si>
  <si>
    <t>Biochemical response of the Africanized honeybee exposed to fipronil.    ABSTRACT:  Bees are recognized worldwide for their social, economic, and environmental value. In recent decades they have been seriously threatened by diseases and high levels of pesticide use. The susceptibility of bees to insecticides makes them an important terrestrial model for assessing environmental quality, and various biomarkers have been developed for such assessments. The present study aimed to evaluate the activity of the enzymes acetylcholinesterase (AChE), carboxylesterase (CaE), and glutathione-S-transferase (GST) in Africanized honeybees exposed to fipronil. The results showed that fipronil at a sublethal dose (0.01 ng/bee) modulates the activity of CaE in all isoforms analyzed (CaE-1, CaE-2, and CaE-3) in both newly emerged and aged bees, and does not affect the activity of AChE or GST. The recovery of the bees after fipronil exposure was also investigated, and these results demonstrated that even the cessation of fipronil ingestion might not lead to complete recovery of individual bees. Even at low doses, fipronil was shown to cause changes in the activity of key enzymes in bees. The possible consequences of these changes are discussed. Environ Toxicol Chem 2017;36:1652-1660. © 2016 SETAC.© 2016 SETAC.  KEYWORDS:  MeSH Chemical: Insecticides| Protein Isoforms| Pyrazoles| Glutathione Transferase| Acetylcholinesterase| fipronil MeSH: | Acetylcholinesterase/metabolism| Animals| Bees/majr/drug effects| Gene Expression Regulation, Enzymologic/drug effects| Glutathione Transferase/metabolism| Insecticides/majr/pharmacology| Protein Isoforms| Pyrazoles/majr/pharmacology Other:Acetylcholinesterase|Apis mellifera|Carboxylesterase|Glutathione-S-transferase|Phenylpyrazole</t>
  </si>
  <si>
    <t>Roat TC, Carvalho SM, Palma MS, Malaspina O</t>
  </si>
  <si>
    <t>1652-1660</t>
  </si>
  <si>
    <t>Resistance monitoring and cross-resistance patterns of three rice planthoppers, Nilaparvata lugens, Sogatella furcifera and Laodelphax striatellus to dinotefuran in China.</t>
  </si>
  <si>
    <t>Mu XC, Zhang W, Wang LX, Zhang S, Zhang K, Gao CF, Wu SF</t>
  </si>
  <si>
    <t>8-13</t>
  </si>
  <si>
    <t>Biochemical effects of fipronil and its metabolites on lipid peroxidation and enzymatic antioxidant defense in tadpoles (Eupemphix nattereri: Leiuperidae).</t>
  </si>
  <si>
    <t>Gripp HS, Freitas JS, Almeida EA, Bisinoti MC, Moreira AB</t>
  </si>
  <si>
    <t>136</t>
  </si>
  <si>
    <t>173-179</t>
  </si>
  <si>
    <t>Efficacy and duration of action of oral fluralaner and spot-on moxidectin/imidacloprid in cats infested with Lynxacarus radovskyi.</t>
  </si>
  <si>
    <t>Han HS, Noli C, Cena T</t>
  </si>
  <si>
    <t>474-e127</t>
  </si>
  <si>
    <t>Diverse neurotoxicants target the differentiation of embryonic neural stem cells into neuronal and glial phenotypes.</t>
  </si>
  <si>
    <t>Slotkin TA, Skavicus S, Card J, Levin ED, Seidler FJ</t>
  </si>
  <si>
    <t>372</t>
  </si>
  <si>
    <t>42-51</t>
  </si>
  <si>
    <t>Passage of fiproles and imidacloprid from urban pest control uses through wastewater treatment plants in northern California, USA.</t>
  </si>
  <si>
    <t>Sadaria AM, Sutton R, Moran KD, Teerlink J, Brown JV, Halden RU</t>
  </si>
  <si>
    <t>1473-1482</t>
  </si>
  <si>
    <t>Discovery of the aryl heterocyclic amine insecticides: synthesis, insecticidal activity, field results, mode of action and bioavailability of a leading field candidate.</t>
  </si>
  <si>
    <t>Discovery of the aryl heterocyclic amine insecticides: synthesis, insecticidal activity, field results, mode of action and bioavailability of a leading field candidate.    ABSTRACT:  γ-Amino butyric acid (GABA) antagonists are proven targets for control of lepidopteran and other pests. New heterocyclic compounds with high insecticidal activity were discovered using a competitive-intelligence-inspired scaffold-hopping approach to generate analogs of fipronil, a known GABA antagonist. These novel aryl heterocyclic amines (AHAs) displayed broad-spectrum activity on a number of chewing insect pests.Through &gt;370 modifications of the core AHA structure, a 7-pyrazolopyridine lead molecule was found to exhibit much improved activity on a number of insect pests. In field trial studies, its performance was 2-4 times lower than commercial standards and also appeared to be species dependent, with good activity seen for larvae of Spodoptera exigua, but inactivity on larvae of Trichoplusia ni.An extensive investigational biology effort demonstrated that these AHA analogs appear to have multiple modes of action, including GABA receptor antagonism and mitopotential or uncoupler activity. The limited capability in larvae of T. ni to convert the lead molecule to its associated open form correlates with the low toxicity of the lead molecule in this species. This work has provided information that could aid investigations of novel GABA antagonists. © 2016 Society of Chemical Industry.© 2016 Society of Chemical Industry.  KEYWORDS:  MeSH Chemical: Amines| Insecticides MeSH: | Amines/majr/chemical synthesis/pharmacokinetics/pharmacology| Animals| Biological Availability| Drug Discovery| Insecticides/majr/chemical synthesis/pharmacokinetics/pharmacology| Larva/drug effects| Moths/majr/drug effects/growth &amp; development| Spodoptera/drug effects/growth &amp; development Other:GABA antagonism|insecticidal activity|investigational biology|pyrazolopyridine|pyrazolopyrimidine</t>
  </si>
  <si>
    <t>Dent WH, Pobanz MA, Geng C, Sparks TC, Watson GB, Letherer TJ, Beavers KW, Young CD, Adelfinskaya YA, Ross RR, Whiteker G, Renga J</t>
  </si>
  <si>
    <t>774-781</t>
  </si>
  <si>
    <t>Evaluation of Commercial Agrochemicals as New Tools for Malaria Vector Control.</t>
  </si>
  <si>
    <t>Hoppé M, Hueter OF, Bywater A, Wege P, Maienfisch P</t>
  </si>
  <si>
    <t>Chimia</t>
  </si>
  <si>
    <t>70</t>
  </si>
  <si>
    <t>721-729</t>
  </si>
  <si>
    <t>Soil organic matter content effects on dermal pesticide bioconcentration in American toads (Bufo americanus).</t>
  </si>
  <si>
    <t>Van Meter RJ, Glinski DA, Henderson WM, Purucker ST</t>
  </si>
  <si>
    <t>2734-2741</t>
  </si>
  <si>
    <t>Evaluating a filtering and recirculating system to reduce dust drift in simulated sowing of dressed seed and abraded dust particle characteristics.</t>
  </si>
  <si>
    <t>Evaluating a filtering and recirculating system to reduce dust drift in simulated sowing of dressed seed and abraded dust particle characteristics.    ABSTRACT:  The pneumatic precision drills used in maize sowing can release dust owing to abrasion of dressed seed; the drift of dust containing insecticide active ingredients is harmful to honey bees. Therefore, we developed a device for drills that uses partial recirculation and filtration of the air by means of an antipollen and an electrostatic filter.Tests were carried out by simulating the sowing of seed treated with imidacloprid, thiamethoxam, clothianidin and fipronil. Dust released by the drill in different configurations was analysed to assess its mass and active ingredient concentration, size distribution and particle number concentration. In general, particles with a diameter smaller than 2.5 and 10 µm represent about 40 and 75% of the total dust mass respectively. The finest size fraction (&lt;1 µm) contains a higher content of active ingredient. The prototype equipped with both antipollen and electrostatic filters always showed a reduction in dust emission greater than 90% in terms of both total mass and active ingredient amount, with a greater efficiency in the reduction in particles below 4 µm.This study presents an engineering solution addressing dust losses during sowing, contributes to the description of abrasion dust fractions and provides suggestions for further development of the prototype. © 2016 Society of Chemical Industry.© 2016 Society of Chemical Industry.  KEYWORDS:  MeSH Chemical: Dust| Insecticides| Neonicotinoids| Pyrazoles| fipronil MeSH: | Air Filters/majr| Crop Production/majr/instrumentation/methods| Dust/majr/analysis| Insecticides/analysis| Neonicotinoids/analysis| Particle Size| Pollen| Pyrazoles/analysis| Seeds| Zea mays Other:air-borne particles|dust drift|honey bee|neonicotinoids|pesticides|seed coating</t>
  </si>
  <si>
    <t>Biocca M, Pochi D, Fanigliulo R, Gallo P, Pulcini P, Marcovecchio F, Perrino C</t>
  </si>
  <si>
    <t>1134-1142</t>
  </si>
  <si>
    <t>Metal organic frameworks (MOFs) for magnetic solid-phase extraction of pyrazole/pyrrole pesticides in environmental water samples followed by HPLC-DAD determination.</t>
  </si>
  <si>
    <t>Ma J, Yao Z, Hou L, Lu W, Yang Q, Li J, Chen L</t>
  </si>
  <si>
    <t>686-692</t>
  </si>
  <si>
    <t>Comparison of ingestion and topical application of insecticides against the common bed bug, Cimex lectularius (Hemiptera: Cimicidae).</t>
  </si>
  <si>
    <t>Sierras A, Schal C</t>
  </si>
  <si>
    <t>521-527</t>
  </si>
  <si>
    <t>The Differential Effect of Low-Dose Mixtures of Four Pesticides on the Pea Aphid Acyrthosiphon pisum.</t>
  </si>
  <si>
    <t>The Differential Effect of Low-Dose Mixtures of Four Pesticides on the Pea Aphid Acyrthosiphon pisum.    ABSTRACT:  The modes of action of most insecticides are known, but little information exists regarding the toxicological interactions involving insecticide mixtures at low doses. The effects of mixtures of four insecticides were investigated using LC10 values (concentration leading to 10% mortality), acetamiprid (ACE, 0.235 µg/mL), chlorpyriphos (CHL, 107.0 µg/mL), deltamethrin (DEL, 5.831 µg/mL), and fipronil (FIP, 3.775 µg/mL) on the larvae of the pea aphid, Acyrthosiphon pisum. After 24 h exposure, 6 of the 11 tested combinations, DEL/FIP, ACE/DEL, CHL/FIP, ACE/DEL/FIP, ACE/CHL/FIP, and ACE/DEL/CHL/FIP, were toxic through an additive effect. Four combinations, ACE/FIP, DEL/CHL, ACE/CHL, and ACE/DEL/CHL had a synergistic effect, whereas only one DEL/CHL/FIP showed an antagonistic effect. The toxic effect of these mixtures was confirmed after 48 h of exposure, revealing an enhanced toxicity of CHL, DEL, and FIP in combination with ACE. We suggest that an insect pest management strategy should be evaluated in the future using different combinations of insecticides.  KEYWORDS:  Other:aphid|neonicotinoid|organophosphate|phenylpyrazol|pyrethroid</t>
  </si>
  <si>
    <t>Taillebois E, Thany SH</t>
  </si>
  <si>
    <t>Safety Evaluation of Parastar® Plus in Dogs and Assessment of Transferable Residue of Fipronil and Cyphenothrin from Dogs to Humans.</t>
  </si>
  <si>
    <t>Case KM, Vega NM, Gupta RC, Lasher MA, Canerdy TD</t>
  </si>
  <si>
    <t>Frontiers in veterinary science</t>
  </si>
  <si>
    <t>Identification of glutathione S-transferase genes in Leptinotarsa decemlineata and their expression patterns under stress of three insecticides.</t>
  </si>
  <si>
    <t>Han JB, Li GQ, Wan PJ, Zhu TT, Meng QW</t>
  </si>
  <si>
    <t>133</t>
  </si>
  <si>
    <t>26-34</t>
  </si>
  <si>
    <t>Perturbation of metabonome of embryo/larvae zebrafish after exposure to fipronil.</t>
  </si>
  <si>
    <t>Perturbation of metabonome of embryo/larvae zebrafish after exposure to fipronil.    ABSTRACT:  The escalating demand for fipronil by the increasing insects' resistance to synthetic pyrethroids placed a burden on aquatic vertebrates. Although awareness regarding the toxicity of fipronil to fish is arising, the integral alteration caused by fipronil remains unexplored. Here, we investigated on the development toxicity of fipronil and the metabolic physiology perturbation at 120h post fertilization through GC-MS metabolomics on zebrafish embryo. We observed that fipronil dose-dependently induced malformations including uninflated swim bladder and bent spine. Further, the "omic" technique hit 26 differential metabolites after exposure to fipronil and five significant signaling pathways. We speculated that changes in primary bile acid synthesis pathway and the content of saturated fatty acid in the chemical-related group indicated the liver toxicity. Pathway of Aminoacyl-tRNA biosynthesis changed by fipronil may relate to the macromolecular synthesis. Concurrently, methane metabolism pathway was also identified while the role in zebrafish needs further determination. Overall, this study revealed several new signaling pathways in fipronil-treated zebrafish embryo/larval.Copyright Â© 2016 Elsevier B.V. All rights reserved.  KEYWORDS:  MeSH Chemical: Pyrazoles| Water Pollutants, Chemical| fipronil MeSH: | Air Sacs/abnormalities/drug effects/embryology| Animals| Dose-Response Relationship, Drug| Embryo, Nonmammalian/majr/abnormalities/drug effects/metabolism| Gas Chromatography-Mass Spectrometry| Larva| Metabolome/majr/drug effects| Metabolomics| Muscular Atrophy, Spinal/chemically induced/embryology| Pyrazoles/majr/toxicity| Spinal Curvatures/chemically induced/embryology| Water Pollutants, Chemical/majr/toxicity| Zebrafish/majr/embryology/metabolism Other:Fipronil|Malformation|Metabolomics|Zebrafish embryo</t>
  </si>
  <si>
    <t>Yan L, Gong C, Zhang X, Zhang Q, Zhao M, Wang C</t>
  </si>
  <si>
    <t>39-45</t>
  </si>
  <si>
    <t>Metabolization and degradation kinetics of the urban-use pesticide fipronil by white rot fungus Trametes versicolor.</t>
  </si>
  <si>
    <t>Metabolization and degradation kinetics of the urban-use pesticide fipronil by white rot fungus Trametes versicolor.    ABSTRACT:  Fipronil is a recalcitrant phenylpyrazole-based pesticide used for flea/tick treatment and termite control that is distributed in urban aquatic environments via stormwater and contributes to stream toxicity. We discovered that fipronil is rapidly metabolized (t1/2 = 4.2 d) by the white rot fungus Trametes versicolor to fipronil sulfone and multiple previously unknown fipronil transformation products, lowering fipronil concentration by 96.5%. Using an LC-QTOF-MS untargeted metabolomics approach, we identified four novel fipronil fungal transformation products: hydroxylated fipronil sulfone, glycosylated fipronil sulfone, and two compounds with unresolved structures. These results are consistent with identified enzymatic detoxification pathways wherein conjugation with sugar moieties follows initial ring functionalization (hydroxylation). The proposed pathway is supported by kinetic evidence of transformation product formation. Fipronil loss by sorption, hydrolysis, and photolysis was negligible. When T. versicolor was exposed to the cytochrome P450 enzyme inhibitor 1-aminobenzotriazole, oxidation of fipronil and production of hydroxylated and glycosylated transformation products significantly decreased (p = 0.038, 0.0037, 0.0023, respectively), indicating that fipronil is metabolized intracellularly by cytochrome P450 enzymes. Elucidating fipronil transformation products is critical because pesticide target specificity can be lost via structural alteration, broadening classes of impacted organisms. Integration of fungi in engineered natural treatment systems could be a viable strategy for pesticide removal from stormwater runoff.  KEYWORDS:  MeSH Chemical: Insecticides| Pyrazoles| fipronil sulfone| fipronil MeSH: | Biotransformation| Hydroxylation| Insecticides/majr/metabolism| Kinetics| Pyrazoles/majr/metabolism| Trametes/majr/metabolism</t>
  </si>
  <si>
    <t>Wolfand JM, LeFevre GH, Luthy RG</t>
  </si>
  <si>
    <t>Environmental science. Processes &amp; impacts</t>
  </si>
  <si>
    <t>1256-1265</t>
  </si>
  <si>
    <t>Multiple resistance to acaricides in field populations of Rhipicephalus microplus from Rio Grande do Sul state, Southern Brazil.</t>
  </si>
  <si>
    <t>Klafke G, Webster A, Dall Agnol B, Pradel E, Silva J, de La Canal LH, Becker M, Osório MF, Mansson M, Barreto R, Scheffer R, Souza UA, Corassini VB, Dos Santos J, Reck J, Martins JR</t>
  </si>
  <si>
    <t>Developmental effects of fipronil on Japanese Medaka (Oryzias latipes) embryos.</t>
  </si>
  <si>
    <t>Wagner SD, Kurobe T, Hammock BG, Lam CH, Wu G, Vasylieva N, Gee SJ, Hammock BD, Teh SJ</t>
  </si>
  <si>
    <t>511-520</t>
  </si>
  <si>
    <t>Efficacy and Safety of a Permethrin-Fipronil Spot-On Solution (Effitix®) in Dogs Naturally Infested by Ticks in Europe.</t>
  </si>
  <si>
    <t>Efficacy and Safety of a Permethrin-Fipronil Spot-On Solution (Effitix®) in Dogs Naturally Infested by Ticks in Europe.    ABSTRACT:  Effitix is a new broad spectrum product based on the combination of fipronil 6.1% and permethrin 54.5% in a solution for spot-on application. It has been shown to be safe and efficacious in dogs in controlling tick, flea, sandfly, and mosquito infestations in laboratory conditions. The aim of this controlled, randomised study was to assess its safety and efficacy against natural tick infestations in field conditions. One hundred eighty-two privately owned dogs were included in France and Germany: 123 dogs were treated on day 0 with the permethrin-fipronil combination (Effitix) and 59 with a permethrin-imidacloprid combination (Advantix®). Tick counts were conducted on days 0 (before treatment), 7, 14, 21, and 28. The percentages of efficacy on days 7, 14, 21, and 28 were, respectively, 91.2%, 97%, 98.3%, and 96.7% with Effitix and were 94.8%, 96.9%, 95.7%, and 94.6% with Advantix. Very few adverse events were reported. Most were not serious and/or not related to the treatment with pruritus being the most common. One administration of Effitix was highly effective and safe to treat and control tick infestations for four weeks in field conditions and had a similar efficacy as the permethrin-imidacloprid combination for all visits.  KEYWORDS:  MeSH Chemical: Drug Combinations| Insecticides| Pyrazoles| Permethrin| fipronil MeSH: | Administration, Topical| Animals| Dog Diseases/majr/epidemiology/prevention &amp; control| Dogs| Dose-Response Relationship, Drug| Drug Combinations| Drug Eruptions/epidemiology| Europe| Female| France/epidemiology| Germany/epidemiology| Insecticides/majr/administration &amp; dosage/adverse effects| Male| Permethrin/majr/administration &amp; dosage/adverse effects| Prevalence| Pyrazoles/majr/administration &amp; dosage/adverse effects| Tick-Borne Diseases/majr/epidemiology/prevention &amp; control/veterinary| Treatment Outcome</t>
  </si>
  <si>
    <t>Navarro C, Reymond N, Crastes N, Bonneau S</t>
  </si>
  <si>
    <t>BioMed research international</t>
  </si>
  <si>
    <t>2016</t>
  </si>
  <si>
    <t>9498604</t>
  </si>
  <si>
    <t>Assessment of the mutagenic, recombinogenic and carcinogenic potential of fipronil insecticide in somatic cells of Drosophila melanogaster.</t>
  </si>
  <si>
    <t>Assessment of the mutagenic, recombinogenic and carcinogenic potential of fipronil insecticide in somatic cells of Drosophila melanogaster.    ABSTRACT:  Fipronil (FP) is an insecticide that belongs to the phenylpyrazole chemical family and is used to control pests by blocking GABA receptor at the entrance channel of the chlorine neurons. The aim of this study was to evaluate the mutagenic, recombinogenic and carcinogenic potential of FP. The mutagenic and recombinogenic effects were evaluated using the somatic mutation and recombination test (SMART) on wing cells of Drosophila melanogaster. Third instar larvae from standard (ST) and high bioactivation (HB) crosses were treated with different concentrations of FP (0.3, 0.7, 1.5 or 3.0 × 10-5 mM). The results showed mutagenic effects at all concentrations tested in the HB cross; and all concentrations tested in the ST cross, except at concentration of 0.7 × 10-5 mM. The carcinogenic effect of FP was assayed through the test for detection of epithelial tumor (warts) in D. melanogaster. Third instar larvae from wts/TM3 virgin females mated to mwh/mwh males were treated with different concentrations of FP (0.3, 0.7, 1.5 or 3.0 × 10-5 mM). All these concentrations induced a statistically significant increase in tumor frequency. In conclusion, FP proved to be mutagenic, recombinogenic and carcinogenic in somatic cells of D. melanogaster.Copyright © 2016 Elsevier Ltd. All rights reserved.  KEYWORDS:  MeSH Chemical: Carcinogens| Insecticides| Mutagens| Pyrazoles| fipronil MeSH: | Animals| Carcinogens/majr/toxicity| Drosophila melanogaster/majr/drug effects| Female| Insecticides/majr/toxicity| Larva/drug effects| Male| Mutagenesis| Mutagenicity Tests/majr/methods| Mutagens/toxicity| Neoplasms/majr/chemically induced| Pyrazoles/majr/toxicity| Recombination, Genetic/drug effects| Wings, Animal/majr/drug effects/pathology Other:Carcinogenicity|Epithelial tumor|Mutagenicity|SMART|Somatic mutation and recombination test|Warts|wts</t>
  </si>
  <si>
    <t>de Morais CR, Bonetti AM, Carvalho SM, de Rezende AAA, Araujo GR, Spanó MA</t>
  </si>
  <si>
    <t>165</t>
  </si>
  <si>
    <t>342-351</t>
  </si>
  <si>
    <t>Fipronil insecticide toxicology: oxidative stress and metabolism.</t>
  </si>
  <si>
    <t>Fipronil insecticide toxicology: oxidative stress and metabolism.    ABSTRACT:  Fipronil (FIP) is widely used across the world as a broad-spectrum phenylpyrazole insecticide and veterinary drug. FIP was the insecticide to act by targeting the γ-aminobutyric acid (GABA) receptor and has favorable selective toxicity towards insects rather than mammals. However, because of accidental exposure, incorrect use of FIP or widespread FIP use leading to the contamination of water and soil, there is increasing evidence that FIP could cause a variety of toxic effects on animals and humans, such as neurotoxic, hepatotoxic, nephrotoxic, reproductive, and cytotoxic effects on vertebrate and invertebrates. In the last decade, oxidative stress has been suggested to be involved in the various toxicities induced by FIP. To date, few reviews have addressed the toxicity of FIP in relation to oxidative stress. The focus of this article is primarily intended to summarize the progress in research associated with oxidative stress as a possible mechanism for FIP-induced toxicity as well as metabolism. The present review reports that studies have been conducted to reveal the generation of reactive oxygen species (ROS) and oxidative stress as a result of FIP treatment and have correlated them with various types of toxicity. Furthermore, the metabolism of FIP was also reviewed, and during this process, various CYP450 enzymes were involved and oxidative stress might occur. The roles of various compounds in protecting against FIP-induced toxicity based on their anti-oxidative effects were also summarized to further understand the role of oxidative stress in FIP-induced toxicity.  KEYWORDS:  MeSH Chemical: Environmental Pollutants| Insecticides| Pyrazoles| fipronil MeSH: | Animals| Environmental Pollutants/majr/toxicity| Humans| Insecticides/majr/toxicity| Oxidation-Reduction| Oxidative Stress/majr| Pyrazoles/majr/toxicity Other:Fipronil|ROS|antioxidants|insecticide|metabolism|oxidative stress|toxicology</t>
  </si>
  <si>
    <t>Wang X, Martínez MA, Wu Q, Ares I, Martínez-Larrañaga MR, Anadón A, Yuan Z</t>
  </si>
  <si>
    <t>Critical reviews in toxicology</t>
  </si>
  <si>
    <t>876-899</t>
  </si>
  <si>
    <t>The persistence of pesticides in atmospheric particulate phase: An emerging air quality issue.</t>
  </si>
  <si>
    <t xml:space="preserve">The persistence of pesticides in atmospheric particulate phase: An emerging air quality issue.    ABSTRACT:  The persistent organic pollutants (POPs) due to their physicochemical properties can be widely spread all over the globe; as such they represent a serious threat to both humans and wildlife. According to Stockholm convention out of 24 officially recognized POPs, 16 are pesticides. The atmospheric life times of pesticides, up to now were estimated based on their gas-phase reactivity. It has been only speculated that sorption to aerosol particles may increase significantly the half-lives of pesticides in the atmosphere. The results presented here challenge the current view of the half-lives of pesticides in the lower boundary layer of the atmosphere and their impact on air quality and human health. We demonstrate that semivolatile pesticides which are mostly adsorbed on atmospheric aerosol particles are very persistent with respect to the highly reactive hydroxyl radicals (OH) that is the self-cleaning agent of the atmosphere. The half-lives in particulate phase of difenoconazole, tetraconazole, fipronil, oxadiazon, deltamethrin, cyprodinil, permethrin, and pendimethalin are in order of several days and even higher than one month, implying that these pesticides can be transported over long distances, reaching the remote regions all over the world; hence these pesticides shall be further evaluated prior to be confirmed as POPs.  KEYWORDS: </t>
  </si>
  <si>
    <t>Socorro J, Durand A, Temime-Roussel B, Gligorovski S, Wortham H, Quivet E</t>
  </si>
  <si>
    <t>33456</t>
  </si>
  <si>
    <t>Environmental behavior of the chiral insecticide fipronil: Enantioselective toxicity, distribution and transformation in aquatic ecosystem.</t>
  </si>
  <si>
    <t>Qu H, Ma RX, Liu DH, Gao J, Wang F, Zhou ZQ, Wang P</t>
  </si>
  <si>
    <t>105</t>
  </si>
  <si>
    <t>138-146</t>
  </si>
  <si>
    <t>Exposure to sub-acute doses of fipronil and buprofezin in combination or alone induces biochemical, hematological, histopathological and genotoxic damage in common carp (Cyprinus carpio L.).</t>
  </si>
  <si>
    <t>Qureshi IZ, Bibi A, Shahid S, Ghazanfar M</t>
  </si>
  <si>
    <t>179</t>
  </si>
  <si>
    <t>103-14</t>
  </si>
  <si>
    <t>Impact of Ground-Applied Termiticides on the Above-Ground Foraging Behavior of the Formosan Subterranean Termite.</t>
  </si>
  <si>
    <t>Impact of Ground-Applied Termiticides on the Above-Ground Foraging Behavior of the Formosan Subterranean Termite.    ABSTRACT:  We conducted a laboratory study to determine the impact of ground-applied termiticides on the above-ground foraging behavior of Coptotermes formosanus. Two concentrations (1 and 10 ppm) each of three termiticides, viz. fipronil, imidacloprid and chlorantraniliprole, were tested. After one month post-treatment (fipronil 10 ppm was run for 12 days only and all other treatments were run for one month), fipronil had the lowest percentage of survival (3%-4%) at both concentrations. Termite survival ranged from 31% to 40% in the case of imidacloprid treatments and 10 ppm chlorantraniliprole. However, 1 ppm chlorantraniliprole did not cause significant mortality compared to the controls. Foraging on the bottom substrate was evident in all replicates for all chemicals initially. However, a portion of the foraging population avoided the ground treatment toxicants after several days of bottom foraging. Only the slower-acting non-repellents created this repellent barrier, causing avoidance behavior that was most likely due to dead termites and fungus buildup on the treated bottom substrate. Fipronil appeared more toxic and faster acting at the concentrations tested, thus limiting this repellent effect. Suggestions by the pest control industry in Louisiana that some non-repellents can create a repellent barrier stranding live termites above ground are supported by this laboratory study.  KEYWORDS:  Other:Coptotermes formosanus|aerial nest|bottom foraging site|termiticide|top foraging site</t>
  </si>
  <si>
    <t>Henderson G, Gautam BK, Wang C</t>
  </si>
  <si>
    <t>Synergistic and compensatory effects of two point mutations conferring target-site resistance to fipronil in the insect GABA receptor RDL.</t>
  </si>
  <si>
    <t>Synergistic and compensatory effects of two point mutations conferring target-site resistance to fipronil in the insect GABA receptor RDL.    ABSTRACT:  Insecticide resistance can arise from a variety of mechanisms, including changes to the target site, but is often associated with substantial fitness costs to insects. Here we describe two resistance-associated target-site mutations that have synergistic and compensatory effects that combine to produce high and persistent levels of resistance to fipronil, an insecticide targeting on γ-aminobytyric acid (GABA) receptors. In Nilaparvata lugens, a major pest of rice crops in many parts of Asia, we have identified a single point mutation (A302S) in the GABA receptor RDL that has been identified previously in other species and which confers low levels of resistance to fipronil (23-fold) in N. lugans. In addition, we have identified a second resistance-associated RDL mutation (R300Q) that, in combination with A302S, is associated with much higher levels of resistance (237-fold). The R300Q mutation has not been detected in the absence of A302S in either laboratory-selected or field populations, presumably due to the high fitness cost associated with this mutation. Significantly, it appears that the A302S mutation is able to compensate for deleterious effects of R300Q mutation on fitness cost. These findings identify a novel resistance mechanism and may have important implications for the spread of insecticide resistance.  KEYWORDS:  MeSH Chemical: Insect Proteins| Insecticides| Pyrazoles| Receptors, GABA| fipronil MeSH: | Amino Acid Sequence| Animals| Electrophysiological Phenomena/genetics| Hemiptera/majr/genetics| Insect Proteins/majr/genetics| Insecticide Resistance/majr/genetics| Insecticides/pharmacology| Oocytes/metabolism/physiology| Point Mutation/majr| Pyrazoles/majr/pharmacology| Receptors, GABA/majr/genetics| Sequence Homology, Amino Acid| Suppression, Genetic| Xenopus</t>
  </si>
  <si>
    <t>Zhang Y, Meng X, Yang Y, Li H, Wang X, Yang B, Zhang J, Li C, Millar NS, Liu Z</t>
  </si>
  <si>
    <t>32335</t>
  </si>
  <si>
    <t>Drone exposure to the systemic insecticide Fipronil indirectly impairs queen reproductive potential.</t>
  </si>
  <si>
    <t>Drone exposure to the systemic insecticide Fipronil indirectly impairs queen reproductive potential.    ABSTRACT:  A species that requires sexual reproduction but cannot reproduce is doomed to extinction. The important increasing loss of species emphasizes the ecological significance of elucidating the effects of environmental stressors, such as pesticides, on reproduction. Despite its special reproductive behavior, the honey bee was selected as a relevant and integrative environmental model because of its constant and diverse exposure to many stressors due to foraging activity. The widely used insecticide Fipronil, the use of which is controversial because of its adverse effects on honey bees, was chosen to expose captive drones in hives via syrup contaminated at 0.1 μg/L and gathered by foragers. Such environmental exposure led to decreased spermatozoa concentration and sperm viability coupled with an increased sperm metabolic rate, resulting in drone fertility impairment. Subsequently, unexposed queens inseminated with such sperm exhibited fewer spermatozoa with lower viability in their spermatheca, leaving no doubt about the detrimental consequences for the reproductive potential of queens, which are key for colony sustainability. These findings suggest that pesticides could contribute to declining honey bee populations through fertility impairment, as exemplified by Fipronil. More broadly, reproductive disorders should be taken into consideration when investigating the decline of other species.  KEYWORDS:  MeSH Chemical: Environmental Pollutants| Insecticides| Pyrazoles| fipronil MeSH: | Animals| Bees/majr/drug effects/physiology| Environmental Pollutants/majr/toxicity| Female| Fertility/drug effects| Insecticides/toxicity| Male| Pyrazoles/majr/toxicity| Reproduction/drug effects| Sexual Behavior, Animal/majr/drug effects/physiology| Spermatozoa/drug effects/physiology</t>
  </si>
  <si>
    <t>Kairo G, Provost B, Tchamitchian S, Ben Abdelkader F, Bonnet M, Cousin M, Sénéchal J, Benet P, Kretzschmar A, Belzunces LP, Brunet JL</t>
  </si>
  <si>
    <t>31904</t>
  </si>
  <si>
    <t>Visceral Leishmaniasis on the Indian Subcontinent: Modelling the Dynamic Relationship between Vector Control Schemes and Vector Life Cycles.</t>
  </si>
  <si>
    <t>Poché DM, Grant WE, Wang HH</t>
  </si>
  <si>
    <t>e0004868</t>
  </si>
  <si>
    <t>Toxicity of 25 synthetic insecticides to the field population of Culex quinquefasciatus Say.</t>
  </si>
  <si>
    <t>Shah RM, Alam M, Ahmad D, Waqas M, Ali Q, Binyamin M, Shad SA</t>
  </si>
  <si>
    <t>4345-4351</t>
  </si>
  <si>
    <t>Unintentional insecticide poisoning by age: an analysis of Queensland Poisons Information Centre calls.</t>
  </si>
  <si>
    <t>Unintentional insecticide poisoning by age: an analysis of Queensland Poisons Information Centre calls.    ABSTRACT:  Data from the Queensland Poisons Information Centre (QPIC) was assessed to determine mechanisms of acute insecticide poisoning in young children (&lt;5 years) and whether age affects insecticide-poisoning patterns.Records of all insecticide-related calls placed to QPIC in 2014 were obtained. A stratified analysis of call patterns by age was conducted.Of 743 insecticide-related calls received by QPIC 364 (49.0%) were for young children. The number of calls peaked in children aged one. Ant and cockroach baits accounted for 39.0% of calls. Sprays, which were found to contain not only pyrethroids, pyrethrins and/or piperonly butoxide but also the organophosphate diazinon, accounted for 25.8% of calls. Mouthing or ingesting a pest-control product and consuming an item/insect after treatment were common mechanisms for children under the age of two. Topical exposure to sprays, via direct application, typically by the child or an older sibling, peaked in children aged two. In 12.3% of calls medical attention for the child was already sought or advised by QPIC.Normal behaviours associated with child development, particularly mouthing behaviours, explained the peak of exposure in one-year-olds. This finding should guide strategies to minimise poisonings in this vulnerable population.© 2016 Public Health Association of Australia.  KEYWORDS:  MeSH Chemical: Cholinesterase Inhibitors| Insecticides MeSH: | Age Distribution| Child, Preschool| Cholinesterase Inhibitors/poisoning| Humans| Infant| Information Centers/majr| Insecticides/majr/poisoning| Queensland Other:borates|children|fipronil|indoxacarb|organophosphate|pyrethroid</t>
  </si>
  <si>
    <t>English K, Jagals P, Ware RS, Wylie C, Sly PD</t>
  </si>
  <si>
    <t>Australian and New Zealand journal of public health</t>
  </si>
  <si>
    <t>457-461</t>
  </si>
  <si>
    <t>Dominant fitness costs of resistance to fipronil in Musca domestica Linnaeus (Diptera: Muscidae).</t>
  </si>
  <si>
    <t>Dominant fitness costs of resistance to fipronil in Musca domestica Linnaeus (Diptera: Muscidae).    ABSTRACT:  House fly, Musca domestica L., (Diptera: Muscidae) a common pest of poultry, has developed resistance to the commonly used insecticide fipronil. The life history traits were examined in the fipronil-selected (Fipro-SEL), susceptible counterpart (UNSEL), and their hybrid progeny strains in order to design an effective resistant management strategy. Compared to the UNSEL strain, the Fipro-SEL was 181.94-fold resistant to fipronil. This resistance was unstable after five generations without selection. The Fipro-SEL had a significantly longer larval duration, lower pupal weight, lower fecundity, lower hatchability, lower number of next generation larvae, lower intrinsic rate of population increase and lower biotic potential than the UNSEL strain. Most fitness parameters of the hybrid progeny were similar and significantly lower than that in the UNSEL strain, suggesting autosomal and dominant fitness costs. Compared to the UNSEL strain, relative the fitness of the Fipro-SEL, Hybrid1 and Hybrid2 was 0.13, 0.33 and 0.30, respectively. Fipronil resistance resulted in high fitness costs and these fitness costs were dominant and autosomal in the Fipro-SEL strain of M. domestica. Rotation of fipronil with other insecticides having no cross resistance should be useful for delaying the development of resistance in M. domestica. Copyright © 2016 Elsevier B.V. All rights reserved.  KEYWORDS:  MeSH Chemical: Insecticides| Pyrazoles| fipronil MeSH: | Analysis of Variance| Animals| Biological Assay| Drug Resistance| Female| Fertility/drug effects| Houseflies/majr/classification/drug effects/physiology| Insecticides/majr/pharmacology| Lethal Dose 50| Male| Pakistan| Pyrazoles/majr/pharmacology Other:Growth potential|House fly|Relative fitness|Resistance management</t>
  </si>
  <si>
    <t>Abbas N, Shah RM, Shad SA, Azher F</t>
  </si>
  <si>
    <t>226</t>
  </si>
  <si>
    <t>78-82</t>
  </si>
  <si>
    <t>Development and Validation of an HPLC Method for the Simultaneous Determination of Fipronil, Chlorfenapyr, and Pyriproxyfen in Insecticide Formulations.</t>
  </si>
  <si>
    <t>Development and Validation of an HPLC Method for the Simultaneous Determination of Fipronil, Chlorfenapyr, and Pyriproxyfen in Insecticide Formulations.    ABSTRACT:  In this study, the analytical method development and validation of an HPLC assay for simultaneous determination of fipronil, chlorfenapyr, and pyriproxyfen in formulation products is described. On the basis of solubility and chromatographic separation with good resolution, acetonitrile-water (80 + 20) was selected as the mobile phase in isocratic mode with a flow rate of 1 mL/min. Chromatographic separations were performed on a Beckman C18 analytical column (4.6 mm × 15 cm, 5 μm particle size; Musa Jee &amp; Sons, Karachi, Pakistan). The retention times for fipronil, chlorfenapyr, and pyriproxyfen were 3.70, 8.61 and 10.09 min, respectively. Calibration curves of all studied insecticides were linear in the concentration range of 20 to 800 μg/mL, with R(2) &gt; 0.997. The LODs of fipronil, chlorfenapyr, and pyriproxyfen were 15.1, 13.3, and 20.0 μg/mL, respectively, whereas the LOQs were 45.9, 40.3, and 60.6 μg/mL. Interday precision was RSD, % &lt;2 for all formulation types, whereas intraday precision was &lt;3. The accuracy of the proposed method was determined by interlaboratory comparison. The z-score for all formulation results were &lt;2.The proposed method is low-cost, green, accurate, and precise and can suitably be used for the simultaneous quantitative determination of fipronil, chlorfenapyr, and pyriproxyfen in their formulations.  KEYWORDS:  MeSH Chemical: Insecticides| Pyrazoles| Pyrethrins| Pyridines| pyriproxyfen| chlorfenapyr| fipronil MeSH: | Chromatography, High Pressure Liquid| Drug Compounding| Insecticides/majr/chemistry| Pyrazoles/majr/analysis| Pyrethrins/majr/analysis| Pyridines/majr/analysis</t>
  </si>
  <si>
    <t>Hafeez A, Tawab IA, Iqbal S</t>
  </si>
  <si>
    <t>Journal of AOAC International</t>
  </si>
  <si>
    <t>99</t>
  </si>
  <si>
    <t>1185-90</t>
  </si>
  <si>
    <t>A Recombinant Human Pluripotent Stem Cell Line Stably Expressing Halide-Sensitive YFP-I152L for GABAAR and GlyR-Targeted High-Throughput Drug Screening and Toxicity Testing.</t>
  </si>
  <si>
    <t>A Recombinant Human Pluripotent Stem Cell Line Stably Expressing Halide-Sensitive YFP-I152L for GABAAR and GlyR-Targeted High-Throughput Drug Screening and Toxicity Testing.    ABSTRACT:  GABAARs and GlyRs are considered attractive drug targets for therapeutic intervention and are also increasingly recognized in the context of in vitro neurotoxicity (NT) and developmental neurotoxicity (DNT) testing. However, systematic human-specific GABAAR and GlyR-targeted drug screening and toxicity testing is hampered due to lack of appropriate in vitro models that express native GABAARs and GlyRs. We have established a human pluripotent stem cell line (NT2) stably expressing YFP-I152L, a halide-sensitive variant of yellow fluorescent protein (YFP), allowing for fluorescence-based functional analysis of chloride channels. Upon stimulation with retinoic acid, NT2 cells undergo neuronal differentiation and allow pharmacological and toxicological evaluation of native GABAARs and GlyRs at different stages of brain maturation. We applied the cell line in concentration-response experiments with the neurotransmitters GABA and glycine as well as with the drugs strychnine, picrotoxin, fipronil, lindane, bicuculline, and zinc and demonstrate that the established in vitro model is applicable to GABAAR and GlyR-targeted pharmacological and toxicological profiling. We quantified the proportion of GABAAR and GlyR-sensitive cells, respectively, and identified percentages of approximately 20% each within the overall populations, rendering the cells a suitable model for systematic in vitro GABAAR and GlyR-targeted screening in the context of drug development and NT/DNT testing.  KEYWORDS:  Other:NT2 cells|NT2-N cells|YFP-I152L|gamma-aminobutyric acid receptor type-A chloride channel (GABAAR)|glycine receptor chloride channel (GlyR)|human pluripotent embryonal teratocarcinoma stem cells</t>
  </si>
  <si>
    <t>Kuenzel K, Friedrich O, Gilbert DF</t>
  </si>
  <si>
    <t>Frontiers in molecular neuroscience</t>
  </si>
  <si>
    <t>Electrospun and functionalized PVDF/PAN nanocatalyst-loaded composite for dechlorination and photodegradation of pesticides in contaminated water.</t>
  </si>
  <si>
    <t>Nthumbi RM, Ngila JC</t>
  </si>
  <si>
    <t>20214-20231</t>
  </si>
  <si>
    <t>Comparison of fipronil sources in North Carolina surface water and identification of a novel fipronil transformation product in recycled wastewater.</t>
  </si>
  <si>
    <t>McMahen RL, Strynar MJ, McMillan L, DeRose E, Lindstrom AB</t>
  </si>
  <si>
    <t>569-570</t>
  </si>
  <si>
    <t>880-887</t>
  </si>
  <si>
    <t>Memory impairment due to fipronil pesticide exposure occurs at the GABAA receptor level, in rats.</t>
  </si>
  <si>
    <t>Godinho AF, de Oliveira Souza AC, Carvalho CC, Horta DF, De Fraia D, Anselmo F, Chaguri JL, Faria CA</t>
  </si>
  <si>
    <t>Physiology &amp; behavior</t>
  </si>
  <si>
    <t>28-34</t>
  </si>
  <si>
    <t>Fipronil-induced genotoxicity and DNA damage in vivo: Protective effect of vitamin E.</t>
  </si>
  <si>
    <t>Badgujar PC, Selkar NA, Chandratre GA, Pawar NN, Dighe VD, Bhagat ST, Telang AG, Vanage GR</t>
  </si>
  <si>
    <t>Human &amp; experimental toxicology</t>
  </si>
  <si>
    <t>508-519</t>
  </si>
  <si>
    <t>Progressive loss of nigrostriatal dopaminergic neurons induced by inflammatory responses to fipronil.</t>
  </si>
  <si>
    <t>Park JH, Park YS, Koh HC</t>
  </si>
  <si>
    <t>36-45</t>
  </si>
  <si>
    <t>Expression pattern and pharmacological characterisation of two novel alternative splice variants of the glutamate-gated chloride channel in the small brown planthopper Laodelphax striatellus.</t>
  </si>
  <si>
    <t>Wu SF, Mu XC, Dong YX, Wang LX, Wei Q, Gao CF</t>
  </si>
  <si>
    <t>590-597</t>
  </si>
  <si>
    <t>Fipronil and two of its transformation products in water and European eel from the river Elbe.</t>
  </si>
  <si>
    <t>Fipronil and two of its transformation products in water and European eel from the river Elbe.    ABSTRACT:  Fipronil is an insecticide which, based on its mode of action, is intended to be predominantly toxic towards insects. Fipronil bioaccumulates and some of its transformation products were reported to be similar or even more stable in the environment and to show an enhanced toxicity against non-target organisms compared to the parent compound. The current study investigated the occurrence of Fipronil and two of its transformation products, Fipronil-desulfinyl and Fipronil-sulfone, in water as well as muscle and liver samples of eels from the river Elbe (Germany). In water samples total concentrations of FIP, FIP-d and FIP-s ranged between 0.5-1.6ngL(-1) with FIP being the main component in all water samples followed by FIP-s and FIP-d. In contrast, FIP-s was the main component in muscle and liver tissues of eels with concentrations of 4.05±3.73ngg(-1) ww and 19.91±9.96ngg(-1) ww, respectively. Using a physiologically based toxicokinetic (PBTK) model for moderately hydrophobic organic chemicals, the different distributions of FIP, FIP-d and FIP-s in water and related tissue samples could be attributed to metabolic processes of eels. The measured concentrations in water of all analytes and their fractional distribution did not reflect the assumed seasonal application of FIP and it seems that the water was constantly contaminated with FIP, FIP-d and FIP-s. Copyright © 2016 Elsevier B.V. All rights reserved.  KEYWORDS:  MeSH Chemical: Insecticides| Pyrazoles| Water Pollutants, Chemical| fipronil sulfone| fipronil MeSH: | Anguilla/majr/metabolism| Animals| Environmental Exposure/majr| Environmental Monitoring| Germany| Insecticides/majr/analysis/metabolism| Pyrazoles/majr/analysis/metabolism| Rivers| Water Pollutants, Chemical/majr/analysis/metabolism Other:Bioaccumulation|Fipronil-desulfinyl|Fipronil-sulfone|Metabolism|PBTK model|Pesticide</t>
  </si>
  <si>
    <t>Michel N, Freese M, Brinkmann M, Pohlmann JD, Hollert H, Kammann U, Haarich M, Theobald N, Gerwinski W, Rotard W, Hanel R</t>
  </si>
  <si>
    <t>568</t>
  </si>
  <si>
    <t>171-179</t>
  </si>
  <si>
    <t>Cloning and functional expression of intracellular loop variants of the honey bee (Apis mellifera) RDL GABA receptor.</t>
  </si>
  <si>
    <t>Cloning and functional expression of intracellular loop variants of the honey bee (Apis mellifera) RDL GABA receptor.    ABSTRACT:  The insect GABA receptor, RDL (resistance to dieldrin), plays central roles in neuronal signalling and is the target of several classes of insecticides. To study the GABA receptor from an important pollinator species, we cloned Rdl cDNA from the honey bee, Apis mellifera. Three Rdl variants were identified, arising from differential use of splice acceptor sites in the large intracellular loop between transmembrane regions 3 and 4. These variants were renamed from previously, as Amel_RDLvar1, Amel_RDLvar2 and Amel_RDLvar3. When expressed in Xenopus laevis oocytes, the three variants showed no difference in sensitivity to the agonist, GABA, with EC50s of 29μM, 20μM and 29μM respectively. Also, the potencies of the antagonists, fipronil and imidacloprid, were similar on all three variants. Fipronil IC50 values were 0.18μM, 0.31μM and 0.20μM whereas 100μM imidacloprid reduced the GABA response by 17%, 24% and 31%. The possibility that differential splicing of the RDL intracellular loop may represent a species-specific mechanism leading to insensitivity to insecticides is discussed.Copyright © 2016 Elsevier B.V. All rights reserved.  KEYWORDS:  MeSH Chemical: GABA Agonists| Insect Proteins| Insecticides| Neonicotinoids| Nitro Compounds| Protein Isoforms| Pyrazoles| Receptors, GABA| imidacloprid| gamma-Aminobutyric Acid| Dieldrin| fipronil MeSH: | Animals| Bees/majr/genetics| Dieldrin| GABA Agonists/pharmacology| Insect Proteins/genetics| Insecticide Resistance/majr/genetics| Insecticides/majr/pharmacology| Neonicotinoids/pharmacology| Nitro Compounds/pharmacology| Oocytes| Protein Isoforms/genetics| Pyrazoles/pharmacology| Receptors, GABA/majr/genetics| Xenopus laevis| gamma-Aminobutyric Acid/pharmacology Other:Apis mellifera|Fipronil|GABA receptor|Imidacloprid|Splice variant|Xenopus oocytes</t>
  </si>
  <si>
    <t>Taylor-Wells J, Hawkins J, Colombo C, Bermudez I, Jones AK</t>
  </si>
  <si>
    <t>207-213</t>
  </si>
  <si>
    <t>Rapid and sensitive detection of fipronil and its metabolites in edible oils by solid-phase extraction based on humic acid bonded silica combined with gas chromatography with electron capture detection.</t>
  </si>
  <si>
    <t>Rapid and sensitive detection of fipronil and its metabolites in edible oils by solid-phase extraction based on humic acid bonded silica combined with gas chromatography with electron capture detection.    ABSTRACT:  Solid-phase extraction based on humic acid bonded silica followed by gas chromatography with electron capture detection was developed to determine fipronil and its metabolites in edible oil. To achieve the best extraction performance, we systematically investigated a series of solid-phase extraction parameters. Under the optimized conditions, the method was validated according to linearity, recovery, and precision. Good linearities were obtained with R(2) more than 0.9996 for all analytes. The limits of detection were between 0.3 and 0.5 ng/g, and the recoveries ranged from 83.1 to 104.0% at three spiked concentrations with intra- and interday relative standard deviation values less than 8.7%. Finally, the proposed method was applied to determine fipronil and its metabolites in 11 edible oil samples taken from Wuhan markets. Fipronil was detectable in four samples with concentrations ranging from 3.0 to 5.2 ng/g. In China, the maximum residue limits of fipronil in some vegetables and maize are 20 and 100 ng/g (GB/T 2763-2014), respectively. The residues of fipronil and its metabolites in commercial edible oils might exhibit some potential threat to human health as a result of high consumption of edible oil as part of daily intake. © 2016 WILEY-VCH Verlag GmbH &amp; Co. KGaA, Weinheim.  KEYWORDS:  MeSH Chemical: Humic Substances| Plant Oils| Pyrazoles| Silicon Dioxide| fipronil MeSH: | Chromatography, Gas| Electrons/majr| Humic Substances/majr| Plant Oils/majr/chemistry| Pyrazoles/majr/analysis/metabolism| Silicon Dioxide/majr/chemistry| Solid Phase Extraction/majr Other:Bonded silica|Edible oils|Fipronil|Humic acid|Solid-phase extraction</t>
  </si>
  <si>
    <t>Peng XT, Li YN, Xia H, Peng LJ, Feng YQ</t>
  </si>
  <si>
    <t>2196-203</t>
  </si>
  <si>
    <t>miRNA-216 and miRNA-499 target cyb561d2 in zebrafish in response to fipronil exposure.</t>
  </si>
  <si>
    <t>Zhou Y, Huang H, Zhang K, Ding X, Jia L, Yu L, Zhu G, Guo J</t>
  </si>
  <si>
    <t>98-107</t>
  </si>
  <si>
    <t>Assessment of resistance risk to fipronil and cross resistance to other insecticides in the Musca domestica L. (Diptera: Muscidae).</t>
  </si>
  <si>
    <t>Assessment of resistance risk to fipronil and cross resistance to other insecticides in the Musca domestica L. (Diptera: Muscidae).    ABSTRACT:  Fipronil, a phenyl-pyrazole insecticide has been used frequently for the control of disease vector house flies, Musca domestica L., (Diptera: Muscidae) worldwide including Pakistan. This experiment was performed to determine the selection and assessment of fipronil resistance evolution along with cross resistance to other three insecticides. After 26 generations of selection, the house fly strain developed 430-fold resistance to fipronil compared to a susceptible strain. Realized heritability (h(2)) of resistance to fipronil was 0.05. The projected rate of resistance development revealed that if 30-90% house flies were selected then a tenfold increase in lethal concentration 50 happened after 95.51-26.59 generations for fipronil (h(2)=0.05, Slope=2.34). At similar slope, if h(2)=0.15, then 31.84-8.86 generations are required for tenfold increase in LC50 at 30-90% selection intensity, respectively. Likewise, if h(2)=0.25, then similar would occur in 19.10-5.32 generations. Differences in any of the variable would affect the rate of resistance development. Selection with fipronil did not increase the level of resistance to lambda-cyhalothrin, profenofos and indoxacarb, suggesting no cross resistance to these insecticides. The results of our study concluded that house flies have the potential to develop resistances following continued selection pressure with fipronil. Copyright © 2016 Elsevier B.V. All rights reserved.  KEYWORDS:  MeSH Chemical: Insecticides| Pyrazoles| fipronil MeSH: | Animals| Houseflies/majr/drug effects/genetics| Insecticide Resistance/majr/genetics| Insecticides/majr/pharmacology| Pyrazoles/majr/pharmacology Other:House fly|Insecticide selection|Realized heritability|Resistance evolution|Vector control</t>
  </si>
  <si>
    <t>Abbas N, Ijaz M, Shad SA, Binyameen M</t>
  </si>
  <si>
    <t>71-6</t>
  </si>
  <si>
    <t>Comparison of pollutant concentrations from weekly discrete versus composite samples for residential dry-weather runoff.</t>
  </si>
  <si>
    <t>Pitton BJ, Dodge LL, Gan J, Greco SE, Haver DL, Lee E, Majcherek TJ, Oki LR</t>
  </si>
  <si>
    <t>180</t>
  </si>
  <si>
    <t>10-6</t>
  </si>
  <si>
    <t>Efficacy of a Novel Topical Combination of Fipronil 9.8% and (S)-Methoprene 8.8% against Ticks and Fleas in Naturally Infested Dogs.</t>
  </si>
  <si>
    <t xml:space="preserve">Efficacy of a Novel Topical Combination of Fipronil 9.8% and (S)-Methoprene 8.8% against Ticks and Fleas in Naturally Infested Dogs.    ABSTRACT:  The efficacy of a novel topical combination of fipronil 9.8% (w/v) and (S)-methoprene 8.8% (w/v) (Fiprofort® Plus) was tested against ticks and fleas in naturally infested dogs. A total of fifty dogs were allocated in the study with ticks infestation (n = 35) and fleas infestation (n = 15). On day 0, thirty-five tick and fifteen flea infested dogs received the test formulation, a combination of fipronil 9.8% (w/v) and (S)-methoprene 8.8% (w/v) spot-on solution. Ticks and flea counts were taken on days 0 (pretreatment) and 3, 7, 14, 21, 28, and 35 after treatment. Blood samples were collected for evaluation of haematological parameters on days 0 (pretreatment) and 7, 21, and 35 after treatment. All the adult ticks and fleas collected were identified as Rhipicephalus sanguineus and Ctenocephalides felis, respectively. The efficacy of spot-on formulation against ticks was 34.00% (day 3), 53.14% (day 7), 62.71% (day 14), 65.48% (day 21), 59.80% (day 28), and 58.82% (day 35), whereas against fleas it was 38.00% (day 3), 64.34% (day 7), 89.67% (day 14), 95.40% (day 21), 100.00% (day 28), and 100.00% (day 35). Haematological parameters for ticks and fleas infested dogs were statistically nonsignificant as compared to control. The combination of fipronil and (S)-methoprene eliminated the existing ticks and fleas infestation and prevented the dogs from flea and tick infestation for four weeks.  KEYWORDS: </t>
  </si>
  <si>
    <t>Nambi AP, Rathi B, S K, Dudhatra G, Yamini HS, Ali Bhat A</t>
  </si>
  <si>
    <t>Scientifica</t>
  </si>
  <si>
    <t>7174685</t>
  </si>
  <si>
    <t>Evaluation and comparison of a flumethrin-imidacloprid collar and repeated monthly treatments of fipronil/(s)-methoprene to control flea, Ctenocephalides f. felis, infestations on cats for eight months.</t>
  </si>
  <si>
    <t>Dryden MW, Smith V, Davis WL, Settje T, Hostetler J</t>
  </si>
  <si>
    <t>Storm-event-transport of urban-use pesticides to streams likely impairs invertebrate assemblages.</t>
  </si>
  <si>
    <t>Carpenter KD, Kuivila KM, Hladik ML, Haluska T, Cole MB</t>
  </si>
  <si>
    <t>345</t>
  </si>
  <si>
    <t>Perinatal exposure to insecticide fipronil: effects on the reproductive system in male rats.</t>
  </si>
  <si>
    <t>de Barros AL, Bae JH, Borges CS, Rosa JL, Cavariani MM, Silva PV, Pinheiro PFF, Anselmo-Franci JA, Arena AC</t>
  </si>
  <si>
    <t>Reproduction, fertility, and development</t>
  </si>
  <si>
    <t>1130-1143</t>
  </si>
  <si>
    <t>Parasitic zoonoses associated with dogs and cats: a survey of Portuguese pet owners' awareness and deworming practices.</t>
  </si>
  <si>
    <t>Pereira A, Martins Â, Brancal H, Vilhena H, Silva P, Pimenta P, Diz-Lopes D, Neves N, Coimbra M, Alves AC, Cardoso L, Maia C</t>
  </si>
  <si>
    <t>245</t>
  </si>
  <si>
    <t>Bioswales reduce contaminants associated with toxicity in urban storm water.</t>
  </si>
  <si>
    <t>Anderson BS, Phillips BM, Voorhees JP, Siegler K, Tjeerdema R</t>
  </si>
  <si>
    <t>3124-3134</t>
  </si>
  <si>
    <t>Differential Gene Expression Analysis of the Epacromius coerulipes (Orthoptera: Acrididae) Transcriptome.</t>
  </si>
  <si>
    <t>Jin Y, Cong B, Wang L, Gao Y, Zhang H, Dong H, Lin Z</t>
  </si>
  <si>
    <t>Multi-biomarker responses as indication of contaminant effects in Gambusia affinis from impacted rivers by municipal effluents.</t>
  </si>
  <si>
    <t>Huang GY, Liu YS, Liang YQ, Shi WJ, Hu LX, Tian F, Chen J, Ying GG</t>
  </si>
  <si>
    <t>563-564</t>
  </si>
  <si>
    <t>273-81</t>
  </si>
  <si>
    <t>[Genotoxic effects of pesticide fipronil in somatic and generative cells of mice].</t>
  </si>
  <si>
    <t>[Genotoxic effects of pesticide fipronil in somatic and generative cells of mice].    ABSTRACT:  The pronounced genotoxic effect of fipronil in all used doses (4.75, 9.50, 19.00, and 31.70 mg/kg) at a single exposure in the liver, lungs and spleen was ascertained by the Comet assay. Organ specificity of genotoxic effects of the pesticide was revealed. The liver was the most sensitive to fipronil. Fipronil at a dose of 9.50 mg/kg in a single and repeated exposure (within 10 days) induced aberrations in mouse bone marrow cells with the frequency exceeding the spontaneous mutation rate (p &lt; 0.01 and p &lt; 0.001, respectively). Fipronil also showed genotoxic activity in the germ cells of the experimental animals, causing abnormalities of the structure of synaptonemal complexes in the spermatocytes.  KEYWORDS:  MeSH Chemical: Pesticides| Pyrazoles| fipronil MeSH: | Animals| Bone Marrow Cells/majr/metabolism/pathology| DNA Damage/majr| Male| Mice| Mice, Inbred BALB C| Mutation/majr| Organ Specificity/drug effects| Pesticides/majr/toxicity| Pyrazoles/majr/toxicity| Spermatocytes/majr/metabolism/pathology| Synaptonemal Complex/majr/genetics/metabolism/pathology</t>
  </si>
  <si>
    <t>Lovinskaya AV, Kolumbayeva SZ, Kolomiets OL, Abilev SK</t>
  </si>
  <si>
    <t>Genetika</t>
  </si>
  <si>
    <t>561-8</t>
  </si>
  <si>
    <t>Persistence of fipronil residues in Eucalyptus seedlings and its concentration in the insecticide solution after treatment in the nursery.</t>
  </si>
  <si>
    <t>Persistence of fipronil residues in Eucalyptus seedlings and its concentration in the insecticide solution after treatment in the nursery.    ABSTRACT:  Eucalyptus seedlings are normally protected from underground termites (Isoptera: Termitidae) by immersing them in insecticide solutions. Fipronil (phenylpyrazole) is the most frequently used product to protect seedlings in the field for up to 6 months after application. This is performed just prior to planting. However, the persistence of this product in seedlings that are treated and subjected to irrigation several days prior to planting has not yet been evaluated. This study aims to quantify the fipronil concentration in the substratum and roots of the seedlings treated and subjected to irrigation for up to 56 days prior to planting and to quantify this insecticide concentration in the solutions, without continuous stirring, for 120 min. The quantitative determination of fipronil in the seedlings and in the insecticide solution was done by high-performance liquid chromatography (HPLC) with an ultraviolet (UV) detector. It was found that irrigation up to 56 days, performed in the nurseries, did not decrease the fipronil concentration in the seedlings. The absence of stirring reduced the fipronil concentration in the insecticide solution, necessitating a homogenization system to maintain the recommended concentration of this product, to effectively treat the eucalyptus seedlings. The seedling treatment with fipronil can be conducted strictly in the nursery, reducing cost and environmental risks.  KEYWORDS:  MeSH Chemical: Insecticides| Pesticide Residues| Pyrazoles| Solutions| fipronil MeSH: | Animals| Environmental Monitoring/majr| Eucalyptus/majr/chemistry| Insecticides/majr/analysis| Isoptera| Pesticide Residues/majr/analysis| Plant Roots/chemistry| Pyrazoles/majr/analysis| Seedlings/chemistry| Solutions Other:Chemical control|Forest pests|Integrated management|Termite</t>
  </si>
  <si>
    <t>dos Santos A, Zanetti R, dos Santos JC, Biagiotti G, Evangelista AL, Serrão JE, Zanuncio JC</t>
  </si>
  <si>
    <t>314</t>
  </si>
  <si>
    <t>Laboratory and Field Evaluation of Zyrox Fly Granular Bait Against Asian and German Cockroaches (Dictyoptera: Blattellidae).</t>
  </si>
  <si>
    <t>Matos YK, Schal C</t>
  </si>
  <si>
    <t>109</t>
  </si>
  <si>
    <t>1807-12</t>
  </si>
  <si>
    <t>Distribution of pesticides in dust particles in urban environments.</t>
  </si>
  <si>
    <t>Richards J, Reif R, Luo Y, Gan J</t>
  </si>
  <si>
    <t>214</t>
  </si>
  <si>
    <t>290-298</t>
  </si>
  <si>
    <t>Fipronil promotes adipogenesis via AMPKα-mediated pathway in 3T3-L1 adipocytes.</t>
  </si>
  <si>
    <t>Sun Q, Qi W, Yang JJ, Yoon KS, Clark JM, Park Y</t>
  </si>
  <si>
    <t>217-23</t>
  </si>
  <si>
    <t>Methoxyfenozide resistance of the housefly, Musca domestica L. (Diptera: Muscidae): cross-resistance patterns, stability and associated fitness costs.</t>
  </si>
  <si>
    <t>Shah RM, Shad SA, Abbas N</t>
  </si>
  <si>
    <t>254-261</t>
  </si>
  <si>
    <t>Glycinergic-Fipronil Uptake Is Mediated by an Amino Acid Carrier System and Induces the Expression of Amino Acid Transporter Genes in Ricinus communis Seedlings.</t>
  </si>
  <si>
    <t>Xie Y, Zhao JL, Wang CW, Yu AX, Liu N, Chen L, Lin F, Xu HH</t>
  </si>
  <si>
    <t>3810-8</t>
  </si>
  <si>
    <t>Impact of Environmental Chemicals on the Transcriptome of Primary Human Hepatocytes: Potential for Health Effects.</t>
  </si>
  <si>
    <t>Mitchell RD, Dhammi A, Wallace A, Hodgson E, Roe RM</t>
  </si>
  <si>
    <t>375-95</t>
  </si>
  <si>
    <t>Isolation and Characterization of Fipronil Degrading Acinetobacter calcoaceticus and Acinetobacter oleivorans from Rhizospheric Zone of Zea mays.</t>
  </si>
  <si>
    <t>Isolation and Characterization of Fipronil Degrading Acinetobacter calcoaceticus and Acinetobacter oleivorans from Rhizospheric Zone of Zea mays.    ABSTRACT:  An enrichment culture technique was used for the isolation of bacteria capable of utilizing fipronil as a sole source of carbon and energy. Based on morphological, biochemical characteristics and phylogenetic analysis of 16S rRNA sequence, the bacterial strains were identified as Acinetobacter calcoaceticus and Acinetobacter oleivorans. Biodegradation experiments were conducted in loamy sand soil samples fortified with fipronil (50 µg kg(-1)) and inoculated with Acinetobacter sp. cells (45 × 10(7) CFU mL(-1)) for 90 days. Soil samples were periodically analyzed by gas liquid chromatography equipped with electron capture detector. Biodegradation of fipronil fitted well with the pseudo first-order kinetics, with rate constant value between 0.041 and 0.051 days(-1). In pot experiments, fipronil and its metabolites fipronil sulfide, fipronil sulfone and fipronil amide were found below quantifiable limit in soil and root, shoot and leaves of Zea mays. These results demonstrated that A. calcoaceticus and A. oleivorans may serve as promising strains in the bioremediation of fipronil-contaminated soils.  KEYWORDS:  MeSH Chemical: Insecticides| Pyrazoles| RNA, Ribosomal, 16S| Soil| Soil Pollutants| fipronil sulfone| fipronil MeSH: | Acinetobacter calcoaceticus/majr/isolation &amp; purification/metabolism| Biodegradation, Environmental| Chromatography, Gas| Insecticides/chemistry| Phylogeny| Plant Roots/microbiology| Pyrazoles/majr/chemistry| RNA, Ribosomal, 16S/genetics/isolation &amp; purification| Soil/chemistry| Soil Microbiology| Soil Pollutants/analysis| Zea mays/majr/microbiology Other:Acinetobacter|Biodegradation|Fipronil|Kinetics|Metabolites</t>
  </si>
  <si>
    <t>Uniyal S, Paliwal R, Verma M, Sharma RK, Rai JP</t>
  </si>
  <si>
    <t>Bulletin of environmental contamination and toxicology</t>
  </si>
  <si>
    <t>96</t>
  </si>
  <si>
    <t>833-8</t>
  </si>
  <si>
    <t>In utero and lactational exposure to fipronil in female rats: Pregnancy outcomes and sexual development.</t>
  </si>
  <si>
    <t>de Barros AL, Rosa JL, Cavariani MM, Borges CS, Villela e Silva P, Bae JH, Anselmo-Franci JA, Cristina Arena A</t>
  </si>
  <si>
    <t>Journal of toxicology and environmental health. Part A</t>
  </si>
  <si>
    <t>266-73</t>
  </si>
  <si>
    <t>Fipronil sulfone induced higher cytotoxicity than fipronil in SH-SY5Y cells: Protection by antioxidants.</t>
  </si>
  <si>
    <t>Romero A, Ramos E, Ares I, Castellano V, Martínez M, Martínez-Larrañaga MR, Anadón A, Martínez MA</t>
  </si>
  <si>
    <t>42-9</t>
  </si>
  <si>
    <t>Effect of diphenyl diselenide diet supplementation on oxidative stress biomarkers in two species of freshwater fish exposed to the insecticide fipronil.</t>
  </si>
  <si>
    <t>Menezes C, Leitemperger J, Murussi C, de Souza Viera M, Adaime MB, Zanella R, Loro VL</t>
  </si>
  <si>
    <t>Fish physiology and biochemistry</t>
  </si>
  <si>
    <t>1357-68</t>
  </si>
  <si>
    <t>The toxicity, bioaccumulation, elimination, conversion of the enantiomers of fipronil in Anodonta woodiana.</t>
  </si>
  <si>
    <t>The toxicity, bioaccumulation, elimination, conversion of the enantiomers of fipronil in Anodonta woodiana.    ABSTRACT:  The enantioselective bioaccumulation and elimination of fipronil in Anodonta woodiana (A. woodiana) were studied and the main metabolites fipronil desulfinyl, fipronil sulfide and fipronil sulfone were determined. The acute toxicity of the enantiomers of fipronil and the three metabolites were also investigated. In the bioaccumulation process, fipronil in A. woodiana reached equilibrium after 11days with BCF value of 0.2, and the enantiomeric fraction (EF) values showed that the bioaccumulation was enantioselective with enantioenrichment of S-fipronil. The degradation of fipronil in A. woodiana fitted first-order kinetics model with half-lives of the enantiomers were 5.8 d for R-fipronil and 7.6 d for S-fipronil, and the EF values decreasing from 0.5 gradually indicating the R-enantiomer was preferentially degraded. The degradation of single enantiomers was also performed and the results revealed a fast conversion of R-fipronil to S-fipronil by A. woodiana. The three metabolites were all detected in A. woodiana-water system, in which fipronil sulfone and fipronil sulfide had higher concentration levels. According to the 72-h LC50 values, S-fipronil was much more toxic than the racemate and R-fipronil. Moreover, the metabolites were more toxic than the parent fipronil. The results suggested the individual enantiomers of chiral pollutants and the metabolites should be considered in the risk assessments.Copyright © 2016 Elsevier B.V. All rights reserved.  KEYWORDS:  MeSH Chemical: Insecticides| Pyrazoles| Sulfides| Sulfones| Water Pollutants, Chemical| fipronil MeSH: | Animals| Anodonta/majr/metabolism| Insecticides/majr/metabolism| Kinetics| Pyrazoles/majr/metabolism| Stereoisomerism| Sulfides/metabolism| Sulfones/metabolism| Water Pollutants, Chemical/majr/metabolism Other:Anodonta woodiana|Chiral conversion|Fipronil|Metabolites|Toxicity</t>
  </si>
  <si>
    <t>Qu H, Ma RX, Liu DH, Jing X, Wang F, Zhou ZQ, Wang P</t>
  </si>
  <si>
    <t>312</t>
  </si>
  <si>
    <t>169-174</t>
  </si>
  <si>
    <t>Efficacy of a topical combination of fipronil, (S)-methoprene, eprinomectin and praziquantel (Broadline(®)) against naturally acquired infections with cestodes of the genus Joyeuxiella in cats.</t>
  </si>
  <si>
    <t>Schuster RK, Mustafa MB, Baskar JV, Rosentel J, Chester ST, Knaus M</t>
  </si>
  <si>
    <t>2679-84</t>
  </si>
  <si>
    <t>Using paired soil and house dust samples in an in vitro assay to assess the post ingestion bioaccessibility of sorbed fipronil.</t>
  </si>
  <si>
    <t>Using paired soil and house dust samples in an in vitro assay to assess the post ingestion bioaccessibility of sorbed fipronil.    ABSTRACT:  For children, ingestion of soils and house dusts can be an important exposure pathway for regulated organic compounds. Following ingestion, the extent to which compounds desorb and become bioaccessible is a critical determinant of systemic adsorption. We characterized the physicochemical properties of 37 soil and house dust pairs collected during a national survey of United States homes. For each sample, we measured the bioaccessibility of fipronil, a phenylpyrazole insecticide using an in vitro, three- compartment digestive system, then modeled the physicochemical predictors of fipronil bioaccessibility. The properties of the soils and dusts were not correlated and percent carbon was the only significant predictor of bioaccessibility for both soils (p&lt;0.001) and dusts (p&lt;0.001). The carbon content of the soils (3.1±2.4%) was lower than that of the dusts (18.6±6.9%) Due to the lower carbon content, soil sorbed fipronil was more bioaccessible than dust sorbed fipronil. However, the slope of the bioaccessibility carbon regression line was steeper for the soils than for the house dusts. This suggested that, for soils having carbon percentages greater than those in this study, fipronil bioaccessibility may be less than that of house dusts having equal carbon content.Published by Elsevier B.V.  KEYWORDS:  MeSH Chemical: Dust| Insecticides| Pyrazoles| Soil| Carbon| fipronil MeSH: | Biological Availability| Carbon/pharmacokinetics| Dust/majr| Humans| Insecticides/majr/pharmacokinetics| Pyrazoles/majr/pharmacokinetics| Soil/majr Other:Bioaccessibility|Fipronil|House dusts|Ingestion|Soils</t>
  </si>
  <si>
    <t>Starr JM, Li W, Graham SE, Bradham KD, Stout Ii DM, Williams A, Sylva J</t>
  </si>
  <si>
    <t>141-149</t>
  </si>
  <si>
    <t>Coupling coagulation, flocculation and decantation with photo-Fenton process for treatment of industrial wastewater containing fipronil: Biodegradability and toxicity assessment.</t>
  </si>
  <si>
    <t>da Costa Filho BM, da Silva VM, Silva Jde O, da Hora Machado AE, Trovó AG</t>
  </si>
  <si>
    <t>174</t>
  </si>
  <si>
    <t>71-8</t>
  </si>
  <si>
    <t>Mechanisms of resistance to insecticides targeting RDL GABA receptors in planthoppers.</t>
  </si>
  <si>
    <t>Mechanisms of resistance to insecticides targeting RDL GABA receptors in planthoppers.    ABSTRACT:  Lindane and cyclodienes, such as dieldrin and α-endosulfan, represent the first generation of noncompetitive antagonists (NCAs) against the insect RDL GABA receptor. It has been reported that A2'S and A2'G mutations in the membrane-spanning region M2 of the RDL GABA receptor confer resistance to lindane and cyclodienes. Fipronil is a second-generation NCA, but A2'S and A2'G mutations provide a low level of cross-resistance to fipronil. Moreover, a novel A2'N mutation that confers fipronil resistance was found in M2 of the RDL GABA receptors from fipronil-resistant planthoppers in the heterozygous state. Thus, problems are being caused by a worldwide appearance of cyclodiene-resistant pests. And attention must be paid to development of fipronil-resistant planthoppers, such as Sogatella furcifera and Laodelphax striatellus in Japan.Copyright © 2016 Elsevier B.V. All rights reserved.  KEYWORDS:  MeSH Chemical: Insecticides| Pyrazoles| Receptors, GABA| gamma-Aminobutyric Acid| fipronil MeSH: | Animals| Hemiptera| Inhibitory Concentration 50| Insecticide Resistance/majr| Insecticides/majr/toxicity| Mutation| Pyrazoles/majr/toxicity| Receptors, GABA/majr/genetics/physiology| gamma-Aminobutyric Acid/pharmacology Other:Cyclodiene resistance|Fipronil resistance|RDL GABA receptor</t>
  </si>
  <si>
    <t>Nakao T</t>
  </si>
  <si>
    <t>293-298</t>
  </si>
  <si>
    <t>Fipronil induces lung inflammation in vivo and cell death in vitro.</t>
  </si>
  <si>
    <t>Merkowsky K, Sethi RS, Gill JP, Singh B</t>
  </si>
  <si>
    <t>Journal of occupational medicine and toxicology (London, England)</t>
  </si>
  <si>
    <t>Injectable fipronil for cattle: Plasma disposition and efficacy against Rhipicephalus microplus.</t>
  </si>
  <si>
    <t>Cid YP, Ferreira TP, Magalhães VS, Correia TR, Scott FB</t>
  </si>
  <si>
    <t>220</t>
  </si>
  <si>
    <t>4-8</t>
  </si>
  <si>
    <t>Efficacy and safety of a novel oral isoxazoline, sarolaner (Simparica™) in the treatment of naturally occurring flea and tick infestations in dogs presented as veterinary patients in Europe.</t>
  </si>
  <si>
    <t>Becskei C, De Bock F, Illambas J, Mahabir SP, Farkas R, Six RH</t>
  </si>
  <si>
    <t>49-55</t>
  </si>
  <si>
    <t>Cloning and Expression of Multiple Cytochrome P450 Genes: Induction by Fipronil in Workers of the Red Imported Fire Ant (Solenopsis invicta Buren).</t>
  </si>
  <si>
    <t>Zhang B, Zhang L, Cui R, Zeng X, Gao X</t>
  </si>
  <si>
    <t>e0150915</t>
  </si>
  <si>
    <t>Fipronil application on rice paddy fields reduces densities of common skimmer and scarlet skimmer.</t>
  </si>
  <si>
    <t>Kasai A, Hayashi TI, Ohnishi H, Suzuki K, Hayasaka D, Goka K</t>
  </si>
  <si>
    <t>23055</t>
  </si>
  <si>
    <t>Conversion of pesticides to biologically active products on urban hard surfaces.</t>
  </si>
  <si>
    <t>Conversion of pesticides to biologically active products on urban hard surfaces.    ABSTRACT:  Impervious pavements such as concrete are a dominant feature of urban landscapes, but their role in the fate of environmental contaminants is largely ignored. This study considered the case of urban-use pesticides, and demonstrated for the first time that surfaces such as concrete were capable of converting pesticides to other biologically active intermediates. Rapid transformation of pesticides was observed in both bench and field scale setups. Under outdoor conditions, permethrin, a heavily used pyrethroid insecticide, quickly formed 3-phenoxybenzoic acid (3-PBA) that is a known endocrine disruptor, and the level of 3-PBA was &gt;100μg/L in the runoff water even 3months after the treatment. Fipronil, a product used for termite and ant control, was quickly transformed to desulfinyl and sulfone derivatives, with the desulfinyl level exceeding that of parent in the runoff water only 1week after treatment. Fipronil derivatives have aquatic toxicity similar or even greater than the parent fipronil. Direct sampling of deposited particles from residential exterior pavements revealed widespread presence of fipronil sulfone and desulfinyl and demonstrated their in-situ formation and accumulation on concrete. The extensive transformations were likely caused by the alkalinity and metal oxides in concrete and conducive photolytic conditions at the hard surfaces. The study findings highlight the role of urban pavements and urbanization in the geochemical cycling of anthropogenic contaminants. Copyright © 2016 Elsevier B.V. All rights reserved.  KEYWORDS:  MeSH Chemical: Environmental Pollutants| Pesticides MeSH: | Cities/majr| Environmental Monitoring/majr| Environmental Pollutants/majr/analysis| Pesticides/majr/analysis Other:Biologically active derivative|Fipronil|Permethrin|Pesticide|Urban hard surface</t>
  </si>
  <si>
    <t>Jiang W, Gan J</t>
  </si>
  <si>
    <t>556</t>
  </si>
  <si>
    <t>63-9</t>
  </si>
  <si>
    <t>DBS-platform for biomonitoring and toxicokinetics of toxicants: proof of concept using LC-MS/MS analysis of fipronil and its metabolites in blood.</t>
  </si>
  <si>
    <t>DBS-platform for biomonitoring and toxicokinetics of toxicants: proof of concept using LC-MS/MS analysis of fipronil and its metabolites in blood.    ABSTRACT:  A simple, sensitive and high throughput LC-MS/MS method was developed and validated for quantification of fipronil, fipronil sulfone and fipronil desulfinyl in rat and human dried blood spots (DBS). DBS samples were prepared by spiking 10 μl blood on DMPK-C cards followed by drying at room temperature. The whole blood spots were then punched from the card and extracted using acetonitrile. The total chromatographic run time of the method was only 2 min. The lower limit of quantification of the method was 0.1 ng/ml for all the analytes. The method was successfully applied to determine fipronil desulfinyl in DBS samples obtained from its toxicokinetic study in rats following intravenous dose (1 mg/kg). In conclusion, the proposed DBS methodology has significant potential in toxicokinetics and biomonitoring studies of environmental toxicants. This microvolume DBS technique will be an ideal tool for biomonitoring studies, particularly in paediatric population. Small volume requirements, minimally invasive blood sampling method, easier storage and shipping procedure make DBS a suitable technique for such studies. Further, DBS technique contributes towards the principles of 3Rs resulting in significant reduction in the number of rodents used and refinement in sample collection for toxicokinetic studies.  KEYWORDS:  MeSH Chemical: Antiparasitic Agents| Pyrazoles| fipronil MeSH: | Animals| Antiparasitic Agents/majr/adverse effects/blood| Dried Blood Spot Testing/majr/methods/standards| Gas Chromatography-Mass Spectrometry/majr/methods/standards| Male| Pyrazoles/majr/adverse effects/blood| Rats| Rats, Sprague-Dawley| Sensitivity and Specificity| Toxicokinetics</t>
  </si>
  <si>
    <t>Raju KS, Taneja I, Rashid M, Sonkar AK, Wahajuddin M, Singh SP</t>
  </si>
  <si>
    <t>22447</t>
  </si>
  <si>
    <t>Evaluation of the effectiveness of a novel oral formulation of sarolaner (Simparica™) for the treatment and control of fleas on dogs.</t>
  </si>
  <si>
    <t>Six RH, Geurden T, Packianathan R, Colgan S, Everett WR, Grace S, Hodge A, Mahabir SP, Myers MR, Slootmans N, Davis K</t>
  </si>
  <si>
    <t>18-22</t>
  </si>
  <si>
    <t>Megninia ginglymura feather mite infestation in a Hamburg poultry flock in the United Kingdom.</t>
  </si>
  <si>
    <t>Megninia ginglymura feather mite infestation in a Hamburg poultry flock in the United Kingdom.    ABSTRACT:  A flock of rare breed poultry was heavily infested with small white mites. Although apparently not harming the birds, the mites were identified in order to access data on veterinary/medical significance and to decide upon appropriate treatment.To determine the identity of the mites, assess their potential impact on the host birds and to apply a chemical treatment regime.Twelve, 5-month-old Hamburg large fowl kept on a UK farm owned by the second author. They were housed together on shavings in an indoor pen with a grass outdoor run. All were hatched on the farm and never left it.Mites were identified using taxonomic identification keys and morphological descriptions. Nine birds were treated topically with 0.25% fipronil at 8 mL/kg on one occasion, while three birds were separated and left untreated as a control.The infesting species was the feather mite Megninia ginglymura. Treated birds were mite-free after three weeks, whereas untreated ones were still heavily infested.This is the first published report of such a heavy infestation of M. ginglymura in poultry in the UK and the first time topical fipronil has been used to eradicate these mites. The case is highlighted because, although asymptomatic in this instance, such infestations may be injurious to birds in different rearing regimes.© 2016 ESVD and ACVD.  KEYWORDS:  MeSH Chemical: Antiparasitic Agents| Pyrazoles| fipronil MeSH: | Animals| Antiparasitic Agents/therapeutic use| Chickens/majr| Mite Infestations/majr/drug therapy/epidemiology/parasitology/veterinary| Mites/majr/classification| Poultry Diseases/majr/drug therapy/epidemiology/parasitology| Pyrazoles/therapeutic use| United Kingdom</t>
  </si>
  <si>
    <t>Van Poucke S, Creighton R, Baker AS</t>
  </si>
  <si>
    <t>127-9e35</t>
  </si>
  <si>
    <t>Taxonomic applicability of inflammatory cytokines in adverse outcome pathway (AOP) development.</t>
  </si>
  <si>
    <t>Angrish MM, Pleil JD, Stiegel MA, Madden MC, Moser VC, Herr DW</t>
  </si>
  <si>
    <t>184-96</t>
  </si>
  <si>
    <t>Active Sampling Device for Determining Pollutants in Surface and Pore Water - the In Situ Sampler for Biphasic Water Monitoring.</t>
  </si>
  <si>
    <t>Active Sampling Device for Determining Pollutants in Surface and Pore Water - the In Situ Sampler for Biphasic Water Monitoring.    ABSTRACT:  We designed and evaluated an active sampling device, using as analytical targets a family of pesticides purported to contribute to honeybee colony collapse disorder. Simultaneous sampling of bulk water and pore water was accomplished using a low-flow, multi-channel pump to deliver water to an array of solid-phase extraction cartridges. Analytes were separated using either liquid or gas chromatography, and analysis was performed using tandem mass spectrometry (MS/MS). Achieved recoveries of fipronil and degradates in water spiked to nominal concentrations of 0.1, 1, and 10 ng/L ranged from 77 ± 12 to 110 ± 18%. Method detection limits (MDLs) were as low as 0.040-0.8 ng/L. Extraction and quantitation of total fiproles at a wastewater-receiving wetland yielded concentrations in surface water and pore water ranging from 9.9 ± 4.6 to 18.1 ± 4.6 ng/L and 9.1 ± 3.0 to 12.6 ± 2.1 ng/L, respectively. Detected concentrations were statistically indistinguishable from those determined by conventional, more laborious techniques (p &gt; 0.2 for the three most abundant fiproles). Aside from offering time-averaged sampling capabilities for two phases simultaneously with picogram-per-liter MDLs, the novel methodology eliminates the need for water and sediment transport via in situ solid phase extraction.  KEYWORDS:  MeSH Chemical: Pesticides| Water Pollutants, Chemical| Water MeSH: | Chromatography, High Pressure Liquid| Environmental Monitoring| Limit of Detection| Pesticides/analysis/isolation &amp; purification| Solid Phase Extraction| Tandem Mass Spectrometry/majr| Water/majr/analysis| Water Pollutants, Chemical/majr/analysis/isolation &amp; purification</t>
  </si>
  <si>
    <t>Supowit SD, Roll IB, Dang VD, Kroll KJ, Denslow ND, Halden RU</t>
  </si>
  <si>
    <t>21886</t>
  </si>
  <si>
    <t>Determination of residual fipronil in chicken egg and muscle by LC-MS/MS.</t>
  </si>
  <si>
    <t>Determination of residual fipronil in chicken egg and muscle by LC-MS/MS.    ABSTRACT:  A simple, sensitive and reliable method was developed and applied to the residue analysis of fipronil in chicken egg and muscle by liquid chromatography-tandem mass spectrometry (LC-MS/MS). Chicken egg and muscle samples were extracted with acetronitrile, then salting out by dehydration with anhydrous magnesium sulfate and sodium chloride. The extracts were purified by the C18 solid phase extraction cartridge prior to analysis by LC-MS/MS. The matrix-matched calibration curve showed a good linear within the concentration range from 0.01 to 2.00μgkg(-1) (r(2)≥0.999). The average recoveries of fipronil at three spiked levels of 0.01, 0.1 and 1.0μgkg(-1) ranged from 79.7% to 98.0%, and the relative standard deviations were less than 8.8%. The decision limit (CCα) and detection capability (CCβ) of fipronil in chicken egg and muscle matrices were all 0.002μgkg(-1) and 0.01μgkg(-1), respectively. The method has also been successfully applied to monitoring fipronil in the real samples. Copyright © 2016 Elsevier B.V. All rights reserved.  KEYWORDS:  MeSH Chemical: Insecticides| Pyrazoles| fipronil MeSH: | Animals| Chickens/majr/metabolism| Chromatography, High Pressure Liquid/majr/methods| Eggs/majr/analysis| Insecticides/majr/analysis| Limit of Detection| Muscles/majr/chemistry| Pyrazoles/majr/analysis| Solid Phase Extraction/methods| Tandem Mass Spectrometry/majr/methods Other:Chicken|Egg|Fipronil|Liquid chromatography–tandem mass spectrometry|Residue</t>
  </si>
  <si>
    <t>Zhang M, Bian K, Zhou T, Song X, Liu Q, Meng C, He L</t>
  </si>
  <si>
    <t>1014</t>
  </si>
  <si>
    <t>31-6</t>
  </si>
  <si>
    <t>Chronic toxicity and physiological changes induced in the honey bee by the exposure to fipronil and Bacillus thuringiensis spores alone or combined.</t>
  </si>
  <si>
    <t>Renzi MT, Amichot M, Pauron D, Tchamitchian S, Brunet JL, Kretzschmar A, Maini S, Belzunces LP</t>
  </si>
  <si>
    <t>205-13</t>
  </si>
  <si>
    <t>Fipronil Compound Consumption Presenting as Status Epilepticus.</t>
  </si>
  <si>
    <t>Fipronil Compound Consumption Presenting as Status Epilepticus.    ABSTRACT:  Fipronil is a broadspectrum N-phenylpyrazole insecticide with gamma-aminobutyric acid type A receptor inhibitory action causing hyperexcitability of central nervous system. There is no literature reported in the past concerning its acute toxicity in human beings. A case report is useful for workers in medical and veterinary field. Hence, we are reporting a case in which young male intoxicated with fipronil compound was presented to the emergency department for having generalized tonic-clonic seizures and subsequently with the features of delirium for few days. This patient was treated with benzodiazepines which controlled the seizures and antipsychotics were given for few days for treating the psychosis.  KEYWORDS:  Other:Fipronil|GABA inhibitors|midazolam|psychosis|seizures</t>
  </si>
  <si>
    <t>Bharathraj MY, Venugopal K, Jaligidad K, Karibasappa H, Kumar H</t>
  </si>
  <si>
    <t>Toxicology international</t>
  </si>
  <si>
    <t>165-6</t>
  </si>
  <si>
    <t>Residues of plant protection products in grey partridge eggs in French cereal ecosystems.</t>
  </si>
  <si>
    <t>Residues of plant protection products in grey partridge eggs in French cereal ecosystems.    ABSTRACT:  The contamination of the eggs of farmland birds by currently used plant protection products (PPPs) is poorly documented despite a potential to adversely impact their breeding performance. In this context, 139 eggs of 52 grey partridge Perdix perdix clutches, collected on 12 intensively cultivated farmlands in France in 2010-2011, were analysed. Given the great diversity of PPPs applied on agricultural fields, we used exploratory GC/MS-MS and LC/MS-MS screenings measuring ca. 500 compounds. The limit of quantification was 0.01 mg/kg, a statutory reference. A total of 15 different compounds were detected in 24 clutches. Nine of them have been used by farmers to protect crops against fungi (difenoconazole, tebuconazole, cyproconazole, fenpropidin and prochloraz), insects (lambda-cyhalothrin and thiamethoxam/clothianidin) and weeds (bromoxynil and diflufenican). Some old PPPs were also detected (fipronil(+sulfone), HCH(α,β,δ isomers), diphenylamine, heptachlor(+epoxyde), DDT(Σisomers)), as well as PCBs(153, 180). Concentrations ranged between &lt;0.01 and 0.05 mg/kg but reached 0.067 (thiamethoxam/clothianidin), 0.11 (heptachlor + epoxyde) and 0.34 (fenpropidin) mg/kg in some cases. These results testify an actual exposure of females and/or their eggs to PPPs in operational conditions, as well as to organochlorine pollutants or their residues, banned in France since several years if not several decades, that persistently contaminate the environment.Routes of exposure, probability to detect a contamination in the eggs, and effects on egg/embryo characteristics are discussed with regard to the scientific literature.  KEYWORDS:  MeSH Chemical: Pesticides MeSH: | Animals| Ecosystem/majr| Edible Grain/majr| Eggs/majr| Female| France| Galliformes/majr| Pesticides/analysis Other:Bird|Egg|Exposure route|Farmland|Pesticide|Residue analysis</t>
  </si>
  <si>
    <t>Bro E, Devillers J, Millot F, Decors A</t>
  </si>
  <si>
    <t>9559-73</t>
  </si>
  <si>
    <t>Bioaccumulation of Legacy and Emerging Organochlorine Contaminants in Lumbriculus variegatus.</t>
  </si>
  <si>
    <t>71</t>
  </si>
  <si>
    <t>60-9</t>
  </si>
  <si>
    <t>Knock-down and speed of kill of a combination of fipronil and permethrin for the prevention of Ctenocephalides felis flea infestation in dogs.</t>
  </si>
  <si>
    <t>Halos L, Fourie JJ, Fankhauser B, Beugnet F</t>
  </si>
  <si>
    <t>Multi-residue method for the determination of pesticides and pesticide metabolites in honeybees by liquid and gas chromatography coupled with tandem mass spectrometry--Honeybee poisoning incidents.</t>
  </si>
  <si>
    <t>Kiljanek T, Niewiadowska A, Semeniuk S, Gaweł M, Borzęcka M, Posyniak A</t>
  </si>
  <si>
    <t>1435</t>
  </si>
  <si>
    <t>100-14</t>
  </si>
  <si>
    <t>Are bee diseases linked to pesticides? - A brief review.</t>
  </si>
  <si>
    <t>Are bee diseases linked to pesticides? - A brief review.    ABSTRACT:  The negative impacts of pesticides, in particular insecticides, on bees and other pollinators have never been disputed. Insecticides can directly kill these vital insects, whereas herbicides reduce the diversity of their food resources, thus indirectly affecting their survival and reproduction. At sub-lethal level (&lt;LD50), neurotoxic insecticide molecules are known to influence the cognitive abilities of bees, impairing their performance and ultimately impacting on the viability of the colonies. In addition, widespread systemic insecticides appear to have introduced indirect side effects on both honey bees and wild bumblebees, by deeply affecting their health. Immune suppression of the natural defences by neonicotinoid and phenyl-pyrazole (fipronil) insecticides opens the way to parasite infections and viral diseases, fostering their spread among individuals and among bee colonies at higher rates than under conditions of no exposure to such insecticides. This causal link between diseases and/or parasites in bees and neonicotinoids and other pesticides has eluded researchers for years because both factors are concurrent: while the former are the immediate cause of colony collapses and bee declines, the latter are a key factor contributing to the increasing negative impact of parasitic infections observed in bees in recent decades. Crown Copyright © 2016. Published by Elsevier Ltd. All rights reserved.  KEYWORDS:  MeSH Chemical: Environmental Pollutants| Insecticides| Pesticides MeSH: | Animals| Bees/majr/drug effects/parasitology/virology| Environmental Pollutants/majr/toxicity| Insecticides/toxicity| Pesticides/majr/toxicity| Pollination/drug effects| Reproduction/drug effects Other:Fungicides|Immune-suppression|Infections|Neonicotinoids|Parasites|Viruses</t>
  </si>
  <si>
    <t>Sánchez-Bayo F, Goulson D, Pennacchio F, Nazzi F, Goka K, Desneux N</t>
  </si>
  <si>
    <t>89-90</t>
  </si>
  <si>
    <t>7-11</t>
  </si>
  <si>
    <t>Mechanism of leaf-cutting ant colony suppression by fipronil used in attractive toxic baits.</t>
  </si>
  <si>
    <t>Mechanism of leaf-cutting ant colony suppression by fipronil used in attractive toxic baits.    ABSTRACT:  Attractive toxic baits are the prevailing method for managing leaf-cutting ants in the eucalypt forests planted for the production of pulp, paper, timber and charcoal. For successful use in these baits, the insecticidal compounds need to circumvent the typical defences of the eusocial leaf-cutting ants. The challenge is to have an insecticide in the bait that will not directly harm and/or compromise foraging workers, but that will eventually suppress the colony. These underlying mechanisms are poorly known, and here the potential mechanism of fipronil activity in toxic baits for leaf-cutting ants was assessed using colonies of the representative Neotropical Acromyrmex subterraneus subterraneus (Forel, 1893).Although forager activity was not directly impaired by fipronil, the insecticide affected forager nestmate interactions (auto- and allogrooming) and waste removal and, more importantly, greatly affected the minor workers, impairing their activities of fungus garden cultivation and progeny handling. The fast decay of the fungus garden compromised the sustainability of the colonies, ultimately leading to their demise within 8 days.The behavioural effects of sublethal insecticide exposure towards minor workers are the main determinants of insecticide activity as ant baits and should be targeted in developing such compounds. © 2016 Society of Chemical Industry.© 2016 Society of Chemical Industry.  KEYWORDS:  MeSH Chemical: Insecticides| Pyrazoles| fipronil MeSH: | Animals| Ants/majr/drug effects| Behavior, Animal/drug effects| Female| Fertility/drug effects| Fungi/growth &amp; development| Insecticides/majr/pharmacology| Pyrazoles/majr/pharmacology| Social Behavior Other:ant control|behavioural activity|colony suppression|insecticide activity|insecticide-induced impairment|leaf-cutting ant management</t>
  </si>
  <si>
    <t>Gandra LC, Amaral KD, Couceiro JC, Della Lucia TM, Guedes RN</t>
  </si>
  <si>
    <t>1475-81</t>
  </si>
  <si>
    <t>Assessment of the prophylactic speed of kill of Frontline Tri-Act(®) against ticks (Ixodes ricinus and Rhipicephalus sanguineus) on dogs.</t>
  </si>
  <si>
    <t>Assessment of the prophylactic speed of kill of Frontline Tri-Act(®) against ticks (Ixodes ricinus and Rhipicephalus sanguineus) on dogs.    ABSTRACT:  The objective of the study was to assess the speed of kill of a single topical treatment with a combination of fipronil and permethrin (Frontline Tri-Act(®)/Frontect(®)) against experimental infestations of Ixodes ricinus and Rhipicephalus sanguineus ticks on dogs. In this parallel group designed, randomised, single centre, controlled efficacy study, 16 healthy adult dogs were allocated to two groups: 8 dogs were treated with the topical combination on Day 0 and the other 8 dogs served as untreated controls. Each dog was exposed in a crate to 100 I. ricinus (50 females, 50 males) and 50 R. sanguineus (25 males, 25 females) on Days 2, 7, 14, 21 and 28. Ticks were counted in situ at 6 and 12 h after exposure and removed at 24 h after exposure. Frontline Tri-Act(®) was effective (≥90%) against both R. sanguineus and I. ricinus tick infestations at 6, 12 and 24 h after exposure, from 2 to 28 days after treatment. This is the first time that a topical ectoparasiticide has demonstrated a preventive killing effect against these two tick species in 6 h for a full month.© F. Beugnet et al., published by EDP Sciences, 2016.  KEYWORDS:  MeSH Chemical: Acaricides| Drug Combinations| Pyrazoles| Permethrin| fipronil MeSH: | Acaricides/majr/pharmacology/therapeutic use| Administration, Topical| Animals| Dog Diseases/majr/drug therapy/parasitology/prevention &amp; control| Dogs| Drug Combinations| Female| Ixodes/majr/drug effects| Male| Permethrin/majr/pharmacology/therapeutic use| Pyrazoles/majr/pharmacology/therapeutic use| Rhipicephalus sanguineus/majr/drug effects| Tick Infestations/majr/drug therapy/prevention &amp; control/veterinary| Time Factors</t>
  </si>
  <si>
    <t>Beugnet F, Halos L, Liebenberg J, Fourie J</t>
  </si>
  <si>
    <t>In Vitro Detection of Acaricidal Resistance Status of Rhipicephalus (Boophilus) microplus against Commercial Preparation of Deltamethrin, Flumethrin, and Fipronil from North Gujarat, India.</t>
  </si>
  <si>
    <t xml:space="preserve">In Vitro Detection of Acaricidal Resistance Status of Rhipicephalus (Boophilus) microplus against Commercial Preparation of Deltamethrin, Flumethrin, and Fipronil from North Gujarat, India.    ABSTRACT:  Rhipicephalus (Boophilus) microplus is the most common tick species in India infesting cattle and buffaloes and causing significant economic losses to dairy and leather industries by adversely affecting the milk production and quality of hides. A study to evaluate the acaricide resistance status of Rhipicephalus (Boophilus) microplus to deltamethrin, flumethrin, and fipronil was conducted on the samples collected from organized and unorganized farms of North Gujarat state, where treatment failures were reported frequently. Adult Immersion Test (AIT) and Larval Packet Test (LPT) were conducted using field strain for determination of 50 and 95% lethal concentration of deltamethrin, flumethrin, and fipronil. Results obtained by the Adult Immersion Test showed low grade resistance (level I, RF &gt; 5) has been developed against both deltamethrin and fipronil. However, deltamethrin by performing Larval Packet Test showed moderate grade resistance (level II, RF &gt; 25). Larval packet performed by flumethrin also revealed low grade resistance, level I. The data on field status of acaricide resistance from the area with diversified animal genetic resources will be helpful to adopt suitable strategy to overcome the process of development of resistance in ticks.  KEYWORDS: </t>
  </si>
  <si>
    <t>Shyma KP, Gupta JP, Singh V, Patel KK</t>
  </si>
  <si>
    <t>Journal of parasitology research</t>
  </si>
  <si>
    <t>2015</t>
  </si>
  <si>
    <t>506586</t>
  </si>
  <si>
    <t>Ivermectin modulation of pH-sensitive chloride channels in the silkworm larvae of Bombyx mori.</t>
  </si>
  <si>
    <t>Ivermectin modulation of pH-sensitive chloride channels in the silkworm larvae of Bombyx mori.    ABSTRACT:  NOABSTRACT. No abstract found.  KEYWORDS:  MeSH Chemical: Chloride Channels| DNA, Complementary| Insect Proteins| Insecticides| Ivermectin MeSH: | Amino Acid Sequence| Animals| Bombyx/majr/genetics/physiology| Chloride Channels/majr/chemistry/genetics/physiology| DNA, Complementary/genetics| Female| Head| Hydrogen-Ion Concentration| Insect Proteins/majr/chemistry/genetics/physiology| Insecticides/majr/pharmacology| Ivermectin/majr/pharmacology| Larva/genetics/physiology| Molecular Sequence Data| Oocytes/metabolism| Protein Structure, Tertiary| Xenopus laevis Other:Fipronil|Ivermectin|Silkworm larva (Bombyx mori)|Splice variant|pH-gated chloride channel|γ-benzene hexachloride</t>
  </si>
  <si>
    <t>Nakatani Y, Furutani S, Ihara M, Matsuda K</t>
  </si>
  <si>
    <t>126</t>
  </si>
  <si>
    <t>1-5</t>
  </si>
  <si>
    <t>A metabolomic study of fipronil for the anxiety-like behavior in zebrafish larvae at environmentally relevant levels.</t>
  </si>
  <si>
    <t>A metabolomic study of fipronil for the anxiety-like behavior in zebrafish larvae at environmentally relevant levels.    ABSTRACT:  Field residue of fipronil can interfere with the physiological characters of the domesticated fish; thus, lethal dose test and the general biomarker cannot delineate the low-level situation. Manipulating by video track, we observed an anxiety-like behavior including high speed and abnormal photoperiod accommodation after exposure to fipronil at environmental typical dose in zebrafish larvae. Examining the unbiased metabolomic profiles, we found perturbation in several metabolic pathways, including the increased contents of fatty acids and glycerol and the decreased levels of the glycine, serine, and branched amino acid. We presumed that observed enhanced fatty acid utility was in response to increase energy demands caused by anxiety like behavior. Additionally, the body burden of neurotransmitter such as glycine and L-glutamate may concurrently stimulate the swimming behavior. The insight of this study showed that integral perturbation such as metabolism helps us to further understand the risk to aquatic fish at the environmentally relevant levels.Copyright © 2016 Elsevier Ltd. All rights reserved.  KEYWORDS:  MeSH Chemical: Insecticides| Pyrazoles| Water Pollutants, Chemical| fipronil MeSH: | Animals| Anxiety| Behavior, Animal/majr/drug effects| Environment| Insecticides/majr/analysis/metabolism| Larva| Metabolomics| Pyrazoles/majr/analysis/metabolism/toxicity| Water Pollutants, Chemical/majr/metabolism/toxicity| Zebrafish/majr/metabolism Other:Fipronil|Locomotion|Low-level|Metabolomics|Zebrafish</t>
  </si>
  <si>
    <t>Wang C, Qian Y, Zhang X, Chen F, Zhang Q, Li Z, Zhao M</t>
  </si>
  <si>
    <t>211</t>
  </si>
  <si>
    <t>252-8</t>
  </si>
  <si>
    <t>Exposure to fipronil elevates systolic blood pressure and disturbs related biomarkers in plasma of rats.</t>
  </si>
  <si>
    <t>Exposure to fipronil elevates systolic blood pressure and disturbs related biomarkers in plasma of rats.    ABSTRACT:  Recent reports show that fipronil affects non-target organisms, including environmental species populations and potentially humans. We aimed to examine if fipronil exposure affects the systolic blood pressure and related biomarkers. Thus, fipronil was orally administered to rats (30 mg/kg/day) during 15 days (Fipronil group) or physiological solution (Control group). While fipronil increased significantly the systolic blood pressure (158±13 mmHg), no significant changes were observed in Control group (127±3 mmHg). Significantly, higher levels of fipronil in plasma were observed in Fipronil group (0.46±0.09 μg/mL versus 0.17±0.11 μg/mL in Control group). Fipronil group showed lower weight gain compared with Control group. While fipronil resulted in higher concentrations of endothelin-1, reduced antioxidant capacity and lower levels of circulating matrix metalloproteinase 2 (MMP-2) and nitric oxide (NO) metabolites compared to Control group, no alteration was observed in serum biomarkers of renal and hepatic/biliary functional abilities. Therefore, this study suggests that fipronil causes hypertension and endothelin-1 plays a key role. Also, these findings suggest that reductions of both MMP-2 and NO may contribute with the elevation of systolic blood pressure observed with fipronil.Copyright © 2015 Elsevier B.V. All rights reserved.  KEYWORDS:  MeSH Chemical: Biomarkers| Insecticides| Pyrazoles| Nitric Oxide| Matrix Metalloproteinase 2| fipronil MeSH: | Animals| Biomarkers/majr/blood| Blood Pressure/majr/drug effects| Insecticides/majr/toxicity| Male| Matrix Metalloproteinase 2/blood| Nitric Oxide/blood| Pyrazoles/majr/toxicity| Rats Other:Biomarkers|Cardiovascular toxicity|Fipronil|Pesticides</t>
  </si>
  <si>
    <t>Chaguri JL, Godinho AF, Horta DF, Gonçalves-Rizzi VH, Possomato-Vieira JS, Nascimento RA, Dias-Junior CA</t>
  </si>
  <si>
    <t>63-8</t>
  </si>
  <si>
    <t>Multimedia screening of contaminants of emerging concern (CECS) in coastal urban watersheds in southern California (USA).</t>
  </si>
  <si>
    <t>Maruya KA, Dodder NG, Sengupta A, Smith DJ, Lyons JM, Heil AT, Drewes JE</t>
  </si>
  <si>
    <t>1986-94</t>
  </si>
  <si>
    <t>Degradation of fipronil by Stenotrophomonas acidaminiphila isolated from rhizospheric soil of Zea mays.</t>
  </si>
  <si>
    <t>Degradation of fipronil by Stenotrophomonas acidaminiphila isolated from rhizospheric soil of Zea mays.    ABSTRACT:  Fipronil is a widely used insecticide in agriculture and can cause potential health hazards to non-target soil invertebrates and nearby aquatic systems. In the present study, a fipronil degrading bacterium was isolated from fipronil contaminated soil, i.e. rhizospheric zone of Zea mays. Morphological, biochemical and molecular characterization of strain indicated that it clearly belongs to Stenotrophomonas acidaminiphila (accession no. KJ396942). A three-factor Box-Behnken experimental design combined with response surface modeling was employed to predict the optimum conditions for fipronil degradation. The optimum pH, temperature and total inocula biomass for the degradation of fipronil were 7.5, 35 °C and 0.175 g L-1, respectively. The bacterial strain was able to metabolize 25 mg L-1 fipronil with 86.14 % degradation in Dorn's broth medium under optimum conditions. Metabolites formed as a result of fipronil degradation were characterized with gas liquid chromatograph. A novel fipronil degradation pathway was proposed for S. acidaminiphila on the basis of metabolites formed. Non-sterilized soil inoculated with S. acidaminiphila was found to follow first order kinetics with a rate constant of 0.046 d-1. Fipronil sulfone, sulfide and amide were formed as the metabolites and were degraded below the quantifiable limit after 90 days of time period. Given the high fipronil degradation observed in the present study, S. acidaminiphila may have potential for use in bioremediation of fipronil contaminated soils.  KEYWORDS:  Other:Bioremediation|Box–Behnken design|Fipronil|Soil|Stenotrophomonas acidaminiphila</t>
  </si>
  <si>
    <t>Uniyal S, Paliwal R, Sharma RK, Rai JPN</t>
  </si>
  <si>
    <t>The Optic Lobes Regulate Circadian Rhythms of Olfactory Learning and Memory in the Cockroach.</t>
  </si>
  <si>
    <t>Lubinski AJ, Page TL</t>
  </si>
  <si>
    <t>Journal of biological rhythms</t>
  </si>
  <si>
    <t>161-9</t>
  </si>
  <si>
    <t>Mass Balance of Fipronil and Total Toxicity of Fipronil-Related Compounds in Process Streams during Conventional Wastewater and Wetland Treatment.</t>
  </si>
  <si>
    <t>Mass Balance of Fipronil and Total Toxicity of Fipronil-Related Compounds in Process Streams during Conventional Wastewater and Wetland Treatment.    ABSTRACT:  Attenuation of the pesticide fipronil and its major degradates was determined during conventional wastewater treatment and wetland treatment. Analysis of flow-weighted composite samples by liquid and gas chromatography-tandem mass spectrometry showed fipronil occurrence at 12-31 ng/L in raw sewage, primary effluent, secondary effluent, chlorinated effluent, and wetland effluent. Mean daily loads of total fipronil related compounds in raw sewage and in plant effluent after chlorination were statistically indistinguishable (p = 0.29; n = 10), whereas fipronil itself was partially removed (25 ± 3%; p = 0.00025; n = 10); the associated loss in toxicity was balanced by the formation of toxic fipronil degradates, showing conventional treatment to be unfit for reducing overall toxicity. In contrast to these findings at the municipal wastewater treatment, both parental fipronil and the sum of fipronil-related compounds were removed in the wetland with efficiencies of 44 ± 4% and 47 ± 13%, respectively. Total fipronil concentrations in plant effluent (28 ± 6 ng/L as fipronil) were within an order of magnitude of half-maximal effective concentrations (EC50) of nontarget invertebrates. This is the first systematic assessment of the fate of fipronil and its major degradates during full-scale conventional wastewater and constructed wetland treatment.  KEYWORDS:  MeSH Chemical: Pesticides| Pyrazoles| Sewage| Waste Water| Water Pollutants, Chemical| fipronil MeSH: | Animals| Invertebrates| Pesticides/analysis| Pyrazoles/majr/analysis/chemistry/toxicity| Sewage/chemistry| Waste Water/analysis| Water Pollutants, Chemical/majr/analysis| Water Purification/majr/methods| Wetlands/majr</t>
  </si>
  <si>
    <t>Supowit SD, Sadaria AM, Reyes EJ, Halden RU</t>
  </si>
  <si>
    <t>1519-26</t>
  </si>
  <si>
    <t>Insecticide resistance and diminished secondary kill performance of bait formulations against German cockroaches (Dictyoptera: Blattellidae).</t>
  </si>
  <si>
    <t>Ko AE, Bieman DN, Schal C, Silverman J</t>
  </si>
  <si>
    <t>1778-84</t>
  </si>
  <si>
    <t>Population Susceptibility to Insecticides and the Development of Resistance in Bactrocera cucurbitae (Diptera: Tephritidae).</t>
  </si>
  <si>
    <t>Population Susceptibility to Insecticides and the Development of Resistance in Bactrocera cucurbitae (Diptera: Tephritidae).    ABSTRACT:  Excessive insecticide applications are commonly used to manage Bactrocera cucurbitae Coquillett in China. Resistance status, resistance development trends, and patterns of cross-resistance to insecticides in B. cucurbitae were investigated. Among 21 populations from Hainan Island, two populations expressed high resistance to beta-cypermethrin; seven, eight, and ten populations expressed intermediate resistance to spinosad, avermectin, and beta-cypermethrin, respectively; four, six, one, five, and four populations expressed low resistance to spinosad, avermectin, trichlorfon, beta-cypermethrin, and fipronil, respectively; and the remaining populations exhibited either minor resistance or remained susceptible. Analysis of the development of resistance showed that resistance levels to spinosad and avermectin were readily developed at 40.68- and 18.42-fold, respectively, and a spinosad-resistant strain also showed relative positive cross-resistance to beta-cypermethrin and avermectin, but relative negative cross-resistance to trichlorfon and fipronil. These data represent the most extensive survey of insecticide resistance conducted in B. cucurbitae to date, and the level of insecticide resistance in populations should be considered when designing control measures and pest management strategies.  KEYWORDS:  MeSH Chemical: Insecticides MeSH: | Animals| Insecticide Resistance/majr/genetics| Insecticides/majr| Selection, Genetic| Tephritidae/majr/genetics</t>
  </si>
  <si>
    <t>Jin T, Lin YY, Jin QA, Wen HB, Peng ZQ</t>
  </si>
  <si>
    <t>837-46</t>
  </si>
  <si>
    <t>A Locomotor Deficit Induced by Sublethal Doses of Pyrethroid and Neonicotinoid Insecticides in the Honeybee Apis mellifera.</t>
  </si>
  <si>
    <t>Charreton M, Decourtye A, Henry M, Rodet G, Sandoz JC, Charnet P, Collet C</t>
  </si>
  <si>
    <t>e0144879</t>
  </si>
  <si>
    <t>A novel combination of fipronil and permethrin (Frontline Tri-Act®/Frontect®) reduces risk of transmission of Babesia canis by Dermacentor reticulatus and of Ehrlichia canis by Rhipicephalus sanguineus ticks to dogs.</t>
  </si>
  <si>
    <t>Jongejan F, de Vos C, Fourie JJ, Beugnet F</t>
  </si>
  <si>
    <t>602</t>
  </si>
  <si>
    <t>Using a Lethality Index to Assess Susceptibility of Tribolium confusum and Oryzaephilus surinamensis to Insecticides.</t>
  </si>
  <si>
    <t>Agrafioti P, Athanassiou CG, Vassilakos TN, Vlontzos G, Arthur FH</t>
  </si>
  <si>
    <t>e0142044</t>
  </si>
  <si>
    <t>Erratum to: A review of the direct and indirect effects of neonicotinoids and fipronil on vertebrate wildlife.</t>
  </si>
  <si>
    <t xml:space="preserve">Erratum to: A review of the direct and indirect effects of neonicotinoids and fipronil on vertebrate wildlife.    ABSTRACT:  NOABSTRACT. No abstract found.  KEYWORDS: </t>
  </si>
  <si>
    <t>Gibbons D, Morrissey C, Mineau P</t>
  </si>
  <si>
    <t>947</t>
  </si>
  <si>
    <t>Comparative Effectiveness of Insecticides for Use Against the House Fly (Diptera: Muscidae): Determination of Resistance Levels on a Malaysian Poultry Farm.</t>
  </si>
  <si>
    <t>Ong SQ, Ahmad H, Jaal Z, Rus AC</t>
  </si>
  <si>
    <t>352-9</t>
  </si>
  <si>
    <t>Exposure of native bees foraging in an agricultural landscape to current-use pesticides.</t>
  </si>
  <si>
    <t>Hladik ML, Vandever M, Smalling KL</t>
  </si>
  <si>
    <t>542</t>
  </si>
  <si>
    <t>469-77</t>
  </si>
  <si>
    <t>Dominant Inheritance of Field-Evolved Resistance to Fipronil in Plutella xylostella (Lepidoptera: Plutellidae).</t>
  </si>
  <si>
    <t>Wang X, Wu S, Gao W, Wu Y</t>
  </si>
  <si>
    <t>334-8</t>
  </si>
  <si>
    <t>Insecticide Transfer Efficiency and Lethal Load in Argentine Ants.</t>
  </si>
  <si>
    <t>Insecticide Transfer Efficiency and Lethal Load in Argentine Ants.    ABSTRACT:  Trophallaxis between individual worker ants and the toxicant load in dead and live Argentine ants (Linepithema humile) in colonies exposed to fipronil and hydramethylnon experimental baits were examined using accelerator mass spectrometry (AMS). About 50% of the content of the crop containing trace levels of 14C-sucrose, 14C-hydramethylnon, and 14C-fipronil was shared between single donor and recipient ants. Dead workers and queens contained significantly more hydramethylnon (122.7 and 22.4 amol/μg ant, respectively) than did live workers and queens (96.3 and 10.4 amol/μg ant, respectively). Dead workers had significantly more fipronil (420.3 amol/μg ant) than did live workers (208.5 amol/μg ant), but dead and live queens had equal fipronil levels (59.5 and 54.3 amol/μg ant, respectively). The distribution of fipronil differed within the bodies of dead and live queens; the highest amounts of fipronil were recovered in the thorax of dead queens whereas live queens had the highest levels in the head. Resurgence of polygynous ant colonies treated with hydramethylnon baits may be explained by queen survival resulting from sublethal doses due to a slowing of trophallaxis throughout the colony. Bait strategies and dose levels for controlling insect pests need to be based on the specific toxicant properties and trophic strategies for targeting the entire colony.  KEYWORDS:  Other:AMS|Argentine ant|Linepithema humile|accelerator mass spectrometry|fipronil|hydramethylnon|resurgence|trophallaxis</t>
  </si>
  <si>
    <t>Hooper-Bui LM, Kwok ES, Buchholz BA, Rust MK, Eastmond DA, Vogel JS</t>
  </si>
  <si>
    <t>Nuclear instruments &amp; methods in physics research. Section B, Beam interactions with materials and atoms</t>
  </si>
  <si>
    <t>361</t>
  </si>
  <si>
    <t>665-669</t>
  </si>
  <si>
    <t>Monitoring of Resistance to New Chemistry Insecticides in Spodoptera litura (Lepidoptera: Noctuidae) in Pakistan.</t>
  </si>
  <si>
    <t>Monitoring of Resistance to New Chemistry Insecticides in Spodoptera litura (Lepidoptera: Noctuidae) in Pakistan.    ABSTRACT:  The armyworm Spodoptera litura (F.) is a very serious pest of many crops, vegetables, and ornamentals. Due to persistent application of insecticides, this pest has developed resistance to conventional as well as new chemistries. The present studies investigated the level of resistance to new chemistry insecticides, having novel modes of action, in the Pakistani field populations of S. litura during 1997-2010 by using a leaf-dip bioassay. Generally, a low to moderate resistance was recorded to indoxacarb, abamectin, fipronil, and methoxyfenozide; along with a very low resistance to spinosad. Resistance to emamectin benzoate, chlorfenapyr, and lufenuron was none or very low, in spite of their intensive use against S. litura. The insecticides, showing no or very low resistance, can be used in rotation in conjunction with other integrated pest management tactics to manage insecticide resistance in S. litura. © The Authors 2015. Published by Oxford University Press on behalf of Entomological Society of America. All rights reserved. For Permissions, please email: journals.permissions@oup.com.  KEYWORDS:  MeSH Chemical: Insecticides MeSH: | Animals| Insecticide Resistance/majr| Insecticides/majr| Larva/growth &amp; development| Lethal Dose 50| Pakistan| Spodoptera/majr/growth &amp; development Other:Pakistan|Spodoptera litura|new insecticide|resistance</t>
  </si>
  <si>
    <t>Ahmad M, Mehmood R</t>
  </si>
  <si>
    <t>1279-88</t>
  </si>
  <si>
    <t>Resistance to Conventional and New Insecticides in House Flies (Diptera: Muscidae) From Poultry Facilities in Punjab, Pakistan.</t>
  </si>
  <si>
    <t>Abbas N, Ali Shad S, Ismail M</t>
  </si>
  <si>
    <t>826-33</t>
  </si>
  <si>
    <t>Practical Pest Management Strategies to Reduce Pesticide Runoff for Argentine Ant (Hymenoptera: Formicidae) Control.</t>
  </si>
  <si>
    <t>Greenberg L, Rust MK, Richards J, Wu X, Kabashima J, Wilen C, Gan J, Choe DH</t>
  </si>
  <si>
    <t>2147-53</t>
  </si>
  <si>
    <t>Repellency and acaricidal efficacy of a new combination of fipronil and permethrin against Ixodes ricinus and Rhipicephalus sanguineus ticks on dogs.</t>
  </si>
  <si>
    <t>Dumont P, Liebenberg J, Beugnet F, Fankhauser B</t>
  </si>
  <si>
    <t>Sorption-desorption of fipronil in some soils, as influenced by ionic strength, pH and temperature.</t>
  </si>
  <si>
    <t>Singh A, Srivastava A, Srivastava PC</t>
  </si>
  <si>
    <t>1491-9</t>
  </si>
  <si>
    <t>Firpronil induced spermotoxicity is associated with oxidative stress, DNA damage and apoptosis in male rats.</t>
  </si>
  <si>
    <t>Firpronil induced spermotoxicity is associated with oxidative stress, DNA damage and apoptosis in male rats.    ABSTRACT:  The present study is the first to investigate and characterize the fipronil (FPN) induced spermotoxicity in male rats. Male rats were orally given FPN (2.5, 5.0 and 10 mg/kg/day) for 4 weeks. Epididymal sperms were collected and remaining testis was processed for histopathological evaluation. FPN treatment significantly reduced sperm density, motility, viability and per cent intact acrosome along with concomitant increase in spermatozoa abnormalities. Exposure of FPN caused excessive ROS generation, lipid peroxidation and alteration in mitochondrial membrane potential leading to apoptosis of spermatozoa in dose dependent manner. Higher FPN doses (5 and 10 mg/kg) markedly reduced the DNA integrity of spermatozoa. These data suggest that FPN causes male reproductive toxicity through oxidative stress induced DNA damage and apoptosis of spermatozoa.Copyright © 2015 Elsevier Inc. All rights reserved.  KEYWORDS:  MeSH Chemical: Chromatin| Pyrazoles| Reactive Oxygen Species| fipronil MeSH: | Animals| Apoptosis/majr/drug effects| Chromatin/metabolism| Comet Assay| DNA Damage/majr/drug effects| Lipid Peroxidation/drug effects| Male| Membrane Potential, Mitochondrial/drug effects| Oxidative Stress/majr/drug effects| Pyrazoles/majr/pharmacology| Rats| Reactive Oxygen Species/metabolism| Spermatozoa/majr/drug effects/metabolism| Testis/drug effects/metabolism Other:DNA damage|Fipronil|Lipid peroxidation|Reactive oxygen species|Spermotoxicity</t>
  </si>
  <si>
    <t>Khan S, Jan MH, Kumar D, Telang AG</t>
  </si>
  <si>
    <t>124</t>
  </si>
  <si>
    <t>8-14</t>
  </si>
  <si>
    <t>Establishing the discriminating concentration for permethrin and fipronil resistance in Rhipicephalus sanguineus (Latreille) (Acari: Ixodidae), the brown dog tick.</t>
  </si>
  <si>
    <t>Eiden AL, Kaufman PE, Allan SA, Oi F</t>
  </si>
  <si>
    <t>1390-5</t>
  </si>
  <si>
    <t>Assessing the Risk of Fipronil-Treated Seed Ingestion and Associated Adverse Effects in the Red-Legged Partridge.</t>
  </si>
  <si>
    <t>Assessing the Risk of Fipronil-Treated Seed Ingestion and Associated Adverse Effects in the Red-Legged Partridge.    ABSTRACT:  Fipronil is an insecticide commonly used in agriculture, but there are growing concerns over its environmental impacts (e.g., harmful effects on pollinators). Fipronil-treated seed ingestion might threaten granivorous farmland birds, in particular, Gallinaceous birds that are particularly sensitive to this insecticide. We report here on exposure risk and effects in a game bird of high socioeconomic importance, the red-legged partridge (Alectoris rufa). We fed captive birds with untreated maize (controls) or with a mixture of untreated-treated maize (ratio 80:20; exposed birds) during 10 days at the beginning of the breeding period (n = 12 pairs in each group). We first show that exposed partridges did not reject treated seeds but reduced food intake and lost body condition. We further studied the effects of treated seed ingestion on adult survival, oxidative balance, plasma biochemistry, carotenoid-based coloration, cellular immune response, steroid hormone levels, and reproduction. Fipronil exposure altered blood biochemistry and sexual hormone levels and reduced cellular immune response, antioxidant levels, and carotenoid-based coloration. Exposed pairs also had reduced egg fecundation rate and produced eggs with fewer antioxidants and offspring that had reduced cellular immune response. These negative effects on adult partridges, their reproductive performance, and offspring quality highlight that fipronil-treated seed ingestion is a significant threat to wild birds.  KEYWORDS:  MeSH Chemical: Insecticides| Pyrazoles| fipronil MeSH: | Animals| Breeding| Clutch Size| Ecotoxicology/methods| Environmental Exposure/adverse effects| Female| Galliformes/majr/blood/physiology| Insecticides/administration &amp; dosage/toxicity| Male| Mortality| Oxidative Stress/drug effects| Pyrazoles/majr/administration &amp; dosage/toxicity| Reproduction/drug effects| Seeds/majr| Zea mays</t>
  </si>
  <si>
    <t>Lopez-Antia A, Ortiz-Santaliestra ME, Camarero PR, Mougeot F, Mateo R</t>
  </si>
  <si>
    <t>13649-57</t>
  </si>
  <si>
    <t>Postapplication Fipronil Exposure Following Use on Pets.</t>
  </si>
  <si>
    <t>Postapplication Fipronil Exposure Following Use on Pets.    ABSTRACT:  Fipronil is a pyrazole acaricide and insecticide that may be used for insect, tick, lice, and mite control on pets. Residents' short-term and long-term postapplication exposures to fipronil, including secondary environmental exposures, were estimated using data from chemical-specific studies. Estimations of acute (24-h) absorbed doses for residents were based on U.S. Environmental Protection Agency (U.S. EPA) 2012 standard operating procedures (SOPs) for postapplication exposure. Chronic exposures were not estimated for residential use, as continuous, long-term application activities were unlikely to occur. Estimated acute postapplication absorbed doses were as high as 0.56 μg/kg-d for toddlers (1-2 yr) in households with treated pets based on current U.S. EPA SOPs. Acute toddler exposures estimated here were fivefold larger in comparison to adults. Secondary exposure from the household environment in which a treated pet lives that is not from contacting the pet, but from contacting the house interior to which pet residues were transferred, was estimated based on monitoring socks worn by pet owners. These secondary exposures were more than an order of magnitude lower than those estimated from contacting the pet and thus may be considered negligible.  KEYWORDS:  MeSH Chemical: Insecticides| Pesticide Residues| Pyrazoles| fipronil MeSH: | Administration, Cutaneous| Administration, Oral| Adult| Animals| Cats| Child, Preschool| Dogs| Environmental Exposure/majr/adverse effects/statistics &amp; numerical data| Family Characteristics| Female| Humans| Infant| Insecticides/majr/administration &amp; dosage/adverse effects| Male| Pesticide Residues/adverse effects| Pets/majr| Pyrazoles/majr/administration &amp; dosage/adverse effects</t>
  </si>
  <si>
    <t>Cochran RC, Yu L, Krieger RI, Ross JH</t>
  </si>
  <si>
    <t>78</t>
  </si>
  <si>
    <t>1217-26</t>
  </si>
  <si>
    <t>Monitoring Fipronil and Degradates in California Surface Waters, 2008-2013.</t>
  </si>
  <si>
    <t xml:space="preserve">Monitoring Fipronil and Degradates in California Surface Waters, 2008-2013.    ABSTRACT:  The phenylpyrazole insecticide fipronil has become a popular replacement pest management tool as organophosphorus insecticides have been phased out for residential use and pyrethroids have come under scrutiny as a surface water contaminant. There has been an increasing concern of offsite transport of fipronil to surrounding surface waters and a corresponding increase in potential toxicity to aquatic organisms. The California Department of Pesticide Regulation Environmental Monitoring Program has collected over 500 urban surface water samples throughout California since 2008 to determine the presence and concentrations of fipronil and five degradate products. Statewide, fipronil was detected at high frequency (49%), as were the sulfone (43%) and desulfinyl (33%) degradates. Data collected at long-term monitoring stations indicate higher concentrations in southern California, corresponding to a higher use pattern in the region. There is a clear pattern of increased transport of fipronil with higher flow associated with rain events. However, the lack of seasonality effects on degradates' concentrations suggest a constant source of fipronil with a corresponding lag time of transport to surface waters during the dry season. Receiving waters had a diluting effect on concentrations; however, a significant proportion (46%) of receiving water samples had associated fipronil concentrations above USEPA aquatic life chronic benchmark values. Total mass loading estimates from a long-term monitoring site suggest that the annual fipronil loading is greater in the dry season than during storm events. This could have implications for future mitigation efforts because most runoff during this period was generated from irrigation and outdoor residential use. Copyright © by the American Society of Agronomy, Crop Science Society of America, and Soil Science Society of America, Inc.  KEYWORDS: </t>
  </si>
  <si>
    <t>Budd R, Ensminger M, Wang D, Goh KS</t>
  </si>
  <si>
    <t>Journal of environmental quality</t>
  </si>
  <si>
    <t>1233-40</t>
  </si>
  <si>
    <t>Genome wide discovery of long intergenic non-coding RNAs in Diamondback moth (Plutella xylostella) and their expression in insecticide resistant strains.</t>
  </si>
  <si>
    <t>Etebari K, Furlong MJ, Asgari S</t>
  </si>
  <si>
    <t>14642</t>
  </si>
  <si>
    <t>Prenatal exposure to fipronil disturbs maternal aggressive behavior in rats.</t>
  </si>
  <si>
    <t>Prenatal exposure to fipronil disturbs maternal aggressive behavior in rats.    ABSTRACT:  Fipronil is a second-generation phenilpirazol insecticide that is used in agriculture and veterinary medicine for protection against fleas, ticks, ants, cockroaches and other pests. The insecticide blocks the chloride channels associated with the gamma-amino butyric acid (GABA) receptors in mammals and the chloride channels associated with the GABA and glutamate (Glu) receptors in insects. In this study, a commercial product that contain fipronil was administered orally to pregnant Wistar rats at dosages of 0.1, 1.0, or 10.0 mg/kg/day from the 6th to the 20th day of gestation (n=10 pregnant rats/group) to assess the maternal aggressive behavior (on the 6th day of lactation) and the histopathology of the ovaries and the thyroid gland of the dams. The fipronil caused a disturbance of the maternal aggressive behavior; the aggression against a male intruder decreased at the lowest dose, but increased at the highest dose, without interfering with the general activity of the dams in the open field test at either dose. The histopathological analysis revealed no abnormalities. The differential effects of fipronil behavior appeared to be a consequence of actions on central nervous system areas that control these behaviors. We suggest that fipronil acts on maternal aggressive behavior through GABA(A) receptors.  KEYWORDS:  MeSH Chemical: Insecticides| Pyrazoles| fipronil MeSH: | Administration, Oral| Aggression/majr/drug effects| Animals| Dose-Response Relationship, Drug| Female| Insecticides/majr/toxicity| Male| Maternal Behavior/majr/drug effects| Motor Activity/drug effects| Pregnancy| Prenatal Exposure Delayed Effects/majr/psychology| Pyrazoles/majr/toxicity| Rats| Rats, Wistar Other:Fipronil|Maternal aggressive behavior|Toxicity</t>
  </si>
  <si>
    <t>Magalhães JZ, Udo MS, Sánchez-Sarmiento AM, Carvalho MP, Bernardi MM, Spinosa HS</t>
  </si>
  <si>
    <t>11-6</t>
  </si>
  <si>
    <t>Treatment of livestock with systemic insecticides for control of Anopheles arabiensis in western Kenya.</t>
  </si>
  <si>
    <t>Poché RM, Burruss D, Polyakova L, Poché DM, Garlapati RB</t>
  </si>
  <si>
    <t>351</t>
  </si>
  <si>
    <t>Transcriptome Analysis of the Central and Peripheral Nervous Systems of the Spider Cupiennius salei Reveals Multiple Putative Cys-Loop Ligand Gated Ion Channel Subunits and an Acetylcholine Binding Protein.</t>
  </si>
  <si>
    <t>Torkkeli PH, Liu H, French AS</t>
  </si>
  <si>
    <t>e0138068</t>
  </si>
  <si>
    <t>Broflanilide: A meta-diamide insecticide with a novel mode of action.</t>
  </si>
  <si>
    <t>Broflanilide: A meta-diamide insecticide with a novel mode of action.    ABSTRACT:  Broflanilide is a meta-diamide [3-benzamido-N-(4-(perfluoropropan-2-yl)phenyl)benzamide] that exhibits high larvicidal activity against Spodoptera litura. It has been suggested that broflanilide is metabolized to desmethyl-broflanilide and that it acts as a noncompetitive resistant-to-dieldrin (RDL) γ-aminobutyric acid (GABA) receptor antagonist. The binding site of desmethyl-broflanilide was demonstrated to be distinct from that of conventional noncompetitive antagonists such as fipronil. It has been proposed that the site of action for desmethyl-broflanilide is close to G336 in the M3 region of the Drosophila RDL GABA receptor. However, although the site of action for desmethyl-broflanilide appears to overlap with that of macrocyclic lactones, different modes of actions have been demonstrated for desmethyl-broflanilide and the macrocyclic lactones. The mechanisms underlying the high selectivity of meta-diamides are also discussed in this review. Broflanilide is expected to become a prominent insecticide because it is effective against pests with resistance to cyclodienes and fipronil. Copyright © 2015 Elsevier Ltd. All rights reserved.  KEYWORDS:  MeSH Chemical: 3-benzamido-N-(4-(perfluoropropan-2-yl)phenyl)benzamide| Benzamides| GABA Antagonists| Insecticides| Receptors, GABA MeSH: | Animals| Benzamides/majr/chemistry/pharmacology| Dose-Response Relationship, Drug| GABA Antagonists/majr/chemistry/pharmacology| Insecticides/majr/chemistry/pharmacology| Molecular Structure| Receptors, GABA/majr/metabolism| Spodoptera/majr/drug effects/metabolism| Structure-Activity Relationship Other:A2′ mutation|Broflanilide|Insecticide|Meta-diamide|RDL GABA receptor</t>
  </si>
  <si>
    <t>372-7</t>
  </si>
  <si>
    <t>Development, validation, and application of a method for the GC-MS analysis of fipronil and three of its degradation products in samples of water, soil, and sediment.</t>
  </si>
  <si>
    <t>de Toffoli AL, da Mata K, Bisinoti MC, Moreira AB</t>
  </si>
  <si>
    <t>753-9</t>
  </si>
  <si>
    <t>Detection of Permethrin Resistance and Fipronil Tolerance in Rhipicephalus sanguineus (Acari: Ixodidae) in the United States.</t>
  </si>
  <si>
    <t>Detection of Permethrin Resistance and Fipronil Tolerance in Rhipicephalus sanguineus (Acari: Ixodidae) in the United States.    ABSTRACT:  Permethrin is a commonly used acaricide for tick control on domestic animals and in residential environments, while fipronil use is restricted to on-animal treatment. Following widespread reports of permethrin and fipronil application failures to control indoor infestations of Rhipicephalus sanguineus (Latreille), the brown dog tick, 31 tick populations were obtained from Florida and Texas for acaricide resistance screening. These field-collected ticks from kennels and residential facilities were challenged with technical grade permethrin and fipronil to create dose response curves that were compared with an acaricide-susceptible strain. Permethrin resistance was successfully screened in nine populations, all of which were resistant or highly resistant. Tick susceptibility to fipronil was conducted on four populations, which were found to be tolerant, with resistance ratios below 10. This is the first documentation of R. sanguineus permethrin resistance and fipronil tolerance in the United States. Potential causes of resistance development and recommendations on future brown dog tick control management plans are discussed. © The Authors 2015. Published by Oxford University Press on behalf of Entomological Society of America. All rights reserved. For Permissions, please email: journals.permissions@oup.com.  KEYWORDS:  MeSH Chemical: Acaricides| Pyrazoles| Permethrin| fipronil MeSH: | Acaricides/majr| Animals| Florida| Larva/growth &amp; development| Permethrin/majr| Pyrazoles/majr| Rhipicephalus sanguineus/majr/growth &amp; development| Texas Other:acaricide resistance|brown dog tick|fipronil|permethrin</t>
  </si>
  <si>
    <t>Eiden AL, Kaufman PE, Oi FM, Allan SA, Miller RJ</t>
  </si>
  <si>
    <t>429-36</t>
  </si>
  <si>
    <t>Use of Insecticide Delivery Tubes for Controlling Rodent-Associated Fleas in a Plague Endemic Region of West Nile, Uganda.</t>
  </si>
  <si>
    <t>Use of Insecticide Delivery Tubes for Controlling Rodent-Associated Fleas in a Plague Endemic Region of West Nile, Uganda.    ABSTRACT:  Plague is a primarily flea-borne rodent-associated zoonosis that is often fatal in humans. Our study focused on the plague-endemic West Nile region of Uganda where affordable means for the prevention of human plague are currently lacking. Traditional hut construction and food storage practices hinder rodent exclusion efforts, and emphasize the need for an inexpensive but effective host-targeted approach for controlling fleas within the domestic environment. Here we demonstrate the ability of an insecticide delivery tube that is made from inexpensive locally available materials to reduce fleas on domestic rodents. Unbaited tubes were treated with either an insecticide alone (fipronil) or in conjunction with an insect growth regulator [(S)-methoprene], and placed along natural rodent runways within participant huts. Performance was similar for both treatments throughout the course of the study, and showed significant reductions in the proportion of infested rodents relative to controls for at least 100 d posttreatment. © 2014 Entomological Society of America.  KEYWORDS:  MeSH Chemical: Insecticides| Pyrazoles| Methoprene| fipronil MeSH: | Animals| Housing| Insect Vectors/majr| Insecticides/majr/administration &amp; dosage| Methoprene/administration &amp; dosage| Plague/majr/prevention &amp; control/transmission| Pyrazoles/majr/administration &amp; dosage| Rats/majr/parasitology| Siphonaptera/majr| Uganda Other:Uganda|Yersinia pestis|flea control|plague|topical insecticide</t>
  </si>
  <si>
    <t>Boegler KA, Atiku LA, Mpanga JT, Clark RJ, Delorey MJ, Gage KL, Eisen RJ</t>
  </si>
  <si>
    <t>1254-63</t>
  </si>
  <si>
    <t>Behavioral Effects and Tunneling Responses of Eastern Subterranean Termites (Isoptera: Rhinotermitidae) Exposed to Chlorantraniliprole-Treated Soils.</t>
  </si>
  <si>
    <t>Saran RK, Ziegler M, Kudlie S, Harrison D, Leva DM, Scherer C, Coffelt MA</t>
  </si>
  <si>
    <t>1878-89</t>
  </si>
  <si>
    <t>The neonicotinoid imidacloprid, and the pyrethroid deltamethrin, are antagonists of the insect Rdl GABA receptor.</t>
  </si>
  <si>
    <t>Taylor-Wells J, Brooke BD, Bermudez I, Jones AK</t>
  </si>
  <si>
    <t>Journal of neurochemistry</t>
  </si>
  <si>
    <t>135</t>
  </si>
  <si>
    <t>705-13</t>
  </si>
  <si>
    <t>Evaluation of genotoxicity using automated detection of γH2AX in metabolically competent HepaRG cells.</t>
  </si>
  <si>
    <t>Quesnot N, Rondel K, Audebert M, Martinais S, Glaise D, Morel F, Loyer P, Robin MA</t>
  </si>
  <si>
    <t>Mutagenesis</t>
  </si>
  <si>
    <t>43-50</t>
  </si>
  <si>
    <t>Simulating the fate and transport of nursery-box-applied pesticide in rice paddy fields.</t>
  </si>
  <si>
    <t>Simulating the fate and transport of nursery-box-applied pesticide in rice paddy fields.    ABSTRACT:  The Pesticide Concentration in a Paddy Field model (PCPF-1) was modified by adding a root zone compartment to simulate nursery-box-applied (NB-applied) pesticide. The PCPF-NB model was validated for predicting the concentrations of NB-applied fipronil and imidacloprid in rice paddy fields using two treatment methods: before transplanting (BT) and at sowing (AS). Uncertainty and sensitivity analyses were used to evaluate the robustness of the concentrations predicted by the model.The hourly predicted concentrations of imidacloprid and fipronil were accurate in both paddy water and 1 cm deep paddy soil. The coefficient of determination and Nash-Sutcliffe model efficiency were greater than 0.87 and 0.60 respectively. The 95th percentiles of the predicted concentrations of fipronil and imidacloprid indicated that the influence of input uncertainty was minor in paddy water but important in paddy soil. The pesticide deposition rate and the desorption rate from the root zone were identified to be the major contributors to the variation in the predicted concentrations in paddy water and soil.The PCPF-NB model was validated for predicting the fate and transport of NB-applied fipronil and imidacloprid using the BT and AS treatment methods. © 2015 Society of Chemical Industry.© 2015 Society of Chemical Industry.  KEYWORDS:  MeSH Chemical: Imidazoles| Insecticides| Neonicotinoids| Nitro Compounds| Pyrazoles| Soil| Water| imidacloprid| fipronil MeSH: | Crop Protection/majr/instrumentation/methods| Imidazoles/administration &amp; dosage/analysis| Insecticides/majr/administration &amp; dosage/analysis| Models, Theoretical| Neonicotinoids| Nitro Compounds/administration &amp; dosage/analysis| Oryza/majr| Pyrazoles/administration &amp; dosage/analysis| Rhizosphere| Soil/chemistry| Water/analysis Other:PCPF-1|insecticide|nursery box|rice paddy</t>
  </si>
  <si>
    <t>Boulange J, Thuyet DQ, Jaikaew P, Watanabe H</t>
  </si>
  <si>
    <t>1178-86</t>
  </si>
  <si>
    <t>The dissipation of fipronil, chlorpyrifos, fosthiazate and ethoprophos in soils from potato monoculture areas: first evidence for the enhanced biodegradation of fosthiazate.</t>
  </si>
  <si>
    <t>Papadopoulou ES, Lagos S, Spentza F, Vidiadakis E, Karas PA, Klitsinaris T, Karpouzas DG</t>
  </si>
  <si>
    <t>1040-50</t>
  </si>
  <si>
    <t>Development of an Immunoassay for the Detection of the Phenylpyrazole Insecticide Fipronil.</t>
  </si>
  <si>
    <t>Development of an Immunoassay for the Detection of the Phenylpyrazole Insecticide Fipronil.    ABSTRACT:  Phenylpyrazole insecticides such as fipronil have been used as replacements for organophosphates. The wide application of fipronil raises concern about environmental contamination and risk for fish, birds, and other nontargeted beings as well as human health. A sensitive, competitive indirect heterologous enzyme-linked immunosorbent assay (ELISA) was developed. Antibodies with different specificities to fipronil and its metabolites were produced. Two ELISAs having IC50 values of 0.58 ± 0.06 and 2.6 ± 0.4 ng/mL were developed. Design of different haptens and coating antigens resulted in two assays with distinct cross-reactivity patterns for structurally related compounds: 96, 38, and 101% versus 39, 1.4, and 25% for fipronil-sulfide, fipronil-detrifluoromethylsulfonyl, and fipronil-desulfinyl, respectively. Performance of the immunoassays was demonstrated by a recovery study from spiked water and human serum and urine matrices, giving recovery values in the range of 85-111% for different concentrations. The assays demonstrated good correlation in fipronil recovery with conventional LC-MS/MS analysis. The generic assay 2265 has the sensitivity to measure fipronil and its analogs in serum at levels relevant for exposure monitoring. The assays were used to analyze human urine samples obtained from exposure studies and serum samples from rats treated with a fipronil-containing diet.  KEYWORDS:  MeSH Chemical: Antibodies| Antigens| Haptens| Immune Sera| Insecticides| Pyrazoles| Water| fipronil MeSH: | Animals| Antibodies/immunology| Antigens/metabolism| Chromatography, Liquid| Cross Reactions/immunology| Enzyme-Linked Immunosorbent Assay/methods| Haptens/chemistry/immunology| Humans| Immune Sera/immunology| Immunoassay/majr/methods| Insecticides/majr/analysis/chemistry| Male| Pyrazoles/majr/analysis/blood/chemistry/urine| Rats| Reproducibility of Results| Tandem Mass Spectrometry| Water/chemistry</t>
  </si>
  <si>
    <t>Vasylieva N, Ahn KC, Barnych B, Gee SJ, Hammock BD</t>
  </si>
  <si>
    <t>10038-47</t>
  </si>
  <si>
    <t>Efficacy of a proprietary formulation of fipronil/(S)-methoprene/cyphenothrin against Ixodes scapularis tick infestations on dogs.</t>
  </si>
  <si>
    <t>Efficacy of a proprietary formulation of fipronil/(S)-methoprene/cyphenothrin against Ixodes scapularis tick infestations on dogs.    ABSTRACT:  Efficacy of FRONTLINE TRITAK For Dogs (fipronil/(S)-methoprene/cyphenothrin, Merial, Inc., Duluth, GA) against Ixodes scapularis was evaluated in two separate, but concurrent laboratory studies.One day after topical treatment with placebo or active, dogs (n = 24) were infested with 50 unfed adult Ixodes scapularis ticks, with repeat infestations on Days 7, 14, 21 and 28. The number of live ticks was counted at 6 hours post-infestation in the first study (n = 12) and at 24 hours post-infestation in the second study (n = 12).Observed efficacies in study 1 were 93-99% at 6 hour assessments on Day 1 through Day 28 and in the second study, 98-100% at 24 hour assessments, occurring on Day 2 through Day 29.A single dose of FRONTLINE TRITAK For Dogs (fipronil/(S)-methoprene/cyphenothrin) (0.67 ml or 1.34 ml) prevented the establishment of a new infestation following treatment, as well as the repeated weekly re-infestations with Ixodes scapularis ticks, for 4 weeks.  KEYWORDS:  MeSH Chemical: Insecticides| Pyrazoles| Pyrethrins| Methoprene| fipronil| cyphenothrin MeSH: | Administration, Topical| Animals| Dog Diseases/majr/prevention &amp; control| Dogs| Drug Compounding| Female| Insecticides/majr/administration &amp; dosage| Ixodes/majr/drug effects| Male| Methoprene/majr/administration &amp; dosage| Pyrazoles/majr/administration &amp; dosage| Pyrethrins/majr/administration &amp; dosage| Random Allocation| Tick Control| Tick Infestations/majr/prevention &amp; control/veterinary</t>
  </si>
  <si>
    <t>Carithers D, Everett WR, Gross SJ, Solanki R</t>
  </si>
  <si>
    <t>379</t>
  </si>
  <si>
    <t>Efficacy of a new combination of fipronil and permethrin (Effitix®) against Phlebotomus perniciosus in dogs.</t>
  </si>
  <si>
    <t>Franc M, Liénard E, Jacquiet P, Bonneau S, Navarro C, Bouhsira E</t>
  </si>
  <si>
    <t>156-60</t>
  </si>
  <si>
    <t>Comparative Speed of Kill, Repellent (anti-feeding) and Acaricidal Efficacy of an Imidacloprid/Flumethrin Collar (Seresto®) and a Fipronil/(S)-Methoprene/Eprinomectin/Praziquantel Spot-on (Broadline®) against Ixodes ricinus (Linné, 1758) on Cats.</t>
  </si>
  <si>
    <t>Fourie JJ, Horak IG, de Vos C, Deuster K, Schunack B</t>
  </si>
  <si>
    <t>114 Suppl 1</t>
  </si>
  <si>
    <t>S109-16</t>
  </si>
  <si>
    <t>Susceptibility of Adult Cat Fleas (Siphonaptera: Pulicidae) to Insecticides and Status of Insecticide Resistance Mutations at the Rdl and Knockdown Resistance Loci.</t>
  </si>
  <si>
    <t>Susceptibility of Adult Cat Fleas (Siphonaptera: Pulicidae) to Insecticides and Status of Insecticide Resistance Mutations at the Rdl and Knockdown Resistance Loci.    ABSTRACT:  The susceptibility of 12 field-collected isolates and 4 laboratory strains of cat fleas, Ctenocephalides felis was determined by topical application of some of the insecticides used as on-animal therapies to control them. In the tested field-collected flea isolates the LD50 values for fipronil and imidacloprid ranged from 0.09 to 0.35 ng/flea and 0.02 to 0.19 ng/flea, respectively, and were consistent with baseline figures published previously. The extent of variation in response to four pyrethroid insecticides differed between compounds with the LD50 values for deltamethrin ranging from 2.3 to 28.2 ng/flea, etofenprox ranging from 26.7 to 86.7 ng/flea, permethrin ranging from 17.5 to 85.6 ng/flea, and d-phenothrin ranging from 14.5 to 130 ng/flea. A comparison with earlier data for permethrin and deltamethrin implied a level of pyrethroid resistance in all isolates and strains. LD50 values for tetrachlorvinphos ranged from 20.0 to 420.0 ng/flea. The rdl mutation (conferring target-site resistance to cyclodiene insecticides) was present in most field-collected and laboratory strains, but had no discernible effect on responses to fipronil, which acts on the same receptor protein as cyclodienes. The kdr and skdr mutations conferring target-site resistance to pyrethroids but segregated in opposition to one another, precluding the formation of genotypes homozygous for both mutations.  KEYWORDS:  MeSH Chemical: Insecticides MeSH: | Animals| Ctenocephalides/majr/drug effects/genetics| Gene Expression Regulation| Genotype| Insecticide Resistance/majr/genetics| Insecticides/majr/pharmacology| Mutation| Siphonaptera/genetics</t>
  </si>
  <si>
    <t>Rust MK, Vetter R, Denholm I, Blagburn B, Williamson MS, Kopp S, Coleman G, Hostetler J, Davis W, Mencke N, Rees R, Foit S, Böhm C, Tetzner K</t>
  </si>
  <si>
    <t>S7-18</t>
  </si>
  <si>
    <t>Comparative effects of fipronil and its metabolites sulfone and desulfinyl on the isolated rat liver mitochondria.</t>
  </si>
  <si>
    <t>Comparative effects of fipronil and its metabolites sulfone and desulfinyl on the isolated rat liver mitochondria.    ABSTRACT:  Fipronil is an insecticide extensively used to control pests in crops and animals. There are relates of poisoning due to exposure of fipronil in mammals and the liver has been suggested as potential target. In this study, we evaluated the effects of fipronil and its metabolites sulfone and desulfinyl on the bioenergetics, reactive oxygen species (ROS) production and calcium efflux from mitochondria isolated from rat liver. Fipronil (5-25 μM) inhibited state-3 respiration in mitochondria energized with glutamate plus malate, substrates of complex I of the respiratory chain and decreased the mitochondrial membrane potential resulting in inhibition of ATP synthesis. Fipronil also caused uncoupling in succinate-energized mitochondria and calcium efflux. The metabolites sulfone and desulfinyl also acted as mitochondrial inhibitors and uncouplers and caused calcium efflux, but with different potencies, being the sulfone the more potent one. These effects of fipronil and its metabolites on mitochondrial bioenergetics and calcium homeostasis may be related to toxic effects of the insecticide in the liver.Copyright © 2015 Elsevier B.V. All rights reserved.  KEYWORDS:  MeSH Chemical: Pyrazoles| Sulfones| Adenosine Triphosphate| fipronil MeSH: | Adenosine Triphosphate/metabolism| Animals| Male| Membrane Potential, Mitochondrial/drug effects| Mitochondria, Liver/majr/drug effects/metabolism| Pyrazoles/majr/metabolism/toxicity| Rats| Rats, Wistar| Sulfones/majr/toxicity Other:Fipronil|Liver|Metabolites|Mitochondria|Oxidative phosphorylation|Toxicity</t>
  </si>
  <si>
    <t>Tavares MA, Palma ID, Medeiros HC, Guelfi M, Santana AT, Mingatto FE</t>
  </si>
  <si>
    <t>206-14</t>
  </si>
  <si>
    <t>Fipronil induces CYP isoforms in rats.</t>
  </si>
  <si>
    <t>Caballero MV, Ares I, Martínez M, Martínez-Larrañaga MR, Anadón A, Martínez MA</t>
  </si>
  <si>
    <t>215-21</t>
  </si>
  <si>
    <t>Investigation of pharmaceuticals, personal care products and endocrine disrupting chemicals in a tropical urban catchment and the influence of environmental factors.</t>
  </si>
  <si>
    <t>You L, Nguyen VT, Pal A, Chen H, He Y, Reinhard M, Gin KY</t>
  </si>
  <si>
    <t>536</t>
  </si>
  <si>
    <t>955-963</t>
  </si>
  <si>
    <t>Pesticide Uptake Across the Amphibian Dermis Through Soil and Overspray Exposures.</t>
  </si>
  <si>
    <t>Van Meter RJ, Glinski DA, Henderson WM, Garrison AW, Cyterski M, Purucker ST</t>
  </si>
  <si>
    <t>69</t>
  </si>
  <si>
    <t>545-56</t>
  </si>
  <si>
    <t>Sublethal doses of fipronil intensify synapsin immunostaining in Atta sexdens rubropilosa (Hymenoptera: Formicidae) brains.</t>
  </si>
  <si>
    <t>Sublethal doses of fipronil intensify synapsin immunostaining in Atta sexdens rubropilosa (Hymenoptera: Formicidae) brains.    ABSTRACT:  Although ants are common insects in agricultural ecosystems, few studies have considered how xenobiotics might induce physiological and morphological alterations in these insects. This study aimed to verify the neurotoxic action of sublethal doses of fipronil on the mushroom bodies of brains from the leaf-cutting ant Atta sexdens rubropilosa through immunocytochemistry analysis for the protein synapsin.The LD50 value was established as 1.42 ng ant(-1), and the sublethal doses used were LD50/10 and LD50/100. Synapsin labelling was more evident in the brains extracted from ants exposed to the insecticide, specifically in the regions of glia in the mushroom bodies, compared with the control group. It was possible to measure the intensity of emitted fluorescence in the areas of the mushroom bodies, and a statistical test showed differences between the control group and the treatment group.Thus, it is concluded that sublethal doses of the insecticide fipronil intensified synapsin immunostaining, suggesting an increased release of neurotransmitters, which may be linked to neurotoxicity and overexcitation. These sublethal doses may have two different effects: compromising the operation and maintenance of the colony and leading to the establishment of resistance in insects.© 2015 Society of Chemical Industry.  KEYWORDS:  MeSH Chemical: Insect Proteins| Insecticides| Neurotoxins| Pyrazoles| Synapsins| fipronil MeSH: | Animals| Ants/majr/anatomy &amp; histology/drug effects/metabolism| Brain/anatomy &amp; histology/drug effects/metabolism| Dose-Response Relationship, Drug| Fluorescent Antibody Technique| Insect Proteins/majr/metabolism| Insecticides/majr/toxicity| Microscopy, Confocal| Mushroom Bodies/majr/anatomy &amp; histology/drug effects| Neurotoxins/toxicity| Pyrazoles/majr/toxicity| Synapsins/majr/metabolism Other:Hymenoptera|leaf-cutting ants|mushroom body|olfactory|visual</t>
  </si>
  <si>
    <t>Cintra-Socolowski P, Roat TC, Nocelli RC, Nunes PH, Ferreira RA, Malaspina O, Bueno OC</t>
  </si>
  <si>
    <t>907-12</t>
  </si>
  <si>
    <t>Identification of carboxylesterase genes and their expression profiles in the Colorado potato beetle Leptinotarsa decemlineata treated with fipronil and cyhalothrin.</t>
  </si>
  <si>
    <t>Lü FG, Fu KY, Li Q, Guo WC, Ahmat T, Li GQ</t>
  </si>
  <si>
    <t>122</t>
  </si>
  <si>
    <t>86-95</t>
  </si>
  <si>
    <t>THADEUA GREENI-ASSOCIATED DERMATITIS IN AN EASTERN BETTONG (BETTONGIA GAIMARDI).</t>
  </si>
  <si>
    <t>THADEUA GREENI-ASSOCIATED DERMATITIS IN AN EASTERN BETTONG (BETTONGIA GAIMARDI).    ABSTRACT:  An adult female bettong (Bettongia gaimardi) presented with extensive alopecia and dermatitis affecting the ventral and lateral aspects of the neck and thorax. Microscopic examination of skin scrapings collected from the affected area revealed large numbers of the dermanyssid mite Thadeua greeni. A histopathologic diagnosis of chronic proliferative and hyperkeratotic perivascular dermatitis with intralesional mites was returned. Treatment with a combination of topical fipronil and parenteral ivermectin weekly for 3 wk resulted in the resolution of clinical signs and apparent elimination of the mite.  KEYWORDS:  MeSH Chemical: Antiparasitic Agents| Pyrazoles| Ivermectin| fipronil MeSH: | Animals| Animals, Zoo| Antiparasitic Agents/therapeutic use| Dermatitis/majr/drug therapy/parasitology/veterinary| Female| Ivermectin/therapeutic use| Marsupialia/majr| Mite Infestations/majr/drug therapy/parasitology/veterinary| Mites/majr/classification| Pyrazoles/therapeutic use Other:Bettongia gaimardi|Thadeua greeni|dermatitis|eastern bettong|mite</t>
  </si>
  <si>
    <t>Portas TJ, Taylor D, Spratt DM</t>
  </si>
  <si>
    <t>Journal of zoo and wildlife medicine : official publication of the American Association of Zoo Veterinarians</t>
  </si>
  <si>
    <t>435-7</t>
  </si>
  <si>
    <t>Minireview: Mode of action of meta-diamide insecticides.</t>
  </si>
  <si>
    <t>121</t>
  </si>
  <si>
    <t>39-46</t>
  </si>
  <si>
    <t>A multiplexed assay for determination of neurotoxicant effects on spontaneous network activity and viability from microelectrode arrays.</t>
  </si>
  <si>
    <t>Wallace K, Strickland JD, Valdivia P, Mundy WR, Shafer TJ</t>
  </si>
  <si>
    <t>79-85</t>
  </si>
  <si>
    <t>Formulations of Melia azedarach to Control Diabrotica speciosa (Germar) (Coleoptera: Chrysomelidae) Larvae in Corn and Plant Enhancement.</t>
  </si>
  <si>
    <t>Formulations of Melia azedarach to Control Diabrotica speciosa (Germar) (Coleoptera: Chrysomelidae) Larvae in Corn and Plant Enhancement.    ABSTRACT:  We evaluated oil and powder formulations of Melia azedarach for controlling larvae of Diabrotica speciosa (Germar) in corn and plant enhancement. Five concentrations of each formulation were evaluated and compared to fipronil (negative control) and distilled water (positive control). After treatment, the number of surviving insects (larvae, pupae, and adults), the adult body weight, the sex ratio, and the longevity were recorded, while the height, dry weight of aerial part and roots, and number of leaves of plants were measured. The oil formulation at 4.0 mL reduced the larvae population of D. speciosa similarly to the insecticide fipronil, which resulted in greater height, dry weight of the root system, and number of leaves. Powder formulation at concentrations of 40, 80, and 160 mg caused larval mortality above 80%; however, these concentrations did not prevent reduction of plant height and dry weight of aerial part. Further studies assessing the residual period of M. azedarach control against D. speciosa larvae and its phytotoxicity, which are common traits associated with azadirachtin application, are necessary to subsidize the next steps of this alternative control strategy.  KEYWORDS:  MeSH Chemical: Plant Extracts MeSH: | Animals| Coleoptera/majr/drug effects/physiology| Drug Compounding| Female| Insect Control/majr/methods| Larva/majr/drug effects| Male| Melia azedarach/majr| Plant Extracts/majr/pharmacology| Zea mays/majr/parasitology</t>
  </si>
  <si>
    <t>Souza BH, Costa EN, Forim MR, Costa ES, Boiça Júnior AL</t>
  </si>
  <si>
    <t>Neotropical entomology</t>
  </si>
  <si>
    <t>173-9</t>
  </si>
  <si>
    <t>Fipronil should not be categorized as a "systemic insecticide": a reply to Gibbons et al. (2015).</t>
  </si>
  <si>
    <t xml:space="preserve">Fipronil should not be categorized as a "systemic insecticide": a reply to Gibbons et al. (2015).    ABSTRACT:  NOABSTRACT. No abstract found.  KEYWORDS: </t>
  </si>
  <si>
    <t>Mortensen SR, Holmsen JD, Weltje L</t>
  </si>
  <si>
    <t>17253-4</t>
  </si>
  <si>
    <t>Different acute toxicity of fipronil baits on invasive Linepithema humile supercolonies and some non-target ground arthropods.</t>
  </si>
  <si>
    <t>Hayasaka D, Kuwayama N, Takeo A, Ishida T, Mano H, Inoue MN, Nagai T, Sánchez-Bayo F, Goka K, Sawahata T</t>
  </si>
  <si>
    <t>1221-8</t>
  </si>
  <si>
    <t>Determination and surveillance of nine acaricides and one metabolite in honey by liquid chromatography-tandem mass spectrometry.</t>
  </si>
  <si>
    <t>Determination and surveillance of nine acaricides and one metabolite in honey by liquid chromatography-tandem mass spectrometry.    ABSTRACT:  A simple and accurate analytical method for the determination of acaricides in honey was developed and validated in accordance with Japanese validation guidelines. Analytes - amitraz, N-2,4-dimethylphenyl-N-methylformamidine (DMPF), etoxazole, fenpyroximate, fipronil, hexythiazox, propargite, pyridaben and spirodiclofen - were extracted with ethyl acetate under basic conditions and subsequently cleaned up using an InertSep(®) MA-1 polymer-based anion-exchange column. The method was validated by fortified recovery tests at three different concentrations (1, 5 and 10 µg kg(-1)) performed with three samples daily on five different days. The method exhibited recoveries of 77-116% and precision (relative standard deviations - RSDs) of repeatability and within-laboratory reproducibility ranged from 2% to 22% and from 3% to 23%, respectively. The sample solution was successfully cleaned up to enable quantification using external solvent calibration curves. The limits of quantification (LOQs) were estimated to be 1 µg kg(-1) for all analytes. The method was applied to honey samples commercially available in Tokyo, Japan. Analysis of 250 honey samples indicated that amitraz was present in 127 samples, and that its residual concentration was less than 20 µg kg(-1). Propargite was detected in 23 samples at concentrations less than 1 µg kg(-1).  KEYWORDS:  MeSH Chemical: Acaricides| Pesticide Residues MeSH: | Acaricides/majr/chemistry/metabolism| Chromatography, Liquid/majr/methods| Food Analysis/methods| Honey/majr/analysis| Pesticide Residues/majr/chemistry/metabolism| Reproducibility of Results| Solid Phase Extraction| Tandem Mass Spectrometry/majr/methods Other:acaricide|honey|liquid chromatography-tandem mass spectrometry|surveillance</t>
  </si>
  <si>
    <t>Nakajima T, Tsuruoka Y, Kanda M, Hayashi H, Hashimoto T, Matsushima Y, Yoshikawa S, Nagano C, Okutomi Y, Takano I</t>
  </si>
  <si>
    <t>1099-104</t>
  </si>
  <si>
    <t>Stormwater-related transport of the insecticides bifenthrin, fipronil, imidacloprid, and chlorpyrifos into a tidal wetland, San Francisco Bay, California.</t>
  </si>
  <si>
    <t>Weston DP, Chen D, Lydy MJ</t>
  </si>
  <si>
    <t>527-528</t>
  </si>
  <si>
    <t>18-25</t>
  </si>
  <si>
    <t>Laboratory evaluation of efficacy and persistence of a 1% w/w fipronil pour-on formulation (Topline®) against Glossina palpalis gambiensis, Diptera: Glossinidae.</t>
  </si>
  <si>
    <t>Laboratory evaluation of efficacy and persistence of a 1% w/w fipronil pour-on formulation (Topline®) against Glossina palpalis gambiensis, Diptera: Glossinidae.    ABSTRACT:  One zebu bull of 365 kg live weight was treated along the back line with 36 mL of fipronil as a pour-on formulation. Long-lasting mortalities of Glossina palpalis gambiensis were recorded despite exposure to sunlight and regular rinsing with 50 L of water during the following 5 months. Significantly higher mortalities were still observed even 140, 170 and 190 days after treatment following their triple releases or triple feeding of caged tsetse on the treated bull. Mortalities of 70, 80 and 44%, respectively, were recorded after 15 days of observation. This contrasted with the mortalities of control flies that were released in the presence of the untreated bull or fed in cages on the animal, amounting to 20 and twice 10% after 170 and 190 days. The feeding successes of the released or caged flies were higher than 95% and did not differ between control and experimental groups, indicating no repulsive or irritant effects of fipronil. The findings of this study are discussed, particularly in view of the potential of fipronil as an effective means for tsetse control.  KEYWORDS:  MeSH Chemical: Insecticides| Pyrazoles| fipronil MeSH: | Administration, Topical| Animals| Cattle| Insect Control/methods| Insecticides/majr/administration &amp; dosage/pharmacology| Male| Pyrazoles/majr/administration &amp; dosage/pharmacology| Tsetse Flies/majr/drug effects</t>
  </si>
  <si>
    <t>Bauer B, Baumann MP</t>
  </si>
  <si>
    <t>2919-23</t>
  </si>
  <si>
    <t>Effect of fipronil on energy metabolism in the perfused rat liver.</t>
  </si>
  <si>
    <t>de Medeiros HC, Constantin J, Ishii-Iwamoto EL, Mingatto FE</t>
  </si>
  <si>
    <t>236</t>
  </si>
  <si>
    <t>34-42</t>
  </si>
  <si>
    <t>Liquid chromatography Orbitrap mass spectrometry with simultaneous full scan and tandem MS/MS for highly selective pesticide residue analysis.</t>
  </si>
  <si>
    <t>Del Mar Gómez-Ramos M, Rajski Ł, Heinzen H, Fernández-Alba AR</t>
  </si>
  <si>
    <t>407</t>
  </si>
  <si>
    <t>6317-26</t>
  </si>
  <si>
    <t>Analytical method for determination of fipronil and its metabolites in vegetables using the QuEChERS method and gas chromatography/mass spectrometry.</t>
  </si>
  <si>
    <t>Analytical method for determination of fipronil and its metabolites in vegetables using the QuEChERS method and gas chromatography/mass spectrometry.    ABSTRACT:  An easy, simple, and efficient analytical method was validated for the determination of residues of fipronil and its metabolites in different vegetables comprising brinjal, cabbage, capsicum, cauliflower, okra, and tomato. The Quick, Easy, Cheap, Rugged and Safe method was used for the extraction and cleanup of fipronil and its metabolites on these vegetables. Final clear extracts of ethyl acetate were concentrated under vacuum and reconstituted into acetone, and residues were determined by GC/MS with an Rtx-5 capillary column. The retention times of desulfinyl, sulfide, fipronil, sulfone, and amide were 11.8, 15.8, 16.4, 19.7, and 24.1 min, respectively. The average recoveries obtained for fipronil and its metabolites at different spiking levels were determined to be above 85% in all samples. The repeatability and reproducibility in different matrixes ranged from 1.36 to 5.42 and 1.75 to 4.53%, respectively, for fipronil and its metabolites. The LOQ of this method was 0.01 mg/kg and LOD was 0.003 mg/kg.  KEYWORDS:  MeSH Chemical: Insecticides| Pyrazoles| fipronil MeSH: | Food Analysis/majr/methods| Food Contamination/majr/analysis| Gas Chromatography-Mass Spectrometry/majr/methods| Insecticides/chemistry/metabolism| Molecular Structure| Pyrazoles/majr/chemistry/metabolism| Reproducibility of Results| Sensitivity and Specificity| Vegetables/majr/chemistry</t>
  </si>
  <si>
    <t>Kaur R, Mandal K, Kumar R, Singh B</t>
  </si>
  <si>
    <t>98</t>
  </si>
  <si>
    <t>464-71</t>
  </si>
  <si>
    <t>Assessment of resistance risk to lambda-cyhalothrin and cross-resistance to four other insecticides in the house fly, Musca domestica L. (Diptera: Muscidae).</t>
  </si>
  <si>
    <t>Abbas N, Shad SA</t>
  </si>
  <si>
    <t>2629-37</t>
  </si>
  <si>
    <t>Meroterpenoid Chrodrimanins Are Selective and Potent Blockers of Insect GABA-Gated Chloride Channels.</t>
  </si>
  <si>
    <t>Xu Y, Furutani S, Ihara M, Ling Y, Yang X, Kai K, Hayashi H, Matsuda K</t>
  </si>
  <si>
    <t>e0122629</t>
  </si>
  <si>
    <t>Efficacy of a fixed combination of permethrin 54.5% and fipronil 6.1% (Effitix) in dogs experimentally infested with Ixodes ricinus.</t>
  </si>
  <si>
    <t>Bonneau S, Reymond N, Gupta S, Navarro C</t>
  </si>
  <si>
    <t>204</t>
  </si>
  <si>
    <t>Cross-resistance between fipronil and lindane in Rhipicephalus (Boophilus) microplus.</t>
  </si>
  <si>
    <t>Cross-resistance between fipronil and lindane in Rhipicephalus (Boophilus) microplus.    ABSTRACT:  The southern cattle tick, Rhipicephalus (Boophilus) microplus (Canestrini), is one of the most damaging parasites of cattle in tropical and subtropical regions. Several chemical groups have been used for its control, including cyclodienes (lindane and dieldrin). In Uruguay and Brazil these products were used at the beginning of the 1960s and during a few years. Fipronil and lindane act on the same target site. In both countries, southern cattle tick resistance to fipronil has sometimes developed quickly after only a few acaricide treatments (three to seven). The objective of the present study was to determine cross-resistance between fipronil and lindane in southern cattle ticks from Uruguay and Brazil. Initially, the FAO's (Food and Agricultural Organization) larval packet test with lindane was applied to a fipronil-resistant strain and to susceptible field populations. Mozo and POA strains were used as the susceptible controls. A larval immersion test was used to assess fipronil toxicity. Of fifteen fipronil-resistant field populations that were tested with lindane, eleven were lindane-resistant and three were susceptible. The last three populations had incipient resistance to fipronil. Finally, cross-resistance between fipronil and lindane in the southern cattle tick is reported in this study for the first time. Copyright © 2015 Elsevier B.V. All rights reserved.  KEYWORDS:  MeSH Chemical: Insecticides| Pyrazoles| Hexachlorocyclohexane| fipronil MeSH: | Animals| Hexachlorocyclohexane/majr/pharmacology| Insecticide Resistance/majr| Insecticides/majr/pharmacology| Pyrazoles/majr/pharmacology| Rhipicephalus/majr/drug effects Other:Fipronil|Lindane|Resistance|Rhipicephalus (Boophilus) microplus</t>
  </si>
  <si>
    <t>Castro Janer E, Klafke GM, Capurro ML, Schumaker TT</t>
  </si>
  <si>
    <t>210</t>
  </si>
  <si>
    <t>1-2</t>
  </si>
  <si>
    <t>77-83</t>
  </si>
  <si>
    <t>Fipronil induces apoptosis through caspase-dependent mitochondrial pathways in Drosophila S2 cells.</t>
  </si>
  <si>
    <t>Fipronil induces apoptosis through caspase-dependent mitochondrial pathways in Drosophila S2 cells.    ABSTRACT:  Fipronil is the first phenylpyrazole insecticide widely used in controlling pests, including pyrethroid, organophosphate and carbamate insecticides. It is generally accepted that fipronil elicits neurotoxicity via interactions with GABA and glutamate receptors, although alternative mechanisms have recently been proposed. This study evaluates the genotoxicity of fipronil and its likely mode of action in Drosophila S2 cells, as an in vitro model. Fipronil administrated the concentration- and time-dependent S2 cell proliferation. Intracellular biochemical assays showed that fipronil-induced S2 cell apoptosis coincided with a decrease in the mitochondrial membrane potential and an increase reactive oxygen species generation, a significant decrease of Bcl-2 and DIAP1, and a marked augmentation of Cyt c and caspase-3. Because caspase-3 is the major executioner caspase downstream of caspase-9 in Drosophila, enzyme activity assays were used to determine the activities of caspase-3 and caspase-9. Our results indicated that fipronil effectively induced apoptosis in Drosophila S2 cells through caspase-dependent mitochondrial pathways. Copyright © 2015 Elsevier Inc. All rights reserved.  KEYWORDS:  MeSH Chemical: Drosophila Proteins| Insecticides| Pyrazoles| Reactive Oxygen Species| Caspase 3| Caspase 9| fipronil MeSH: | Animals| Apoptosis/majr/drug effects| Caspase 3/majr/genetics/metabolism| Caspase 9/majr/genetics/metabolism| Cell Line| Drosophila/majr/cytology/drug effects/enzymology/genetics| Drosophila Proteins/majr/genetics/metabolism| Insecticides/majr/toxicity| Mitochondria/majr/drug effects/enzymology| Pyrazoles/majr/toxicity| Reactive Oxygen Species/metabolism| Signal Transduction/drug effects Other:Apoptosis|Caspase|Cytochrome c|Drosophila S2 cells|Fipronil|Mitochondrion</t>
  </si>
  <si>
    <t>Zhang B, Xu Z, Zhang Y, Shao X, Xu X, Cheng J, Li Z</t>
  </si>
  <si>
    <t>81-9</t>
  </si>
  <si>
    <t>Multiparametric characterisation of neuronal network activity for in vitro agrochemical neurotoxicity assessment.</t>
  </si>
  <si>
    <t>Alloisio S, Nobile M, Novellino A</t>
  </si>
  <si>
    <t>152-65</t>
  </si>
  <si>
    <t>Determination and establishment of discriminating concentrations of malathion, coumaphos, fenvalerate and fipronil for monitoring acaricide resistance in ticks infesting animals.</t>
  </si>
  <si>
    <t>Determination and establishment of discriminating concentrations of malathion, coumaphos, fenvalerate and fipronil for monitoring acaricide resistance in ticks infesting animals.    ABSTRACT:  Discriminating concentrations (DCs) of malathion, coumaphos, fenvalerate and fipronil were determined to monitor acaricide resistance in field conditions. The LC99 values with 95% confidence interval for malathion, coumaphos, fenvalerate and fipronil were 5126.8 (5011.5-5240.7), 131.0 (120.4-142.5), 2257.5 (2198.1-2318.4) and 6.2 (5.87-6.55), respectively. The narrow confidence intervals in LC50 and LC99 of adult immersion test (AIT) and larval packet test (LPT) affirming the homogeneity of IVRI-I line. Variation in LPT based LC50 and LC99 values of malathion (55.9ppm) and coumpahos (28.4ppm) compared to those obtained in AIT indicating that larvae were more susceptible to these chemicals. The DCs for malathion, coumaphos, fenvalerate and fipronil against adults were determined as 10253.6, 262.0, 4515.0 and 12.4ppm while against larvae the values were 111.8, 56.8, 4014.0 and 9.6ppm, respectively. The working efficiency of DCs was successfully tested in field tick isolates. Establishment of country specific DCs of commonly used insecticides for monitoring of resistance in field ticks is emphasized for establishing tick control strategies. Copyright © 2015 Elsevier GmbH. All rights reserved.  KEYWORDS:  MeSH Chemical: Insecticides| Nitriles| Pyrazoles| Pyrethrins| Coumaphos| fipronil| Malathion| fenvalerate MeSH: | Animals| Cattle| Cattle Diseases/majr/drug therapy| Coumaphos/pharmacology| Dose-Response Relationship, Drug| Female| Insecticide Resistance| Insecticides/majr/pharmacology| Larva| Malathion/pharmacology| Male| Nitriles/pharmacology| Prevalence| Pyrazoles/pharmacology| Pyrethrins/pharmacology| Rhipicephalus/majr/drug effects| Tick Control| Tick Infestations/majr/drug therapy Other:Coumaphos|Discriminating concentration|Fenvalerate|Fipronil|Malathion|Resistance monitoring|Ticks</t>
  </si>
  <si>
    <t>Kumar S, Sharma AK, Nagar G, Ghosh S</t>
  </si>
  <si>
    <t>383-7</t>
  </si>
  <si>
    <t>Efficacy of Broadline® spot-on against Aelurostrongylus abstrusus and Troglostrongylus brevior lungworms in naturally infected cats from Italy.</t>
  </si>
  <si>
    <t>Giannelli A, Brianti E, Varcasia A, Colella V, Tamponi C, Di Paola G, Knaus M, Halos L, Beugnet F, Otranto D</t>
  </si>
  <si>
    <t>273-7</t>
  </si>
  <si>
    <t>Knockdown of the ionotropic γ-aminobutyric acid receptor (GABAR) RDL gene decreases fipronil susceptibility of the small brown planthopper, Laodelphax striatellus (Hemiptera: Delphacidae).</t>
  </si>
  <si>
    <t>Wei Q, Wu SF, Niu CD, Yu HY, Dong YX, Gao CF</t>
  </si>
  <si>
    <t>88</t>
  </si>
  <si>
    <t>249-61</t>
  </si>
  <si>
    <t>Seasonal Variation of Honeybee Pathogens and its Association with Pollen Diversity in Uruguay.</t>
  </si>
  <si>
    <t>Seasonal Variation of Honeybee Pathogens and its Association with Pollen Diversity in Uruguay.    ABSTRACT:  Honeybees are susceptible to a wide range of pathogens, which have been related to the occurrence of colony loss episodes reported mainly in north hemisphere countries. Their ability to resist those infections is compromised if they are malnourished or exposed to pesticides. The aim of the present study was to carry out an epidemiological study in Uruguay, South America, in order to evaluate the dynamics and interaction of honeybee pathogens and evaluate their association with the presence of external stress factors such as restricted pollen diversity and presence of agrochemicals. We monitored 40 colonies in two apiaries over 24 months, regularly quantifying colony strength, parasite and pathogen status, and pollen diversity. Chlorinated pesticides, phosphorus, pyrethroid, fipronil, or sulfas were not found in stored pollen in any colony or season. Varroa destructor was widespread in March (end of summer-beginning of autumn), decreasing after acaricide treatments. Viruses ABPV, DWV, and SBV presented a similar trend, while IAPV and KBV were not detected. Nosema ceranae was detected along the year while Nosema apis was detected only in one sample. Fifteen percent of the colonies died, being associated to high V. destructor mite load in March and high N. ceranae spore loads in September. Although similar results have been reported in north hemisphere countries, this is the first study of these characteristics in Uruguay, highlighting the regional importance. On the other side, colonies with pollen of diverse botanical origins showed reduced viral infection levels, suggesting that an adequate nutrition is important for the development of healthy colonies.  KEYWORDS:  MeSH: | Animals| Bees/majr/virology| Pollen/majr| Seasons| Uruguay</t>
  </si>
  <si>
    <t>Antúnez K, Anido M, Branchiccela B, Harriet J, Campa J, Invernizzi C, Santos E, Higes M, Martín-Hernández R, Zunino P</t>
  </si>
  <si>
    <t>Microbial ecology</t>
  </si>
  <si>
    <t>522-33</t>
  </si>
  <si>
    <t>Meloxicam inhibits fipronil-induced apoptosis via modulation of the oxidative stress and inflammatory response in SH-SY5Y cells.</t>
  </si>
  <si>
    <t>Park JH, Park YS, Lee JB, Park KH, Paik MK, Jeong M, Koh HC</t>
  </si>
  <si>
    <t>Journal of applied toxicology : JAT</t>
  </si>
  <si>
    <t>10-23</t>
  </si>
  <si>
    <t>Fipronil induced oxidative stress in kidney and brain of mice: protective effect of vitamin E and vitamin C.</t>
  </si>
  <si>
    <t>Badgujar PC, Pawar NN, Chandratre GA, Telang AG, Sharma AK</t>
  </si>
  <si>
    <t>118</t>
  </si>
  <si>
    <t>10-8</t>
  </si>
  <si>
    <t>Occurrence and ecological risks from fipronil in aquatic environments located within residential landscapes.</t>
  </si>
  <si>
    <t>Wu J, Lu J, Lu H, Lin Y, Wilson PC</t>
  </si>
  <si>
    <t>518-519</t>
  </si>
  <si>
    <t>139-47</t>
  </si>
  <si>
    <t>Efficacy of fipronil combined with permethrin commercial spot on (Effitix) preventing Culex pipiens from feeding on dogs.</t>
  </si>
  <si>
    <t>Efficacy of fipronil combined with permethrin commercial spot on (Effitix) preventing Culex pipiens from feeding on dogs.    ABSTRACT:  A controlled clinical trial was carried out to assess the adulticidal and anti-feeding effectiveness of a spot-on combining fipronil and permethrin (Effitix, Virbac, Carros, France) in preventing Culex pipiens from feeding on dogs. Twelve dogs with equal sensitivity to mosquitoes were included in the study and divided into two groups of six dogs: an untreated control group and a group treated with Effitix. All dogs were challenged with 80 females C. pipiens for 90 ± 5 min on days -7, 1, 7, 14, 21, and 28 (day 0 being treatment day). The number of engorged, dead, and live mosquitoes was determined after each exposure to treated and untreated dogs. Dead mosquitoes were also counted 24 h after exposure. The anti-feeding effect of the spot-on formulation was 100, 99.5, 97.7, 98.3, and 96.7% on days 1, 7, 14, 21, and 28, respectively. The mortality effect was 66.6, 55.9, 38, 17.2, and 12.3% on days 1, 7, 14, 21, and 28, respectively. At each challenge point, the mortality and anti-feeding effects on mosquitoes were significantly different between the control and treated group (p &lt; 0.05). The results indicate that a combination of permethrin and fipronil could be used as an effective mosquito control strategy in dogs and is therefore recommended for use in a dirofilariasis prevention program.  KEYWORDS:  MeSH Chemical: Insecticides| Pyrazoles| Permethrin| fipronil MeSH: | Animals| Culex/majr/drug effects/growth &amp; development| Dog Diseases/majr/prevention &amp; control| Dogs| Female| Insecticides/majr/pharmacology| Male| Mosquito Control/majr/methods| Permethrin/majr/pharmacology| Pyrazoles/majr/pharmacology</t>
  </si>
  <si>
    <t>Franc M, Lienard E, Jacquiet P, Bonneau S, Bouhsira E</t>
  </si>
  <si>
    <t>2093-7</t>
  </si>
  <si>
    <t>Development of melamine-formaldehyde resin microcapsules with low formaldehyde emission suited for seed treatment.</t>
  </si>
  <si>
    <t>Development of melamine-formaldehyde resin microcapsules with low formaldehyde emission suited for seed treatment.    ABSTRACT:  To reduce the application frequency and improve the efficacy of insecticides, melamine-formaldehyde (MF) resin microcapsules suited for seed treatment containing a mixture of fipronil and chlorpyrifos were prepared by in situ polymerization. A formaldehyde/melamine molar ratio of 4:1 yielded microcapsules with the smallest size and the most narrow size distribution. The level of unreacted formaldehyde in the microcapsule suspension increased proportionally with the F/M molar ratio. When the MF resin microcapsule suspension was used as a seed treatment to coat peanut seeds, the unreacted formaldehyde did not significantly inhibit the seedling emergence, but the ongoing release of formaldehyde generated from the degradation of MF resins played an important role in inhibiting emergence. Melamine was shown to be an effective formaldehyde scavenger that mitigated this inhibition when it was incorporated within the microcapsule wall. Field experiments showed that MF-resin-encapsulated mixtures of fipronil and chlorpyrifos have much greater efficacies against white grubs than the conventional formulation. Copyright © 2015 Elsevier B.V. All rights reserved.  KEYWORDS:  MeSH Chemical: Agrochemicals| Capsules| Insecticides| Pyrazoles| Triazines| melamine formaldehyde| Chlorpyrifos| fipronil MeSH: | Agrochemicals| Animals| Arachis/drug effects/parasitology/physiology| Capsules/majr/chemistry| Chlorpyrifos/majr| Coleoptera/growth &amp; development| Drug Compounding| Drug Liberation| Germination/drug effects| Insecticides/majr| Kinetics| Larva/growth &amp; development| Polymerization| Pyrazoles/majr| Seeds/drug effects/parasitology/physiology| Triazines/majr/chemistry Other:Formaldehyde emission|Formaldehyde–melamine resin|Microcapsule|Peanut seed|Safety</t>
  </si>
  <si>
    <t>Yuan H, Li G, Yang L, Yan X, Yang D</t>
  </si>
  <si>
    <t>Colloids and surfaces. B, Biointerfaces</t>
  </si>
  <si>
    <t>149-154</t>
  </si>
  <si>
    <t>Abamectin induces rapid and reversible hypoactivity within early zebrafish embryos.</t>
  </si>
  <si>
    <t>Raftery TD, Volz DC</t>
  </si>
  <si>
    <t>Enhanced Ga2O3-photocatalyzed and photochemical degradation of the Fipronil insecticide by UVC irradiation in mixed aqueous/organic media under an inert atmosphere.</t>
  </si>
  <si>
    <t>Hidaka H, Tsukamoto T, Mitsutsuka Y, Oyama T, Serpone N</t>
  </si>
  <si>
    <t>Photochemical &amp; photobiological sciences : Official journal of the European Photochemistry Association and the European Society for Photobiology</t>
  </si>
  <si>
    <t>919-28</t>
  </si>
  <si>
    <t>Fipronil induced oxidative stress involves alterations in SOD1 and catalase gene expression in male mice liver: Protection by vitamins E and C.</t>
  </si>
  <si>
    <t>Badgujar PC, Chandratre GA, Pawar NN, Telang AG, Kurade NP</t>
  </si>
  <si>
    <t>Environmental toxicology</t>
  </si>
  <si>
    <t>1147-58</t>
  </si>
  <si>
    <t>Molecular features and toxicological properties of four common pesticides, acetamiprid, deltamethrin, chlorpyriphos and fipronil.</t>
  </si>
  <si>
    <t>Taillebois E, Alamiddine Z, Brazier C, Graton J, Laurent AD, Thany SH, Le Questel JY</t>
  </si>
  <si>
    <t>1540-50</t>
  </si>
  <si>
    <t>Fipronil promotes motor and behavioral changes in honey bees (Apis mellifera) and affects the development of colonies exposed to sublethal doses.</t>
  </si>
  <si>
    <t>Zaluski R, Kadri SM, Alonso DP, Martins Ribolla PE, de Oliveira Orsi R</t>
  </si>
  <si>
    <t>1062-9</t>
  </si>
  <si>
    <t>[Spatial distribution and risk assessment of insecticides in surface soil from a rapidly urbanizing region].</t>
  </si>
  <si>
    <t>[Spatial distribution and risk assessment of insecticides in surface soil from a rapidly urbanizing region].    ABSTRACT:  To examine the distribution patterns of organic contaminants in rapidly urbanizing regions, the levels and spatial distributions of 19 overlooked insecticides, i. e., phenyl-pyrazole class (fipronil), chlordane, endosulfan, nonachlor, hexachlorobenzene, heptachlor, dieldrin, aldrin, endrin, methoxychlor and their metabolites, were examined in 229 soil samples collected from the Pearl River Delta (PRD) and surrounding areas. The results indicated that higher insecticide levels distributed in the central PRD, while lower levels congested in the surrounding areas. The similar spatial patterns between the levels of insecticides and economic prosperity or population density demonstrated that social-economic factors may have dictated the spatial patterns of insecticides. In addition, the changing of land-use types during urbanization processes, e.g., historical plowlands have been converted into residential landscapes, resulted in high concentrations of banned insecticides in metropolis of the central PRD. Source diagnostics indicated that new inputs of technical chlordane products existed in the PRD and surrounding areas. Fipronil was degraded into fipronil sulfone and fipronil sulfide in most soil samples because of its low half-life in soil. Finally, a risk assessment of 19 insecticides in soil for human health suggested that six samples collected from the major administrative districts with dense population had potential cancer or non-cancer risk to human health. Therefore, these overlooked insecticides should be concerned in future environmental research.  KEYWORDS:  MeSH Chemical: Pesticide Residues| Soil| Soil Pollutants MeSH: | China| Half-Life| Pesticide Residues/majr/analysis| Risk Assessment| Soil/majr/chemistry| Soil Pollutants/majr/analysis| Spatial Analysis| Urbanization/majr</t>
  </si>
  <si>
    <t>Wei YL, Bao LJ, Wu CZ, Zeng EY</t>
  </si>
  <si>
    <t>Huan jing ke xue= Huanjing kexue</t>
  </si>
  <si>
    <t>3821-9</t>
  </si>
  <si>
    <t>Sub-chronic exposure to fipronil induced oxidative stress, biochemical and histopathological changes in the liver and kidney of male albino rats.</t>
  </si>
  <si>
    <t>Sub-chronic exposure to fipronil induced oxidative stress, biochemical and histopathological changes in the liver and kidney of male albino rats.    ABSTRACT:  Fipronil (FPN) is a broad-spectrum N-phenylpyrazole insecticide and has been used in agriculture and public health since the mid-1990s. The present study was designed to investigate the adverse effects of sub-chronic exposure to the FPN on the liver and kidney of male rats at three concentrations 0.1, 1 and 10 mg/L in drinking water for 45 days. Serum aspartate aminotransferases (AST), alanine aminotransferases (ALT), alkaline phosphatase (ALP), and lactate dehydrogenase (LDH) activity and levels of uric acid, creatinine and total protein were significantly increased in FPN-treated rats. Oxidative stress biomarkers such as superoxide dismutase (SOD), catalase (CAT), glutathione peroxidase (GPx), glutathione-S-transferase (GST) and glutathione reduced (GSH) were significantly decreased, while lipid peroxidation (LPO) was significantly increased in treating rats in a concentration dependent manner. FPN caused histopathological alterations in liver and kidney of male rats. From our results, it can be concluded that FPN induced lipid peroxidation, oxidative stress, liver, and kidney injury in rats. These pathophysiological changes in liver and kidney tissues could be due to the toxic effect of FPN that associated with a generation of free radicals.  KEYWORDS:  Other:Fipronil|Histopathology|Kidney|Liver|Oxidative stress|Rats</t>
  </si>
  <si>
    <t>Mossa AH, Swelam ES, Mohafrash SMM</t>
  </si>
  <si>
    <t>775-784</t>
  </si>
  <si>
    <t>Identification of fipronil metabolites by time-of-flight mass spectrometry for application in a human exposure study.</t>
  </si>
  <si>
    <t>Identification of fipronil metabolites by time-of-flight mass spectrometry for application in a human exposure study.    ABSTRACT:  Fipronil is a phenylpyrazole insecticide commonly used in residential and agricultural applications. To understand more about the potential risks for human exposure associated with fipronil, urine and serum from dosed Long Evans adult rats (5 and 10mg/kg bw) were analyzed to identify metabolites as potential biomarkers for use in human biomonitoring studies. Urine from treated rats was found to contain seven unique metabolites, two of which had not been previously reported-M4 and M7 which were putatively identified as a nitroso compound and an imine, respectively. Fipronil sulfone was confirmed to be the primary metabolite in rat serum. The fipronil metabolites identified in the respective matrices were then evaluated in matched human urine (n=84) and serum (n=96) samples from volunteers with no known pesticide exposures. Although no fipronil or metabolites were detected in human urine, fipronil sulfone was present in the serum of approximately 25% of the individuals at concentrations ranging from 0.1 to 4ng/mL. These results indicate that many fipronil metabolites are produced following exposures in rats and that fipronil sulfone is a useful biomarker in human serum. Furthermore, human exposure to fipronil may occur regularly and require more extensive characterization.Published by Elsevier Ltd.  KEYWORDS:  MeSH Chemical: Biomarkers| Pesticides| Pyrazoles| fipronil sulfone| fipronil MeSH: | Adult| Aged| Animals| Biomarkers/blood/urine| Environmental Exposure/analysis| Environmental Monitoring| Female| Housing| Humans| Male| Mass Spectrometry/majr/methods| Middle Aged| Models, Animal| Pesticides/majr/blood/urine| Pyrazoles/majr/blood/urine| Rats| Rats, Long-Evans| Young Adult Other:Biomarker|Fipronil|Human exposure|LC/TOF|Metabolism</t>
  </si>
  <si>
    <t>McMahen RL, Strynar MJ, Dagnino S, Herr DW, Moser VC, Garantziotis S, Andersen EM, Freeborn DL, McMillan L, Lindstrom AB</t>
  </si>
  <si>
    <t>16-23</t>
  </si>
  <si>
    <t>Efficacy of Broadline against Capillaria aerophila lungworm infection in cats.</t>
  </si>
  <si>
    <t>Efficacy of Broadline against Capillaria aerophila lungworm infection in cats.    ABSTRACT:  Capillaria aerophila is a globally distributed parasite of the respiratory system of carnivores and can be considered the second most common lungworm after Aelurostrongylus abstrusus in domestic cats in the northern hemisphere. To evaluate the efficacy of Broadline (Merial), a combination of fipronil 8.3% w/v, (S)-methoprene 10% w/v, eprinomectin 0.4% w/v and praziquantel 8.3% w/v against C. aerophila, a controlled study with 20 naturally infected cats was conducted. Following blocking by body weight, cats were allocated randomly to two groups of ten animals each: control (untreated) or treated once with Broadline according to the label instructions. For evaluation of efficacy, faeces were examined for capillarid egg shedding prior to and weekly for 3 weeks after treatment, when the cats were necropsied for C. aerophila recovery. Following single topical administration of Broadline, faecal capillarid egg counts were significantly reduced by 93.5 to 99.1% (p &lt; 0.01) compared to the controls. Cats treated harboured significantly fewer C. aerophila lungworms compared to the untreated controls (efficacy 82.4%, p = 0.016). Results of this study demonstrate that Capillaria lungworm burdens can be markedly reduced and that faecal egg shedding can be substantially lowered or eliminated following a single treatment with Broadline.  KEYWORDS:  MeSH Chemical: Anthelmintics| Drug Combinations MeSH: | Administration, Topical| Animals| Anthelmintics/majr/therapeutic use| Capillaria/majr| Cat Diseases/majr/drug therapy/parasitology| Cats| Drug Combinations| Enoplida Infections/majr/drug therapy/parasitology/veterinary| Intestinal Diseases/drug therapy</t>
  </si>
  <si>
    <t>Knaus M, Shukullari E, Rapti D, Rehbein S</t>
  </si>
  <si>
    <t>1971-5</t>
  </si>
  <si>
    <t>Determination and dissipation of fipronil and its metabolites in peanut and soil.</t>
  </si>
  <si>
    <t>Determination and dissipation of fipronil and its metabolites in peanut and soil.    ABSTRACT:  In this study, a modified quick, easy, cheap, effective, rugged, and safe (QuEChERS) method was established for the extraction and cleanup of fipronil and its three metabolites (fipronil solfone, sulfide, and desulfinyl) in peanut kernel, shell, straw, seedling, and soil samples, and liquid chromatography-tandem mass spectrometry (LC-MS/MS) was used for analysis. The average recoveries were 66-116% at the level of 0.001-0.1 mg/kg with the RSD &lt;19%, and the limit of detection was 0.3 ng/g for all matrices. The dissipation experiment results demonstrated that fipronil dissipated more rapidly in peanut seedling than in soil, with half-lives of &lt;1 day in peanut seedling and 32-57 days in soil depending on the soil pH. The final residues at harvest of peanut kernels were all below 0.02 mg/kg, whereas in peanut shell and straw, the total highest residues were 0.99 and 0.30 mg/kg, respectively. Fipronil-desulfinyl and fipronil-sulfone were the highest residue metabolites in peanut plant (seedling and straw) and soil samples, respectively.  KEYWORDS:  MeSH Chemical: Insecticides| Pesticide Residues| Pyrazoles| Soil Pollutants| fipronil MeSH: | Arachis/majr/chemistry/metabolism| Chromatography, High Pressure Liquid/majr/methods| Half-Life| Insecticides/majr/chemistry/isolation &amp; purification/metabolism| Kinetics| Pesticide Residues/majr/chemistry/isolation &amp; purification/metabolism| Pyrazoles/majr/chemistry/isolation &amp; purification/metabolism| Soil Pollutants/majr/chemistry/metabolism| Tandem Mass Spectrometry/majr/methods Other:LC-MS/MS|QuEChERS|fipronil|metabolites|peanut|residues</t>
  </si>
  <si>
    <t>Li M, Li P, Wang L, Feng M, Han L</t>
  </si>
  <si>
    <t>63</t>
  </si>
  <si>
    <t>4435-43</t>
  </si>
  <si>
    <t>One-month comparative efficacy of three topical ectoparasiticides against adult brown dog ticks (Rhipicephalus sanguineus sensu lato) on mixed-bred dogs in controlled environment.</t>
  </si>
  <si>
    <t>Varloud M, Fourie JJ</t>
  </si>
  <si>
    <t>1711-9</t>
  </si>
  <si>
    <t>Repellent and insecticidal efficacy of a new combination of fipronil and permethrin against three mosquito species (Aedes albopictus, Aedes aegypti and Culex pipiens) on dogs.</t>
  </si>
  <si>
    <t>Fankhauser B, Dumont P, Hunter JS, McCall JW, Kaufmann C, Mathis A, Young DR, Carroll SP, McCall S, Chester ST, Soll MD</t>
  </si>
  <si>
    <t>Efficacy of a new combination of fipronil and permethrin against Ctenocephalides felis flea infestation in dogs.</t>
  </si>
  <si>
    <t>Fankhauser B, Dumont P, Halos L, Hunter JS, Kunkle B, Everett WR, Chester TS, Fourie JJ, Soll MD</t>
  </si>
  <si>
    <t>Laboratory Evaluation of Toxicity of Insecticide Formulations from Different Classes against American Cockroach (Dictyoptera: Blattidae).</t>
  </si>
  <si>
    <t>Laboratory Evaluation of Toxicity of Insecticide Formulations from Different Classes against American Cockroach (Dictyoptera: Blattidae).    ABSTRACT:  The present study was designed to investigate the insecticidal efficacy of four different classes of insecticides: pyrethroids, organophosphates, phenyl-pyrazoles and neo-nicotenoids. One representative chemical from each class was selected to compare the toxicity: deltamethrin from pyrethroids, Dichlorovinyl Dimethyl Phosphate (DDVP) from organophosphates, fipronil from phenyl-pyrazoles and imidacloprid from neo-nicotenoids. The objective of this study was to determine which of these insecticides were most effective against American cockroach.These insecticides were tested for their LC50 values against Periplaneta americana under topical bioassay method, using different concentrations for each chemical.Fipronil 2.5% EC was highly effective at all concentrations applied, while DDVP 50% EC was least toxic amongst all. One way analysis of variance confirmed significant differences between mortality of P. americana and different concentrations applied (P&lt; 0.05).Locality differentiation is an important factor in determining the range of resistance between various localities, as all three localities behaved differently in terms of their levels of resistance.  KEYWORDS:  Other:Efficacy|Insecticides|Periplaneta americana|Resistance|Topical bioassay</t>
  </si>
  <si>
    <t>Syed R, Manzoor F, Adalat R, Abdul-Sattar A, Syed A</t>
  </si>
  <si>
    <t>Journal of arthropod-borne diseases</t>
  </si>
  <si>
    <t>21-34</t>
  </si>
  <si>
    <t>Repellent and insecticidal efficacy of a new combination of fipronil and permethrin against stable flies (Stomoxys calcitrans).</t>
  </si>
  <si>
    <t>Repellent and insecticidal efficacy of a new combination of fipronil and permethrin against stable flies (Stomoxys calcitrans).    ABSTRACT:  A laboratory study was conducted to assess the repellent and insecticidal efficacy of a new combination of fipronil and permethrin (Frontline Tri- Act/Frontect Merial) against Stomoxys calcitrans (stable flies).Sixteen dogs were allocated to two treatment groups. Eight dogs were treated with a new topical spot-on formulation containing 6.76% w/v fipronil + 50.48% w/v permethrin on Day 0 and eight dogs served as untreated controls. Each dog was exposed to approximately 100 stable flies on Days 1, 7, 14, 21, 28 and 35. After a one-hour exposure period, live flies were carefully aspirated into a vial, anesthetized with CO2 and crushed to determine feeding status (fed or unfed). Any dead flies remaining on the dog or in the cage were crushed to determine feeding status and counted as fed or unfed. Repellency was defined as the percent reduction in the number of fed flies in the treated group as compared to the untreated control group, and insecticidal efficacy was defined as the reduction in the number of live flies at the end of each exposure period in the treated group as compared to the control group.Percent repellency was ≥96.6% through Day 28, and 88.7% on Day 35. Percent insecticidal efficacy was ≥ 98.3% through Day 35.A single topical administration of a new combination of fipronil and permethrin provides protection (repellency and insecticidal efficacy) from S. calcitrans on dogs for at least 5 weeks.  KEYWORDS:  MeSH Chemical: Insect Repellents| Insecticides| Pyrazoles| Permethrin| fipronil MeSH: | Administration, Topical| Animals| Dog Diseases/majr/parasitology/prevention &amp; control| Dogs| Drug Therapy, Combination| Female| Insect Repellents/majr/administration &amp; dosage| Insecticides/majr/administration &amp; dosage| Male| Muscidae/majr/drug effects/physiology| Permethrin/majr/administration &amp; dosage| Pyrazoles/majr/pharmacology</t>
  </si>
  <si>
    <t>Fankhauser B, Irwin JP, Stone ML, Chester ST, Soll MD</t>
  </si>
  <si>
    <t>Residue analysis of fipronil and difenoconazole in okra by liquid chromatography tandem mass spectrometry and their food safety evaluation.</t>
  </si>
  <si>
    <t>Residue analysis of fipronil and difenoconazole in okra by liquid chromatography tandem mass spectrometry and their food safety evaluation.    ABSTRACT:  A liquid chromatography tandem mass spectrometry (LC-MS/MS) based method is reported for simultaneous analysis of fipronil (plus its metabolites) and difenoconazole residues in okra. The sample preparation method involving extraction with ethyl acetate provided 80-107% recoveries for both the pesticides with precision RSD within 4-17% estimated at the limits of quantification (LOQ, fipronil=1ngg(-1), difenoconazole=5ngg(-1)) and higher fortification levels. In field, both the pesticides dissipated with half-life of 2.5days. The estimated pre-harvest intervals (PHI) for fipronil and difenoconazole were 15 and 19.5days, and 4 and 6.5days at single and double dose of field applications, respectively. Decontamination of incurred residues by washing and different cooking treatments was quite efficient in minimizing the residue load of both the chemicals. Okra samples harvested after the estimated PHIs were found safe for human consumption. Copyright © 2014 Elsevier Ltd. All rights reserved.  KEYWORDS:  MeSH Chemical: Dioxolanes| Pesticide Residues| Pyrazoles| Triazoles| difenoconazole| fipronil MeSH: | Abelmoschus/majr/chemistry| Chromatography, Liquid/majr/methods| Dioxolanes/majr/chemistry| Food Contamination/analysis| Food Safety/majr/methods| Pesticide Residues/majr/analysis| Pyrazoles/majr/chemistry| Tandem Mass Spectrometry/majr/methods| Triazoles/majr/chemistry Other:Decontamination|Difenoconazole residues in okra|Dissipation kinetics|Fipronil residues in okra|LC–MS/MS|Pre-harvest interval</t>
  </si>
  <si>
    <t>Hingmire S, Oulkar DP, Utture SC, Ahammed Shabeer TP, Banerjee K</t>
  </si>
  <si>
    <t>145-51</t>
  </si>
  <si>
    <t>Repellent and insecticidal efficacy of a new combination of fipronil and permethrin against the main vector of canine leishmaniosis in Europe (Phlebotomus perniciosus).</t>
  </si>
  <si>
    <t>Dumont P, Fankhauser B, Bouhsira E, Lienard E, Jacquiet P, Beugnet F, Franc M</t>
  </si>
  <si>
    <t>Repellency, prevention of attachment and acaricidal efficacy of a new combination of fipronil and permethrin against the main vector of canine babesiosis in Europe, Dermacentor reticulatus ticks.</t>
  </si>
  <si>
    <t>Dumont P, Fourie JJ, Soll M, Beugnet F</t>
  </si>
  <si>
    <t>Acaricidal efficacy of a new combination of fipronil and permethrin against Ixodes ricinus and Rhipicephalus sanguineus ticks.</t>
  </si>
  <si>
    <t>Dumont P, Chester TS, Gale B, Soll M, Fourie JJ, Beugnet F</t>
  </si>
  <si>
    <t>Sustained speed of kill and repellency of a novel combination of fipronil and permethrin against Ctenocephalides canis flea infestations in dogs.</t>
  </si>
  <si>
    <t>Beugnet F, Soll M, Bouhsira E, Franc M</t>
  </si>
  <si>
    <t>Fipronil and permethrin combination: a novel ectoparasiticide for dogs.</t>
  </si>
  <si>
    <t>Fipronil and permethrin combination: a novel ectoparasiticide for dogs.    ABSTRACT:  NOABSTRACT. No abstract found.  KEYWORDS:  MeSH Chemical: Acaricides| Insecticides| Pyrazoles| Permethrin| fipronil MeSH: | Acaricides/majr/administration &amp; dosage| Animals| Dog Diseases/majr/drug therapy/parasitology/prevention &amp; control| Dogs| Drug Therapy, Combination/veterinary| Insecta/drug effects/physiology| Insecticides/majr/administration &amp; dosage| Permethrin/majr/administration &amp; dosage| Pyrazoles/majr/administration &amp; dosage| Ticks/drug effects/physiology</t>
  </si>
  <si>
    <t>Cardoso L</t>
  </si>
  <si>
    <t>Identification of polymorphisms in Cyrtorhinus lividipennis RDL subunit contributing to fipronil sensitivity.</t>
  </si>
  <si>
    <t>Jiang F, Zhang Y, Sun H, Meng X, Bao H, Fang J, Liu Z</t>
  </si>
  <si>
    <t>117</t>
  </si>
  <si>
    <t>62-7</t>
  </si>
  <si>
    <t>Determination of genotoxic effects of fipronil in Vicia faba using random amplified polymorphic DNA analysis.</t>
  </si>
  <si>
    <t>Determination of genotoxic effects of fipronil in Vicia faba using random amplified polymorphic DNA analysis.    ABSTRACT:  This study was undertaken to appreciate genotoxic potential of fipronil herbicides in the roots of Vicia faba seedlings. Fipronil was clearly dose dependent on root growth inhibitors, total soluble protein, and random amplified polymorphic DNA (RAPD) assays. Increase in concentration of fipronil resulted in decreased amount of root length and increased level of protein. For the RAPD analyses, 15 RAPD primers were found to produce unique polymorphic band patterns and were subsequently used to produce a total of 110 bands of 45-1250 bp. Each primer generated 4-11 RAPD bands across 15 primers. The changes occurring in RAPD profiles following fipronil treatment included variation becoming evident as disappearance and/or appearance of DNA bands compared with the normal seedlings. These results indicated that genomic template stability was significantly affected at the above fipronil concentration. This study further confirmed that the RAPD assays are useful in determining potential genotoxicity of fipronil.© The Author(s) 2015.  KEYWORDS:  MeSH Chemical: Biomarkers| Carcinogens, Environmental| DNA, Plant| Herbicides| Mutagens| Plant Proteins| Pyrazoles| fipronil MeSH: | Biomarkers/metabolism| Carcinogens, Environmental/majr/toxicity| DNA, Plant/chemistry/metabolism| Gene Expression Regulation, Plant/drug effects| Genes, Plant/majr/drug effects| Genomic Instability/drug effects| Herbicides/majr/toxicity| Molecular Weight| Mutagenicity Tests| Mutagens/majr/toxicity| Osmolar Concentration| Plant Proteins/genetics/metabolism| Plant Roots/majr/drug effects/growth &amp; development/metabolism| Protein Biosynthesis/drug effects| Pyrazoles/majr/toxicity| Random Amplified Polymorphic DNA Technique| Seedlings/drug effects/growth &amp; development/metabolism| Vicia faba/majr/drug effects/growth &amp; development/metabolism Other:DNA damage|DNA repair|epigenetics|genotxicity|pesticide</t>
  </si>
  <si>
    <t>Yildirim N, Agar G</t>
  </si>
  <si>
    <t>Toxicology and industrial health</t>
  </si>
  <si>
    <t>1450-1455</t>
  </si>
  <si>
    <t>Prevention of Babesia canis in dogs: efficacy of a fixed combination of permethrin and fipronil (Effitix®) using an experimental transmission blocking model with infected Dermacentor reticulatus ticks.</t>
  </si>
  <si>
    <t>Navarro C, Reymond N, Fourie J, Hellmann K, Bonneau S</t>
  </si>
  <si>
    <t>[Neurotoxicology of pesticides].</t>
  </si>
  <si>
    <t>[Neurotoxicology of pesticides].    ABSTRACT:  Pesticides have been used for many years for preventing, destroying, repelling, or mitigating pests such as insects, rodents, and weeds. However, most pesticides are not completely specific for pests and can also induce damage to the human nervous system. In particular, insecticides often directly targets the nervous system by affecting major targets such as the neuro-transmitter metabolism, neuronal receptors, and ion channels; acetylcholine (ACh) esterase for organo-phosphates and carbamates, nicotinic ACh receptor for neonicotinoids, γ-aminobutyric acid receptors/chloride channels for organochlorides and fipronil, and voltage-gated sodium channel for pyrethroids. Additional targets include sites in the sodium channels, glutamate-gated chloride channels, and octopamine and ryanodine receptors. Several pesticides also produce adverse neurological effects indirectly by disrupting the general cellular mechanisms that support the high metabolic activity of the nervous system. Nowadays, more potent pesticides are being developed as replacements for the older, harmful ones. Pesticide neurotoxicity in humans may involve the central or peripheral nervous system or both and may induce typical neuronal damage in case of acute poisoning even by new agents. However, whether effect of exposure to pesticides at below acute-poisoning threshold level remains unclear. Moreover, neurotoxicology for behavioral and higher-brain function remains an unresolved and a challenging problem.  KEYWORDS:  MeSH Chemical: Chloride Channels| Pesticides| Receptors, Nicotinic| Sodium Channels| glutamate-gated chloride channels MeSH: | Animals| Chloride Channels| Humans| Nervous System/majr/drug effects| Neurons/majr/drug effects| Pesticides/majr/toxicity| Receptors, Nicotinic/drug effects| Sodium Channels/drug effects</t>
  </si>
  <si>
    <t>Ichikawa H</t>
  </si>
  <si>
    <t>Brain and nerve = Shinkei kenkyu no shinpo</t>
  </si>
  <si>
    <t>39-48</t>
  </si>
  <si>
    <t>Lethal and behavioral effects of selected novel pesticides on adults of Trichogramma pretiosum (Hymenoptera: Trichogrammatidae).</t>
  </si>
  <si>
    <t>Khan MA, Khan H, Ruberson JR</t>
  </si>
  <si>
    <t>1640-8</t>
  </si>
  <si>
    <t>Pesticide pollution of multiple drinking water sources in the Mekong Delta, Vietnam: evidence from two provinces.</t>
  </si>
  <si>
    <t>Chau ND, Sebesvari Z, Amelung W, Renaud FG</t>
  </si>
  <si>
    <t>9042-58</t>
  </si>
  <si>
    <t>Recent advances in bioactive pyrazoles.</t>
  </si>
  <si>
    <t>Recent advances in bioactive pyrazoles.    ABSTRACT:  Pyrazole is a five membered and two-nitrogen containing heterocyclic ring. These structures have been investigated in the development of novel compounds with hypoglycemic, analgesic, anti-inflammatory, antimicrobial, anticonvulsant, antidepressant, antimycobacterial, antioxidant, antiviral, insecticidal and antitumor activities. Therefore, these compounds have been synthesized as target structures by many researchers and were evaluated for their biological activities. We hope that the bioactivity of pyrazole derivatives will be beneficial for the rational design of new generation of small molecule drugs. In this review, we report the structures of 1H-pyrazoles with their corresponding biological activities for 21st (in 2000-2014 years) century. Copyright © 2014 Elsevier Masson SAS. All rights reserved.  KEYWORDS:  MeSH Chemical: Pyrazoles| pyrazole MeSH: | Animals| Drug Discovery/majr/methods| Humans| Pyrazoles/majr/chemistry/pharmacology Other:Antipyrine|Biological activity|Celecoxib|Fipronil|Pyrazofurin|Pyrazole</t>
  </si>
  <si>
    <t>Küçükgüzel ŞG, Şenkardeş S</t>
  </si>
  <si>
    <t>European journal of medicinal chemistry</t>
  </si>
  <si>
    <t>786-815</t>
  </si>
  <si>
    <t>Determination of residues of fipronil and its metabolites in cauliflower by using gas chromatography-tandem mass spectrometry.</t>
  </si>
  <si>
    <t>Determination of residues of fipronil and its metabolites in cauliflower by using gas chromatography-tandem mass spectrometry.    ABSTRACT:  Fipronil is a widely used insecticide with a well-described toxicological pathway. Recently it has been widely used in India to control vegetable pests. The present study has been carried out to observe the persistence pattern of fipronil and its metabolites-fipronil sulfone, fipronil sulfide, fipronil desulfinyl in cauliflower and soil so as to know the potential risk if any to consumers and environment. Fipronil was applied @ 56 g a.i. ha(-1). Samples of cauliflower and soil were collected periodically; processed using QuEChERS method and analyzed by GCMS/MS. In cauliflower, residues of fipronil and its metabolites reached below detectable level before 30 days of application whereas in soil about 95% of total fipronil residues got degraded within same time period. Washing and washing followed by cooking or boiling was found effective in reducing residues. A safe waiting period of 15 days is therefore suggested before consuming cauliflower.  KEYWORDS:  MeSH Chemical: Insecticides| Pesticide Residues| Pyrazoles| Soil| Soil Pollutants| fipronil MeSH: | Brassica/majr/chemistry| Chromatography, Gas/majr| India| Insecticides/analysis| Pesticide Residues/majr/analysis| Pyrazoles/majr/chemistry/metabolism| Soil| Soil Pollutants/analysis| Tandem Mass Spectrometry/majr</t>
  </si>
  <si>
    <t>Duhan A, Kumari B, Duhan S</t>
  </si>
  <si>
    <t>260-6</t>
  </si>
  <si>
    <t>Five-month comparative efficacy evaluation of three ectoparasiticides against adult cat fleas (Ctenocephalides felis), flea egg hatch and emergence, and adult brown dog ticks (Rhipicephalus sanguineus sensu lato) on dogs housed outdoors.</t>
  </si>
  <si>
    <t>Varloud M, Hodgkins E</t>
  </si>
  <si>
    <t>965-73</t>
  </si>
  <si>
    <t>MicroRNA-155 targets cyb561d2 in zebrafish in response to fipronil exposure.</t>
  </si>
  <si>
    <t>Huang H, Zhang K, Zhou Y, Ding X, Yu L, Zhu G, Guo J</t>
  </si>
  <si>
    <t>877-86</t>
  </si>
  <si>
    <t>Potential role of ATP-binding cassette transporters against acaricides in the brown dog tick Rhipicephalus sanguineus sensu lato.</t>
  </si>
  <si>
    <t>Cafarchia C, Porretta D, Mastrantonio V, Epis S, Sassera D, Iatta R, Immediato D, Ramos RA, Lia RP, Dantas-Torres F, Kramer L, Urbanelli S, Otranto D</t>
  </si>
  <si>
    <t>88-93</t>
  </si>
  <si>
    <t>Simultaneous removal of pesticides from water by rice husk ash: batch and column studies.</t>
  </si>
  <si>
    <t>Simultaneous removal of pesticides from water by rice husk ash: batch and column studies.    ABSTRACT:  The present study evaluated rice husk ash (RHA) as an adsorbent for simultaneous removal of a mixture of seven different pesticides (alachlor, metolachlor, chlorpyriphos, fipronil, α-endosulfan, β-endosulfan, and p,p'-DDT) and two metabolites (p,p'-DDE and endosulfan sulfate) from water. The adsorbent RHA was prepared in the laboratory and characterized by techniques such as X-ray diffraction spectroscopy, Fourier transform infrared spectroscopy, and scanning electron microscopy/energy-dispersive X-ray spectrometry. Adsorption kinetics were well described by the pseudo-second-order kinetic model. The Freundlich isotherm model fitted the equilibrium data better than the Langmuir model, and the maximum sorption capacity varied from 0.078 to 0.166 mg/g. The column elution studies showed that 10 L of mixed pesticide-contaminated water (0.05 mg/L) can be treated with only 10 g of RHA at a removal efficiency of 90%. The results implied that RHA can be used as a low-cost, easily available, and efficient adsorbent for the simultaneous removal of pesticides from contaminated water.  KEYWORDS:  MeSH Chemical: Pesticides| Water Pollutants, Chemical MeSH: | Adsorption| Microscopy, Electron, Scanning| Oryza/majr/chemistry| Pesticides/majr/chemistry| Water Pollutants, Chemical/majr/chemistry</t>
  </si>
  <si>
    <t>Saha A, Gajbhiye VT, Gupta S, Kumar R, Ghosh RK</t>
  </si>
  <si>
    <t>Water environment research : a research publication of the Water Environment Federation</t>
  </si>
  <si>
    <t>2176-85</t>
  </si>
  <si>
    <t>Assessment of serum biomarkers in rats after exposure to pesticides of different chemical classes.</t>
  </si>
  <si>
    <t>Moser VC, Stewart N, Freeborn DL, Crooks J, MacMillan DK, Hedge JM, Wood CE, McMahen RL, Strynar MJ, Herr DW</t>
  </si>
  <si>
    <t>282</t>
  </si>
  <si>
    <t>161-74</t>
  </si>
  <si>
    <t>Use of electroencephalography (EEG) to assess CNS changes produced by pesticides with different modes of action: effects of permethrin, deltamethrin, fipronil, imidacloprid, carbaryl, and triadimefon.</t>
  </si>
  <si>
    <t>Freeborn DL, McDaniel KL, Moser VC, Herr DW</t>
  </si>
  <si>
    <t>184-94</t>
  </si>
  <si>
    <t>Sustained release of fipronil insecticide in vitro and in vivo from biocompatible silica nanocapsules.</t>
  </si>
  <si>
    <t>Sustained release of fipronil insecticide in vitro and in vivo from biocompatible silica nanocapsules.    ABSTRACT:  A pesticide delivery system made of biocompatible components and having sustained release properties is highly desirable for agricultural applications. In this study, we report a new biocompatible oil-core silica-shell nanocapsule for sustained release of fipronil insecticide. Silica nanocapsules were prepared by a recently reported emulsion and biomimetic dual-templating approach under benign conditions and without using any toxic chemicals. The loading of fipronil was achieved by direct dissolution in the oil core prior to biomimetic growth of a layer of silica shell surrounding the core, with encapsulation efficiency as high as 73%. Sustained release of fipronil in vitro was tunable through control of the silica-shell thickness (i.e., 8-44 nm). In vivo laboratory tests showed that the insecticidal effect of the fipronil-encapsulated silica nanocapsules against economically important subterranean termites could be controlled by tuning the shell thickness. These studies demonstrated the effectiveness and tunability of an environmentally friendly sustained release system for insecticide, which has great potential for broader agricultural applications with minimal environmental risks.  KEYWORDS:  MeSH Chemical: Delayed-Action Preparations| Insecticides| Nanocapsules| Pyrazoles| Silicon Dioxide| fipronil MeSH: | Animals| Delayed-Action Preparations/majr/chemistry/pharmacology| Drug Delivery Systems/majr/instrumentation/methods| Insecticides/majr/chemistry/pharmacology| Isoptera/drug effects| Nanocapsules/chemistry| Pyrazoles/majr/chemistry/pharmacology| Silicon Dioxide/chemistry Other:fipronil|insecticides|nanocapsules|silica|subterranean termites|sustained release</t>
  </si>
  <si>
    <t>Wibowo D, Zhao CX, Peters BC, Middelberg AP</t>
  </si>
  <si>
    <t>12504-11</t>
  </si>
  <si>
    <t>Ectoparasites of goats in the UK.</t>
  </si>
  <si>
    <t>Cornall K, Wall R</t>
  </si>
  <si>
    <t>176-9</t>
  </si>
  <si>
    <t>Environmental science. The trouble with neonicotinoids.</t>
  </si>
  <si>
    <t>Environmental science. The trouble with neonicotinoids.    ABSTRACT:  NOABSTRACT. No abstract found.  KEYWORDS:  MeSH Chemical: Imidazoles| Insecticides| Neonicotinoids| Nitro Compounds| Pyrazoles| Soil| imidacloprid| fipronil MeSH: | Animals| Bees/majr/drug effects| Biota/drug effects| Environmental Exposure/majr/adverse effects| Imidazoles/adverse effects/standards| Insecticides/majr/adverse effects/standards| Neonicotinoids| Nitro Compounds/adverse effects/standards| Pyrazoles/majr/adverse effects/standards| Soil</t>
  </si>
  <si>
    <t>Sánchez-Bayo F</t>
  </si>
  <si>
    <t>Science (New York, N.Y.)</t>
  </si>
  <si>
    <t>346</t>
  </si>
  <si>
    <t>6211</t>
  </si>
  <si>
    <t>806-7</t>
  </si>
  <si>
    <t>Cytochrome P450s from the fall armyworm (Spodoptera frugiperda): responses to plant allelochemicals and pesticides.</t>
  </si>
  <si>
    <t>Giraudo M, Hilliou F, Fricaux T, Audant P, Feyereisen R, Le Goff G</t>
  </si>
  <si>
    <t>115-28</t>
  </si>
  <si>
    <t>Acute toxicity and sublethal effects of fipronil on detoxification enzymes in juvenile zebrafish (Danio rerio).</t>
  </si>
  <si>
    <t>Wu H, Gao C, Guo Y, Zhang Y, Zhang J, Ma E</t>
  </si>
  <si>
    <t>9-14</t>
  </si>
  <si>
    <t>Binding difference of fipronil with GABAARs in fruitfly and zebrafish: insights from homology modeling, docking, and molecular dynamics simulation studies.</t>
  </si>
  <si>
    <t>Binding difference of fipronil with GABAARs in fruitfly and zebrafish: insights from homology modeling, docking, and molecular dynamics simulation studies.    ABSTRACT:  Fipronil, which targets GABAA receptors (GABAARs), is the first phenylpyrazole insecticide widely used in crop protection and public hygiene. However, its high toxicity on fishes greatly limited its applications. In the present study, a series of computational methods including homology modeling, docking, and molecular dynamics simulation studies were integrated to explore the binding difference of fipronil with GABAARs from fruitfly and zebrafish systems. It was found that, in the zebrafish system, the H-bond between 6'Thr and fipronil exerted key effects on the recognition of fipronil, which was absent in the fruitfly system. On the other hand, in the fruitfly system, strong electrostatic interaction between 2'Ala and fipronil was favorable to the binding of fipronil but detrimental to the binding in the zebrafish system. These findings marked the binding difference of fipronil with different GABAARs, which might be helpful in designing selective insecticides against pests instead of fishes.  KEYWORDS:  MeSH Chemical: Drosophila Proteins| Insecticides| Pyrazoles| Receptors, GABA-A| Zebrafish Proteins| fipronil MeSH: | Amino Acid Sequence| Animals| Drosophila/majr/chemistry/genetics/metabolism| Drosophila Proteins/majr/chemistry/genetics/metabolism| Hydrogen Bonding| Insecticides/majr/chemistry/metabolism| Molecular Docking Simulation| Molecular Dynamics Simulation| Molecular Sequence Data| Protein Binding| Pyrazoles/majr/chemistry/metabolism| Receptors, GABA-A/majr/chemistry/metabolism| Sequence Alignment| Zebrafish/majr/genetics/metabolism| Zebrafish Proteins/majr/chemistry/genetics/metabolism Other:GABAA receptors|docking|fipronil|homology modeling|molecular dynamics simulation</t>
  </si>
  <si>
    <t>Zheng N, Cheng J, Zhang W, Li W, Shao X, Xu Z, Xu X, Li Z</t>
  </si>
  <si>
    <t>10646-53</t>
  </si>
  <si>
    <t>Critical electrolyte concentration of silk gland chromatin of the sugarcane borer Diatraea saccharalis, induced using agrochemicals.</t>
  </si>
  <si>
    <t>Critical electrolyte concentration of silk gland chromatin of the sugarcane borer Diatraea saccharalis, induced using agrochemicals.    ABSTRACT:  The sugarcane borer Diatraea saccharalis is widely known as the main pest of sugarcane crop, causing increased damage to the entire fields. Measures to control this pest involve the use of chemicals and biological control with Cotesia flavipes wasps. In this study, we evaluated the insecticides fipronil (Frontline; 0.0025%), malathion (Malatol Bio Carb; 0.4%), cipermetrina (Galgotrin; 10%), and neem oil (Natuneem; 100%) and the herbicide nicosulfuron (Sanson 40 SC; 100%) in the posterior region silk glands of 3rd- and 5th-instar D. saccharalis by studying the variation in the critical electrolyte concentration (CEC). Observations of 3rd-instar larvae indicated that malathion, cipermetrina, and neem oil induced increased chromatin condensation that may consequently disable genes. Tests with fipronil showed no alteration in chromatin condensation. With the use of nicosulfuron, there was chromatin and probable gene decompaction. In the 5th-instar larvae, the larval CEC values indicated that malathion and neem oil induced increased chromatin condensation. The CEC values for 5th-instar larvae using cipermetrina, fipronil, and nicosulfuron indicated chromatin unpacking. These observations led us to conclude that the quantity of the pesticide does not affect the mortality of these pests, can change the conformation of complexes of DNA, RNA, and protein from the posterior region of silk gland cells of D. saccharalis, activating or repressing the expression of genes related to the defense mechanism of the insect and contributing to the selection and survival of resistant individuals.  KEYWORDS:  MeSH Chemical: Agrochemicals| Chromatin| Electrolytes| Silk MeSH: | Agrochemicals/majr/pharmacology| Animals| Chromatin/majr/metabolism| Electrolytes/majr/metabolism| Larva/metabolism| Lepidoptera/majr/anatomy &amp; histology/growth &amp; development/metabolism| Silk/majr</t>
  </si>
  <si>
    <t>Santos SA, Fermino F, Moreira BM, Araujo KF, Falco JR, Ruvolo-Takasusuki MC</t>
  </si>
  <si>
    <t>Genetics and molecular research : GMR</t>
  </si>
  <si>
    <t>7958-64</t>
  </si>
  <si>
    <t>Conclusions of the Worldwide Integrated Assessment on the risks of neonicotinoids and fipronil to biodiversity and ecosystem functioning.</t>
  </si>
  <si>
    <t>Conclusions of the Worldwide Integrated Assessment on the risks of neonicotinoids and fipronil to biodiversity and ecosystem functioning.    ABSTRACT:  NOABSTRACT. No abstract found.  KEYWORDS:  MeSH Chemical: Insecticides| Nicotinic Agonists| Pyrazoles| fipronil MeSH: | Animals| Biodiversity/majr| Insecticides/majr/toxicity| Nicotinic Agonists/majr/toxicity| Pyrazoles/majr/toxicity| Risk Assessment</t>
  </si>
  <si>
    <t>van der Sluijs JP, Amaral-Rogers V, Belzunces LP, Bijleveld van Lexmond MF, Bonmatin JM, Chagnon M, Downs CA, Furlan L, Gibbons DW, Giorio C, Girolami V, Goulson D, Kreutzweiser DP, Krupke C, Liess M, Long E, McField M, Mineau P, Mitchell EA, Morrissey CA, Noome DA, Pisa L, Settele J, Simon-Delso N, Stark JD, Tapparo A, Van Dyck H, van Praagh J, Whitehorn PR, Wiemers M</t>
  </si>
  <si>
    <t>148-54</t>
  </si>
  <si>
    <t>Sorption kinetics of fipronil on soils.</t>
  </si>
  <si>
    <t>Sorption kinetics of fipronil on soils.    ABSTRACT:  Sorption kinetics of fipronil was studied on five soils of varying physico-chemical properties by batch equilibration method. Fipronil sorption on soils conformed to pseudo-second order kinetics and both the initial uptake rate and rate constant had a significant and positive correlation with clay content. The sorption kinetics of fipronil onto soils could be explained by intraparticle diffusion model consisting of an initial faster step followed by later slower step. The intraparticle diffusion rate constants for the initial faster and later slower step showed a significant and positive correlation with clay content (r = 0.978, significant at p ≤ 0.01) and soil electrical conductance (r = 0.901, significant at p ≤ 0.05), respectively.  KEYWORDS:  MeSH Chemical: Pyrazoles| Soil| Soil Pollutants| fipronil MeSH: | Adsorption| Kinetics| Models, Theoretical| Pyrazoles/majr/analysis| Soil/majr/chemistry| Soil Pollutants/majr/analysis</t>
  </si>
  <si>
    <t>758-63</t>
  </si>
  <si>
    <t>Controlled release study on microencapsulated mixture of fipronil and chlorpyrifos for the management of white grubs (Holotrichia parallela) in peanuts (Arachis hypogaea L.).</t>
  </si>
  <si>
    <t>Yang D, Li G, Yan X, Yuan H</t>
  </si>
  <si>
    <t>10632-7</t>
  </si>
  <si>
    <t>Therapeutic efficacy of Broadline against notoedric mange in cats.</t>
  </si>
  <si>
    <t>Therapeutic efficacy of Broadline against notoedric mange in cats.    ABSTRACT:  The efficacy of a novel topical combination of fipronil 8.3% w/v, (S)-methoprene 10 % w/v, eprinomectin 0.4% w/v, and praziquantel 8.3% w/v (Broadline, Merial) was evaluated in 18 cats naturally infested by Notoedres cati in a controlled, blinded clinical efficacy study. Cats were blocked on pretreatment bodyweight and randomly allocated to two groups of nine cats each. One group served as control (untreated) and one group was treated once topically with Broadline according to the label instructions. Skin scrapings (three scrapings per animal per occasion) were collected prior to treatment and every other week for 8 weeks thereafter and examined for live N. cati mites. In addition, lesions were evaluated at each sampling to monitor the clinical recovery. Based on live mite counts, efficacy against N. cati of a single topical administration with Broadline was &gt;99%, and all treated cats recovered from clinical signs of notoedric mange. No treatment-related adverse events were observed.  KEYWORDS:  MeSH Chemical: Antiparasitic Agents| Drug Combinations| Pyrazoles| Praziquantel| Ivermectin| eprinomectin| Methoprene| fipronil MeSH: | Administration, Topical| Animals| Antiparasitic Agents/majr/administration &amp; dosage/therapeutic use| Cat Diseases/majr/drug therapy| Cats| Drug Combinations| Female| Ivermectin/administration &amp; dosage/analogs &amp; derivatives/therapeutic use| Male| Methoprene/administration &amp; dosage/therapeutic use| Mite Infestations/majr/drug therapy| Praziquantel/administration &amp; dosage/therapeutic use| Pyrazoles/majr/administration &amp; dosage/therapeutic use| Sarcoptidae| Skin/parasitology</t>
  </si>
  <si>
    <t>Knaus M, Capári B, Visser M</t>
  </si>
  <si>
    <t>4303-6</t>
  </si>
  <si>
    <t>Systemic insecticides (neonicotinoids and fipronil): trends, uses, mode of action and metabolites.</t>
  </si>
  <si>
    <t>Simon-Delso N, Amaral-Rogers V, Belzunces LP, Bonmatin JM, Chagnon M, Downs C, Furlan L, Gibbons DW, Giorio C, Girolami V, Goulson D, Kreutzweiser DP, Krupke CH, Liess M, Long E, McField M, Mineau P, Mitchell EA, Morrissey CA, Noome DA, Pisa L, Settele J, Stark JD, Tapparo A, Van Dyck H, Van Praagh J, Van der Sluijs JP, Whitehorn PR, Wiemers M</t>
  </si>
  <si>
    <t>5-34</t>
  </si>
  <si>
    <t>Effects of neonicotinoids and fipronil on non-target invertebrates.</t>
  </si>
  <si>
    <t>Pisa LW, Amaral-Rogers V, Belzunces LP, Bonmatin JM, Downs CA, Goulson D, Kreutzweiser DP, Krupke C, Liess M, McField M, Morrissey CA, Noome DA, Settele J, Simon-Delso N, Stark JD, Van der Sluijs JP, Van Dyck H, Wiemers M</t>
  </si>
  <si>
    <t>68-102</t>
  </si>
  <si>
    <t>Pesticides in U.S. streams and rivers: occurrence and trends during 1992-2011.</t>
  </si>
  <si>
    <t>Pesticides in U.S. streams and rivers: occurrence and trends during 1992-2011.    ABSTRACT:  During the 20 years from 1992 to 2011, pesticides were found at concentrations that exceeded aquatic-life benchmarks in many rivers and streams that drain agricultural, urban, and mixed-land use watersheds. Overall, the proportions of assessed streams with one or more pesticides that exceeded an aquatic-life benchmark were very similar between the two decades for agricultural (69% during 1992-2001 compared to 61% during 2002-2011) and mixed-land-use streams (45% compared to 46%). Urban streams, in contrast, increased from 53% during 1992-2011 to 90% during 2002-2011, largely because of fipronil and dichlorvos. The potential for adverse effects on aquatic life is likely greater than these results indicate because potentially important pesticide compounds were not included in the assessment. Human-health benchmarks were much less frequently exceeded, and during 2002-2011, only one agricultural stream and no urban or mixed-land-use streams exceeded human-health benchmarks for any of the measured pesticides. Widespread trends in pesticide concentrations, some downward and some upward, occurred in response to shifts in use patterns primarily driven by regulatory changes and introductions of new pesticides.  KEYWORDS:  MeSH Chemical: Herbicides| Pesticides| Water Pollutants, Chemical MeSH: | Agriculture| Aquatic Organisms/metabolism| Environmental Monitoring/majr| Geography| Herbicides/analysis| Humans| Pesticides/majr/analysis| Rivers/majr/chemistry| Time Factors| United States| Water Pollutants, Chemical/majr/analysis</t>
  </si>
  <si>
    <t>Stone WW, Gilliom RJ, Ryberg KR</t>
  </si>
  <si>
    <t>11025-30</t>
  </si>
  <si>
    <t>Decrease of insecticide resistance over generations without exposure to insecticides in Nilaparvata lugens (Hemipteran: Delphacidae).</t>
  </si>
  <si>
    <t>Decrease of insecticide resistance over generations without exposure to insecticides in Nilaparvata lugens (Hemipteran: Delphacidae).    ABSTRACT:  The brown planthopper, Nilaparvata lugens (Stål), is one of the most important insect pests on paddy rice in tropical and temperate Asia. Overuse and misuse of insecticides have resulted in the development of high resistance to many different insecticides in this pest. Studies were conducted to evaluate the change of resistance level to four insecticides over 15 generations without any exposure to insecticides in brown planthopper. After 15 generations' rearing without exposure to insecticide, brown planthopper could reverse the resistance to imidacloprid, chlorpyrifos, fipronil, and fenobucarb. The range and style of resistance reversal of brown planthopper differed when treated with four different insecticides. To monitor potential changes in insect physiological responses, we measured the activity of each of the three selected enzymes, including acetylcholinesterases (AChE), general esterases (EST), and glutathione S-transferases. After multiple generations' rearing without exposure to insecticide, AChE and EST activities of brown planthopper declined with the increased generations, suggesting that the brown planthopper population adjusted activities of EST and AChE to adapt to the non-insecticide environment. These findings suggest that the reducing, temporary stop, or rotation of insecticide application could be incorporated into the brown planthopper management.  KEYWORDS:  MeSH: | Animals| Female| Hemiptera/majr/enzymology| Insecticide Resistance/majr</t>
  </si>
  <si>
    <t>Yang Y, Dong B, Xu H, Zheng X, Tian J, Heong K, Lu Z</t>
  </si>
  <si>
    <t>1618-25</t>
  </si>
  <si>
    <t>Mortality patterns in Coptotermes gestroi (Blattodea: Rhinotermitidae) following horizontal transfer of nonrepellent and repellent insecticides: effects of donor:recipient ratio and exposure time.</t>
  </si>
  <si>
    <t>Mortality patterns in Coptotermes gestroi (Blattodea: Rhinotermitidae) following horizontal transfer of nonrepellent and repellent insecticides: effects of donor:recipient ratio and exposure time.    ABSTRACT:  The donor: recipient ratio and the time of donor exposure to termiticide required for maximal toxicant transfer among termites are crucial information for the development of termite management plans. Most of the available information on termiticide toxicity came from temperate zonal termite species, whereas little is known about tropical Asian species. In this study, mortality patterns of recipient termites, Coptotermes gestroi (Wasmann) subjected to seven formulated insecticide exposures under different donor exposure times and donor: recipient ratios were examined. For fipronil, lethal transfer was not affected by donor exposure time but was affected by the mixing ratio. The moderate-to-less toxic termiticides (imidacloprid, indoxacarb, bifenthrin, chlorfenapyr, and chlorantraniliprole) required long exposure time and a high mixing ratio to ensure maximal uptake by recipient workers compared with fipronil. For chlorantraniliprole and chlorfenapyr, donors must constitute &gt; 30% of the donor-recipient mixture to achieve 100% mortality of the recipient workers. Among the termiticides tested, cyantraniliprole was the most fast-killing insecticide against C. gestroi. The potential of lethal transfer among recipient termites does not necessarily require both high donor exposure time and a high mixing ratio, but the toxicity of a given termiticide against termites must be factored in to achieve colony elimination.  KEYWORDS:  MeSH Chemical: Insect Repellents| Insecticides MeSH: | Animals| Insect Repellents| Insecticides/majr/administration &amp; dosage| Isoptera/majr| Time Factors</t>
  </si>
  <si>
    <t>Neoh KB, Yeoh BH, Lee CY</t>
  </si>
  <si>
    <t>1563-72</t>
  </si>
  <si>
    <t>The role of Rdl in resistance to phenylpyrazoles in Drosophila melanogaster.</t>
  </si>
  <si>
    <t>Remnant EJ, Morton CJ, Daborn PJ, Lumb C, Yang YT, Ng HL, Parker MW, Batterham P</t>
  </si>
  <si>
    <t>11-21</t>
  </si>
  <si>
    <t>Response of the vacuolar ATPase subunit E to RNA interference and four chemical pesticides in Leptinotarsa decemlineata (Say).</t>
  </si>
  <si>
    <t>Fu KY, Guo WC, Lü FG, Liu XP, Li GQ</t>
  </si>
  <si>
    <t>GluCl a target of indole alkaloid okaramines: a 25 year enigma solved.</t>
  </si>
  <si>
    <t>GluCl a target of indole alkaloid okaramines: a 25 year enigma solved.    ABSTRACT:  In 1989, indole alkaloid okaramines isolated from the fermentation products of Penicillium simplicissimum were shown to be insecticidal, yet the mechanism of their toxicity to insects remains unknown. We therefore examined the action of okaramine B on silkworm larval neurons using patch-clamp electrophysiology. Okaramine B induced inward currents which reversed close to the chloride equilibrium potential and were blocked by fipronil. Thus it was tested on the silkworm RDL (resistant-to-dieldrin) γ-aminobutyric-acid-gated chloride channel (GABACl) and a silkworm L-glutamate-gated chloride channel (GluCl) expressed in Xenopus laevis oocytes. Okaramine B activated GluCl, but not RDL. GluCl activation by okaramines correlated with their insecticidal activity, offering a solution to a long-standing enigma concerning their insecticidal actions. Also, unlike ivermectin, okaramine B was inactive at 10 μM on human α1β2γ2 GABACl and α1β glycine-gated chloride channels and provides a new lead for the development of safe insect control chemicals.  KEYWORDS:  MeSH Chemical: Azetidines| Azocines| Chloride Channels| Indole Alkaloids| Insect Proteins| Insecticides| glutamate-gated chloride channels| okaramine B MeSH: | Animals| Azetidines/majr/pharmacology| Azocines/majr/pharmacology| Bombyx/majr/cytology/drug effects| Cells, Cultured| Chloride Channels/majr/antagonists &amp; inhibitors/metabolism| Humans| Indole Alkaloids/majr/pharmacology| Inhibitory Concentration 50| Insect Proteins/majr/antagonists &amp; inhibitors/metabolism| Insecticides/majr/pharmacology| Larva/cytology/drug effects| Membrane Potentials| Neurons/drug effects/physiology| Oocytes/drug effects| Patch-Clamp Techniques| Xenopus laevis</t>
  </si>
  <si>
    <t>Furutani S, Nakatani Y, Miura Y, Ihara M, Kai K, Hayashi H, Matsuda K</t>
  </si>
  <si>
    <t>6190</t>
  </si>
  <si>
    <t>Insecticidal, repellent and fungicidal properties of novel trifluoromethylphenyl amides.</t>
  </si>
  <si>
    <t>Tsikolia M, Bernier UR, Coy MR, Chalaire KC, Becnel JJ, Agramonte NM, Tabanca N, Wedge DE, Clark GG, Linthicum KJ, Swale DR, Bloomquist JR</t>
  </si>
  <si>
    <t>138-47</t>
  </si>
  <si>
    <t>Preventive efficacy of a topical combination of fipronil--(S)-methoprene--eprinomectin--praziquantel against ear mite (Otodectes cynotis) infestation of cats through a natural infestation model.</t>
  </si>
  <si>
    <t>Beugnet F, Bouhsira E, Halos L, Franc M</t>
  </si>
  <si>
    <t>Modification of the brain proteome of Africanized honeybees (Apis mellifera) exposed to a sub-lethal doses of the insecticide fipronil.</t>
  </si>
  <si>
    <t>Modification of the brain proteome of Africanized honeybees (Apis mellifera) exposed to a sub-lethal doses of the insecticide fipronil.    ABSTRACT:  Fipronil is a phenylpyrazole insecticide that is widely used in Brazilian agriculture for pest control. Although honeybees are not targets of fipronil, studies indicate that this pesticide can be harmful to honeybees. To assess the effects of fipronil in the brain of Africanized Apis mellifera workers, this study focused on the toxico-proteome profiling of the brain of newly emerged and aged honeybee workers that were exposed to a sub-lethal dose (10 pg fipronil per day. i.e. (1)/100 of LD50/bee/day during 5 days) of the insecticide. Proteomic analysis identified 25 proteins that were differentially up-regulated or down-regulated when the fipronil-exposed and non-exposed groups were compared. These proteins are potentially related to pathogen susceptibility, neuronal chemical stress, neuronal protein misfolding, and occurrence of apoptosis, ischemia, visual impairment, damaged synapse formation, brain degeneration, memory and learning impairment. The exposure of honeybees to a very low dose of fipronil, even for a short period of time (5 days), was sufficient to cause a series of important neuroproteomic changes in the brains of honeybees.  KEYWORDS:  MeSH Chemical: Insecticides| Proteome| Pyrazoles| fipronil MeSH: | Animals| Bees/majr| Brain/majr/drug effects/metabolism| Brazil| Insecticides/majr/toxicity| Lethal Dose 50| Proteome/majr/drug effects| Pyrazoles/majr/toxicity| Toxicity Tests, Subacute</t>
  </si>
  <si>
    <t>Roat TC, dos Santos-Pinto JR, Dos Santos LD, Santos KS, Malaspina O, Palma MS</t>
  </si>
  <si>
    <t>1659-70</t>
  </si>
  <si>
    <t>A novel fluorescent conjugate applicable to visualize the translocation of glucose-fipronil.</t>
  </si>
  <si>
    <t>A novel fluorescent conjugate applicable to visualize the translocation of glucose-fipronil.    ABSTRACT:  The ability to visualize the movement of glycosyl insecticides contributes to learning their translocation and distribution in plants. In our present work, a novel fluorescent glucose-fipronil conjugate N-[3-cyano-1-[2,6-dichloro-4-(trifluoromethyl)phenyl]-4-[(trifluoromethyl)sulfinyl]-1H-pyrazol-5-yl]-1-(2-[N-(7-nitrobenz-2-oxa-1,3-diazol-4-yl)amino]-2-deoxy-β-D-glucopyranosyl)-1H-1,2,3-triazole-4-methanamine (2-NBDGTF), was obtained via click chemistry. Disk uptake experiments showed that an active carrier-mediated system was involved in the 2-NBDGTF uptake process. Meanwhile, 2-NBDGTF exhibited comparable phloem mobility with GTF in castor bean seedlings. Visualization of 2-NBDGTF uptake and transport experiment showed that this fluorescent glucose-fipronil conjugate could be loaded into sieve tubes after transiting through epidermal cells and mesophyll cells and then translocate from cotyledon to hypocotyl via phloem in castor bean seedlings. The results above determined that it is a promising fluorescence tagging approach for revealing the activities of glycosyl insecticides and 2-NBDGTF is a reasonable and feasible fluorescent surrogate of GTF for tracing the distribution of glucose-fipronil conjugates.  KEYWORDS:  MeSH Chemical: Fluorescent Dyes| Insecticides| Pyrazoles| Glucose| fipronil MeSH: | Biological Transport| Castor Bean/majr/chemistry/embryology/metabolism| Cotyledon/chemistry/metabolism| Fluorescent Dyes| Glucose/majr/chemistry/metabolism| Insecticides/majr/chemistry/metabolism| Microscopy, Confocal| Phloem/chemistry/metabolism| Pyrazoles/majr/chemistry/metabolism| Seedlings/chemistry/metabolism</t>
  </si>
  <si>
    <t>Wang J, Lei Z, Wen Y, Mao G, Wu H, Xu H</t>
  </si>
  <si>
    <t>8791-8</t>
  </si>
  <si>
    <t>Efficacy of thiamethoxam and fipronil, applied alone and in combination, to control Limonius californicus and Hypnoidus bicolor (Coleoptera: Elateridae).</t>
  </si>
  <si>
    <t>Morales-Rodriguez A, Wanner KW</t>
  </si>
  <si>
    <t>584-91</t>
  </si>
  <si>
    <t>Fipronil and imidacloprid reduce honeybee mitochondrial activity.</t>
  </si>
  <si>
    <t>Nicodemo D, Maioli MA, Medeiros HC, Guelfi M, Balieira KV, De Jong D, Mingatto FE</t>
  </si>
  <si>
    <t>2070-5</t>
  </si>
  <si>
    <t>Emulsion-templated silica nanocapsules formed using bio-inspired silicification.</t>
  </si>
  <si>
    <t>Emulsion-templated silica nanocapsules formed using bio-inspired silicification.    ABSTRACT:  A novel, bio-inspired templating platform technology is reported for the synthesis of biocompatible oil-core silica-shell nanocapsules with tunable shell thickness by utilizing a designed bifunctional peptide. Furthermore, facile encapsulation of an active molecule and its sustained release are demonstrated.  KEYWORDS:  MeSH Chemical: Antiparasitic Agents| Delayed-Action Preparations| Emulsions| Nanocapsules| Peptides| Pyrazoles| Silicon Dioxide| fipronil MeSH: | Amino Acid Sequence| Antiparasitic Agents/administration &amp; dosage/chemistry| Biomimetic Materials| Delayed-Action Preparations| Emulsions| Molecular Sequence Data| Nanocapsules/majr/chemistry| Peptides/majr/chemical synthesis/chemistry| Pyrazoles/administration &amp; dosage/chemistry| Silicon Dioxide/majr/chemistry</t>
  </si>
  <si>
    <t>Wibowo D, Zhao CX, Middelberg AP</t>
  </si>
  <si>
    <t>Chemical communications (Cambridge, England)</t>
  </si>
  <si>
    <t>11325-8</t>
  </si>
  <si>
    <t>Endocrine disrupting potential of fipronil and its metabolite in reporter gene assays.</t>
  </si>
  <si>
    <t>Endocrine disrupting potential of fipronil and its metabolite in reporter gene assays.    ABSTRACT:  There is a rising concern about the ecological safety and potential health risks caused by pesticides that are commonly present in the environment. Previous studies have shown that metabolites of pesticides sometimes possess more potent endocrine activity than the parent compounds. However very little efforts had been devoted to evaluate the environmental risks of pesticide metabolites. In the present study, we evaluated the agonistic and antagonistic activities of fipronil and its metabolite, fipronil sulfone, and compared by in vitro reporter gene assays using CHO-K1 cells. For estrogenic and antiestrogenic activities, both fipronil and fipronil sulfone showed no agonistic activities but exhibited the similarly antagonistic activities via estrogen receptor α (ERα), with the RIC20 of 6.4 × 10(-7)M and 9.8 × 10(-7)M, respectively. In the thyroid hormone receptor (TR) assay, only fipronil sulfone showed anti-thyroid hormone activity with the RIC20 of 8.2 × 10(-7)M. Furthermore, molecular docking was employed to support the results in TR assay with lower MolDock score for fipronil sulfone. Data provided here suggested that it is of great significance to study the endocrine-disrupting effects of pesticide's metabolites, especially those with persistence in environment and high toxicity to non-targeted organisms.Copyright © 2014 Elsevier Ltd. All rights reserved.  KEYWORDS:  MeSH Chemical: Endocrine Disruptors| Estrogen Receptor alpha| Insecticides| Pyrazoles| Thyroid Hormone Receptors beta| fipronil sulfone| fipronil MeSH: | Animals| CHO Cells| Cricetulus| Endocrine Disruptors/majr/toxicity| Estrogen Receptor alpha/majr/metabolism| Genes, Reporter/majr| Insecticides/majr/toxicity| Molecular Docking Simulation| Pyrazoles/majr/toxicity| Thyroid Hormone Receptors beta/majr/metabolism Other:Estrogen|Fipronil|Metabolite|Molecular docking|Thyroid hormone</t>
  </si>
  <si>
    <t>Lu M, Du J, Zhou P, Chen H, Lu C, Zhang Q</t>
  </si>
  <si>
    <t>246-51</t>
  </si>
  <si>
    <t>Environmental fate and exposure; neonicotinoids and fipronil.</t>
  </si>
  <si>
    <t>Bonmatin JM, Giorio C, Girolami V, Goulson D, Kreutzweiser DP, Krupke C, Liess M, Long E, Marzaro M, Mitchell EA, Noome DA, Simon-Delso N, Tapparo A</t>
  </si>
  <si>
    <t>35-67</t>
  </si>
  <si>
    <t>Effect of paste processing on residue levels of imidacloprid, pyraclostrobin, azoxystrobin and fipronil in winter jujube.</t>
  </si>
  <si>
    <t>Effect of paste processing on residue levels of imidacloprid, pyraclostrobin, azoxystrobin and fipronil in winter jujube.    ABSTRACT:  The changes of imidacloprid, pyraclostrobin, azoxystrobin and fipronil residues were studied to investigate the carryover of pesticide residues in winter jujube during paste processing. A multi-residue analytical method for winter jujube was developed based on the QuEChERS approach. The recoveries for the pesticides were between 87.5% and 116.2%. LODs ranged from 0.002 to 0.1 mg kg(-1). The processing factor (Pf) is defined as the ratio of pesticide residue concentration in the paste to that in winter jujube. Pf was higher than 1 for the removal of extra water, and other steps were generally less than 1, indicating that the whole process resulted in lower pesticide residue levels in paste. Peeling would be the critical step for pesticide removal. Processing factors varied among different pesticides studied. The results are useful to address optimisation of the processing techniques in a manner that leads to considerable pesticide residue reduction.  KEYWORDS:  MeSH Chemical: Carbamates| Imidazoles| Insecticides| Methacrylates| Neonicotinoids| Nitro Compounds| Pesticide Residues| Pyrazoles| Pyrimidines| Strobilurins| imidacloprid| pyrachlostrobin| azoxystrobin| fipronil MeSH: | Carbamates/chemistry| Food Analysis/methods| Food Contamination/majr/analysis| Food Handling/majr/methods| Imidazoles/chemistry| Insecticides/majr/chemistry| Methacrylates/chemistry| Molecular Structure| Neonicotinoids| Nitro Compounds/chemistry| Pesticide Residues/majr/chemistry| Pyrazoles/chemistry| Pyrimidines/chemistry| Strobilurins| Ziziphus/majr/chemistry Other:paste|pesticide residues|processing factor|winter jujube</t>
  </si>
  <si>
    <t>Peng W, Zhao L, Liu F, Xue J, Li H, Shi K</t>
  </si>
  <si>
    <t>1562-7</t>
  </si>
  <si>
    <t>Enantioselective toxicity and degradation of the chiral insecticide fipronil in Scenedesmus obliguus suspension system.</t>
  </si>
  <si>
    <t>Enantioselective toxicity and degradation of the chiral insecticide fipronil in Scenedesmus obliguus suspension system.    ABSTRACT:  Fipronil is an effective insecticide, but it presents highly toxic effects in nontarget aquatic organisms. The present study examined the enantioselective toxicity and degradation of fipronil enantiomers in a freshwater algae Scenedesmus obliguus suspension. There was a substantial difference in the acute toxicity of the enantiomers to S. obliguus, with 72-h median effective concentrations (EC50s) of 0.29 mg L(-1) and 1.50 mg L(-1) for the R-fipronil and S-fipronil, respectively. The influences on the concentration of chlorophyll a, chlorophyll b, and carotenoids were determined, and the effects of fipronil on the concentration of chlorophyll a and chlorophyll b were also enantioselective. The degradation of fipronil in algae suspension was enantioselective, with half-lives for R-fipronil and S-fipronil of 2.9 d and 3.2 d, respectively, and the enantiomer fraction reaching 0.65 at the day 17. The enantiomeric differences should be taken into consideration for fipronil risk assessment.© 2014 SETAC.  KEYWORDS:  MeSH Chemical: Insecticides| Pyrazoles| Suspensions| Chlorophyll| chlorophyll a'| Carotenoids| chlorophyll b| fipronil| Chlorophyll A MeSH: | Biological Assay| Carotenoids/chemistry| Chlorophyll/analogs &amp; derivatives/chemistry| Chlorophyll A| Insecticides/majr/metabolism/toxicity| Photosynthesis| Pyrazoles/majr/metabolism/toxicity| Reproducibility of Results| Risk Assessment| Scenedesmus/majr/drug effects| Stereoisomerism| Suspensions| Time Factors Other:Degradation|Enantioselectivity|Fipronil|Scenedesmus obliguus|Toxicity</t>
  </si>
  <si>
    <t>Qu H, Ma RX, Liu DH, Wang P, Huang LD, Qiu XX, Zhou ZQ</t>
  </si>
  <si>
    <t>2516-21</t>
  </si>
  <si>
    <t>Estimating terrestrial amphibian pesticide body burden through dermal exposure.</t>
  </si>
  <si>
    <t>Estimating terrestrial amphibian pesticide body burden through dermal exposure.    ABSTRACT:  Dermal exposure presents a potentially significant but understudied route for pesticide uptake in terrestrial amphibians. Our study measured dermal uptake of pesticides of varying hydrophobicity (logKow) in frogs. Amphibians were indirectly exposed to one of five pesticide active ingredients through contact with contaminated soil: imidacloprid (logKow = 0.57), atrazine (logKow = 2.5), triadimefon (logKow = 3.0), fipronil (logKow = 4.11) or pendimethalin (logKow = 5.18). All amphibians had measurable body burdens at the end of the exposure in concentrations ranging from 0.019 to 14.562 μg/g across the pesticides tested. Atrazine produced the greatest body burdens and bioconcentration factors, but fipronil was more permeable to amphibian skin when application rate was considered. Soil partition coefficient and water solubility were much better predictors of pesticide body burden, bioconcentration factor, and skin permeability than logKow. Dermal uptake data can be used to improve risk estimates of pesticide exposure among amphibians as non-target organisms. Copyright © 2014 Elsevier Ltd. All rights reserved.  KEYWORDS:  MeSH Chemical: Pesticides| Atrazine MeSH: | Amphibians/majr/metabolism| Animals| Atrazine/majr/analysis/metabolism| Body Burden| Pesticides/majr/analysis/metabolism| Skin/metabolism| Skin Absorption Other:Bioaccumulation|Frog|K(OC)|K(OW)|Skin permeability</t>
  </si>
  <si>
    <t>Van Meter RJ, Glinski DA, Hong T, Cyterski M, Henderson WM, Purucker ST</t>
  </si>
  <si>
    <t>262-268</t>
  </si>
  <si>
    <t>In vitro impact of five pesticides alone or in combination on human intestinal cell line Caco-2.</t>
  </si>
  <si>
    <t>In vitro impact of five pesticides alone or in combination on human intestinal cell line Caco-2.    ABSTRACT:  In Burkina Faso, as in most Sahelian countries, the failure to follow good agricultural practices coupled with poor soil and climate conditions in the locust control context lead to high environmental contaminations with pesticide residues. Thus, consumers being orally exposed to a combination of multiple pesticide residues through food and water intake, the digestive tract is a tissue susceptible to be directly exposed to these food contaminants. The aim of our work was to compare in vitro the impact of five desert locust control pesticides (Deltamethrin DTM, Fenitrothion FNT, Fipronil FPN, Lambda-cyalothrine LCT, and Teflubenzuron TBZ) alone and in combination on the human intestinal Caco-2 cells viability and function. Cells were exposed to 0.1-100 μM pesticides for 10 days alone or in mixture (MIX). Our results showed a cytotoxic effect of DTM, FNT, FPN, LCT, and TBZ alone or in combination in human intestinal Caco-2 cells. The most efficient were shown to be FPN and FNT impacting the cell layer integrity and/or barrier function, ALP activity, antioxidant enzyme activity, lipid peroxidation, Akt activation, and apoptosis. The presence of antioxidant reduced lipid peroxidation level and attenuated the pesticides-induced cell toxicity, suggesting that key mechanism of pesticides cytotoxicity may be linked to their pro-oxidative potential. A comparative analysis with the predicted cytotoxic effect of pesticides mixture using mathematical modeling shown that the combination of these pesticides led to synergistic effects rather than to a simple independent or dose addition effect.  KEYWORDS:  Other:Antioxidant|Caco-2|Cell signaling|Locust control|Mixture|Oxidative stress|Pesticide</t>
  </si>
  <si>
    <t>Ilboudo S, Fouche E, Rizzati V, Toé AM, Gamet-Payrastre L, Guissou PI</t>
  </si>
  <si>
    <t>474-489</t>
  </si>
  <si>
    <t>Rhipicephalus (Boophilus) microplus resistant to acaricides and ivermectin in cattle farms of Mexico.</t>
  </si>
  <si>
    <t>Rhipicephalus (Boophilus) microplus resistant to acaricides and ivermectin in cattle farms of Mexico.    ABSTRACT:  Ticks and the diseases they transmit cause great economic losses to livestock in tropical countries. Non-chemical control alternatives include the use of resistant cattle breeds, biological control and vaccines. However, the most widely used method is the application of different chemical classes of acaricides and macrocyclic lactones. Populations of the cattle tick, Rhipicephalus (Boophilus) microplus, resistant to organophosphates (OP), synthetic pyrethroids (SP), amitraz and fipronil have been reported in Mexico. Macrocyclic lactones are the most sold antiparasitic drug in the Mexican veterinary market. Ivermectin-resistant populations of R. (B.) microplus have been reported in Brazil, Uruguay and especially in Mexico (Veracruz and Yucatan). Although ivermectin resistance levels in R. (B.) microplus from Mexico were generally low in most cases, some field populations of R. (B.) microplus exhibited high levels of ivermectin resistance. The CHPAT population showed a resistance ratio of 10.23 and 79.6 at lethal concentration of 50% and 99%, respectively. Many field populations of R. (B.) microplus are resistant to multiple classes of antiparasitic drugs, including organophosphates (chlorpyrifos, coumaphos and diazinon), pyrethroids (flumethrin, deltamethrin and cypermethrin), amitraz and ivermectin. This paper reports the current status of the resistance of R. (B.) microplus to acaricides, especially ivermectin, in Mexican cattle.  KEYWORDS:  MeSH Chemical: Acaricides| Antiparasitic Agents| Lactones| Ivermectin MeSH: | Acaricides/majr/pharmacology/therapeutic use| Agriculture| Animals| Antiparasitic Agents/majr/pharmacology/therapeutic use| Cattle| Cattle Diseases/drug therapy| Drug Resistance/majr| Ivermectin/majr/pharmacology/therapeutic use| Lactones/pharmacology/therapeutic use| Mexico| Rhipicephalus/majr/drug effects| Tick Infestations/drug therapy/veterinary</t>
  </si>
  <si>
    <t>Rodríguez-Vivas RI, Pérez-Cogollo LC, Rosado-Aguilar JA, Ojeda-Chi MM, Trinidad-Martinez I, Miller RJ, Li AY, de León AP, Guerrero F, Klafke G</t>
  </si>
  <si>
    <t>113-22</t>
  </si>
  <si>
    <t>Risks of large-scale use of systemic insecticides to ecosystem functioning and services.</t>
  </si>
  <si>
    <t>Chagnon M, Kreutzweiser D, Mitchell EA, Morrissey CA, Noome DA, Van der Sluijs JP</t>
  </si>
  <si>
    <t>119-34</t>
  </si>
  <si>
    <t>Prenatal exposure to a low fipronil dose disturbs maternal behavior and reflex development in rats.</t>
  </si>
  <si>
    <t>Udo MS, Sandini TM, Reis TM, Bernardi MM, Spinosa HS</t>
  </si>
  <si>
    <t>27-33</t>
  </si>
  <si>
    <t>Determination of pyrazole and pyrrole pesticides in environmental water samples by solid-phase extraction using multi-walled carbon nanotubes as adsorbent coupled with high-performance liquid chromatography.</t>
  </si>
  <si>
    <t>Ma J, Lu X, Xia Y, Yan F</t>
  </si>
  <si>
    <t>Journal of chromatographic science</t>
  </si>
  <si>
    <t>380-4</t>
  </si>
  <si>
    <t>A review of the direct and indirect effects of neonicotinoids and fipronil on vertebrate wildlife.</t>
  </si>
  <si>
    <t>103-18</t>
  </si>
  <si>
    <t>Glucose positions affect the phloem mobility of glucose-fipronil conjugates.</t>
  </si>
  <si>
    <t>Glucose positions affect the phloem mobility of glucose-fipronil conjugates.    ABSTRACT:  In our previous work, a glucose-fipronil (GTF) conjugate at the C-1 position was synthesized via click chemistry and a glucose moiety converted a non-phloem-mobile insecticide fipronil into a moderately phloem-mobile insecticide. In the present paper, fipronil was introduced into the C-2, C-3, C-4, and C-6 positions of glucose via click chemistry to obtain four new conjugates and to evaluate the effects of the different glucose isomers on phloem mobility. The phloem mobility of the four new synthetic conjugates and GTF was tested using the Ricinus seedling system. The results confirmed that conjugation of glucose at different positions has a significant influence on the phloem mobility of GTF conjugates.  KEYWORDS:  MeSH Chemical: Insecticides| Pyrazoles| Glucose| fipronil MeSH: | Biological Transport/drug effects| Castor Bean/majr/chemistry/drug effects/metabolism| Glucose/majr/analogs &amp; derivatives/analysis/pharmacokinetics| Insecticides/majr/analysis/chemistry/pharmacokinetics| Molecular Structure| Phloem/majr/chemistry/metabolism| Pyrazoles/majr/analysis/chemistry/pharmacokinetics| Seedlings/majr/chemistry/drug effects/metabolism Other:click chemistry|glucose positions|glucosyl conjugates|glycosyl azides|phloem mobility</t>
  </si>
  <si>
    <t>Lei Z, Wang J, Mao G, Wen Y, Tian Y, Wu H, Li Y, Xu H</t>
  </si>
  <si>
    <t>6065-71</t>
  </si>
  <si>
    <t>Enantioselective bioaccumulation and toxic effects of fipronil in the earthworm Eisenia foetida following soil exposure.</t>
  </si>
  <si>
    <t>Qin F, Gao Y, Xu P, Guo B, Li J, Wang H</t>
  </si>
  <si>
    <t>553-61</t>
  </si>
  <si>
    <t>Susceptibility of cat fleas (Siphonaptera: Pulicidae) to fipronil and imidacloprid using adult and larval bioassays.</t>
  </si>
  <si>
    <t>Rust MK, Vetter R, Denholm I, Blagburn B, Williamson MS, Kopp S, Coleman G, Hostetler J, Davis W, Mencke N, Rees R, Foit S, Tetzner K</t>
  </si>
  <si>
    <t>638-43</t>
  </si>
  <si>
    <t>Efficacy of fipronil (1.0 mg/kg) against Rhipicephalus (Boophilus) microplus strains resistant to ivermectin (0.63 mg/kg).</t>
  </si>
  <si>
    <t>Efficacy of fipronil (1.0 mg/kg) against Rhipicephalus (Boophilus) microplus strains resistant to ivermectin (0.63 mg/kg).    ABSTRACT:  The present study aimed to evaluate the efficacy of fipronil (1 mg/kg) against three strains of ivermectin-resistant Rhipicephalus (Boophilus) microplus (R. (B.) microplus), naturally infesting cattle from different states of Brazil. Three rural properties with a history of macrocyclic lactones ineffectiveness against the cattle tick, and low frequency use of fipronil in the herd, were selected for the study. The animals were randomized according to the mean tick counts, performed on days -3, -2 and -1, into three groups with 10 animals each: T01, control (saline solution); T02, subcutaneous ivermectin (0.63 mg/kg) and T03, topical fipronil (1 mg/kg). Treatment was performed on day 0. Counts of partially engorged female ticks were performed on days 3, 7 and 14 post-treatment (DPT), and then every 7 days until the 49th DPT. In all three experiments, it was possible to diagnose resistance of R. (B.) microplus to ivermectin (0.63 mg/kg). The maximum efficacy (arithmetic mean) obtained for ivermectin was 64% in experiment II. On the other hand, the formulation containing fipronil (1 mg/kg) reached high efficacy values (≥97%) in all three experiments. The results from all experiments in this study demonstrate the high efficacy of 1mg/kg fipronil, administered pour-on in naturally infested cattle, against strains of R. (B.) microplus that are resistant to 630 mcg/kg ivermectin.Copyright © 2014 Elsevier B.V. All rights reserved.  KEYWORDS:  MeSH Chemical: Acaricides| Pyrazoles| Ivermectin| fipronil MeSH: | Acaricides/majr| Animals| Brazil| Cattle| Cattle Diseases/drug therapy| Drug Resistance/majr/drug effects| Female| Ivermectin/majr/pharmacology| Pyrazoles/majr/pharmacology/therapeutic use| Rhipicephalus/majr| Tick Infestations/majr/drug therapy/veterinary Other:Efficacy|Fipronil|Ivermectin|Resistance</t>
  </si>
  <si>
    <t>Lopes WD, Cruz BC, Teixeira WF, Felippelli G, Maciel WG, Buzzulini C, Gomes LV, Favero F, Soares VE, Bichuette MA, de Oliveira GP, da Costa AJ</t>
  </si>
  <si>
    <t>Actions of agonists, fipronil and ivermectin on the predominant in vivo splice and edit variant (RDLbd, I/V) of the Drosophila GABA receptor expressed in Xenopus laevis oocytes.</t>
  </si>
  <si>
    <t>Lees K, Musgaard M, Suwanmanee S, Buckingham SD, Biggin P, Sattelle D</t>
  </si>
  <si>
    <t>e97468</t>
  </si>
  <si>
    <t>Persistence and effect of processing on reduction of fipronil and its metabolites in chilli pepper (Capsicum annum L.) fruits.</t>
  </si>
  <si>
    <t>Persistence and effect of processing on reduction of fipronil and its metabolites in chilli pepper (Capsicum annum L.) fruits.    ABSTRACT:  A single laboratory UPLC-MS/MS method was developed and validated for the estimation of fipronil and its metabolites in fresh and dry chilli pepper fruits. Dissipation of fipronil on chilli fruits was studied following the application of fipronil (Jump 80 WG) at 40 and 80 g active ingredient (a.i.) ha(-1) in the fruiting stage of the crop. The initial deposits of total fipronil on fresh chilli fruits at single and double dose application were 0.69 and 1.43 μg g(-1), respectively, and were dissipated to below quantitation level at 27 days after application. The half-life of fipronil at single and double dose in fresh chilli pepper was 4.22 and 4.32 days and the waiting period was 25.9 and 30.6 days, respectively. Processing factor due to sun drying was calculated by measuring fipronil residues in dry chilli fruits, and it ranged from 2.96 to 3.50 during 0 to 21st day after application. Among the metabolites of fipronil, fipronil desulfenyl and fipronil sulfone had maximum residues in fresh and dried chilli, respectively, followed by fipronil sulfide. Dipping in solutions of tamarind, turmeric, vinegar and slaked lime and wet scrubbing could remove more than 90% of fipronil residues in fruits.  KEYWORDS:  MeSH Chemical: Insecticides| Pyrazoles| Soil Pollutants| fipronil MeSH: | Capsicum/majr/chemistry| Environmental Monitoring| Fruit/chemistry| Half-Life| Insecticides/majr/analysis| Pyrazoles/majr/analysis| Risk Assessment| Soil Pollutants/majr/analysis| Tandem Mass Spectrometry</t>
  </si>
  <si>
    <t>Xavier G, Chandran M, George T, Beevi SN, Mathew TB, Paul A, Arimboor R, Vijayasree V, Pradeepkumar GT, Rajith R</t>
  </si>
  <si>
    <t>5429-37</t>
  </si>
  <si>
    <t>Seed dressing pesticides on springtails in two ecotoxicological laboratory tests.</t>
  </si>
  <si>
    <t>Seed dressing pesticides on springtails in two ecotoxicological laboratory tests.    ABSTRACT:  Terrestrial ecotoxicological tests are powerful tools for assessing the ecological risks that pesticides pose to soil invertebrates, but they are rarely used to evaluate seed dressing pesticides. This study investigated the effects of seed dressing pesticides on survival and reproduction of Folsomia candida (Collembola), using standardized ecotoxicological tests (after ISO guidelines with few adaptations for tropical conditions). Commercial formulations of five seed dressing pesticides were tested individually in Tropical Artificial Soil (TAS): the insecticides imidacloprid, fipronil, thiametoxam, and the fungicides captan and carboxin+thiram. Thiametoxam, captan, and carboxin+thiram were only lethal to F. candida at the highest concentration tested (1000mg of active ingredient kg(-1) of dry soil). Imidacloprid and fipronil were lethal at lower concentrations (100 and 10mg a.i. kg(-1) soil d.w, respectively), however, these concentrations were much higher than those predicted (PEC) for soil. Imidacloprid and fipronil were the most toxic pesticides in both tests, reducing significantly collembolan reproduction (EC20=0.02 and 0.12mga.i.kg(-1) soil d.w, respectively). Further studies under more realistic conditions are needed, since imidacloprid and fipronil reduced collembolan reproduction at concentrations below or close to their respective PECs. Copyright © 2014 Elsevier Inc. All rights reserved.  KEYWORDS:  MeSH Chemical: Pesticides MeSH: | Animals| Arthropods/majr/drug effects| Ecotoxicology/majr| Lethal Dose 50| Pesticides/majr/toxicity| Reproducibility of Results| Toxicity Tests Other:Collembola|Environmental risk assessment|Folsomia candida|Seed treatment|Soil ecotoxicology|Soil fauna</t>
  </si>
  <si>
    <t>Alves PR, Cardoso EJ, Martines AM, Sousa JP, Pasini A</t>
  </si>
  <si>
    <t>65-71</t>
  </si>
  <si>
    <t>Effects of trilostane and fipronil on the reproductive axis in an early life stage of the Japanese medaka (Oryzias latipes).</t>
  </si>
  <si>
    <t>Effects of trilostane and fipronil on the reproductive axis in an early life stage of the Japanese medaka (Oryzias latipes).    ABSTRACT:  Given the critical role of the hypothalamic-pituitary-gonadal (HPG) axis, it is conceivable that perturbations at any point along this axis can potentially affect reproduction in fish and other vertebrates. We investigated the effects of a 3β-hydroxysteroid dehydrogenase (3β-HSD) inhibitor, trilostane (TRI), and a gamma-aminobutyric acid (GABA)-receptor antagonist, fipronil (FIP), on the HPG axis using an early life stage of the Japanese medaka. The newly hatched larvae were exposed to TRI (100, 300 and 1000 μg/L) and FIP (3, 10 and 30 μg/L), respectively, until 28 days post-hatching. Exposure to TRI decreased the body length in males, whereas FIP inhibited growth in both sexes. The induction of steroidogenesis-regulating genes (including 3β-hsd) in males exposed to TRI, accompanied by increased vtg and er transcription, indicating a compensatory response to the presumed 3β-HSD inhibition. These compensatory responses were not observed in TRI-treated females. Regarding FIP exposure, the GABA blocker resulted in the down-regulation of fshr and lhr. A compensatory up-regulation of steroidogenesis-regulating genes partially explained the elevated transcripts of vtg genes in both males and females after FIP exposure. These results suggest that both the inhibition of 3β-HSD and the antagonism of GABA receptors are relevant modes of endocrine disruption that could impact the normal regulation of the HPG axis.  KEYWORDS:  MeSH Chemical: Pyrazoles| Dihydrotestosterone| trilostane| fipronil MeSH: | Animals| Dihydrotestosterone/majr/analogs &amp; derivatives/toxicity| Female| Larva/drug effects/growth &amp; development| Male| Oryzias/majr/growth &amp; development| Pyrazoles/majr/toxicity| Reproduction/majr/drug effects| Sex Factors</t>
  </si>
  <si>
    <t>Sun L, Jin R, Peng Z, Zhou Q, Qian H, Fu Z</t>
  </si>
  <si>
    <t>1044-54</t>
  </si>
  <si>
    <t>Effects of a fipronil spot treatment on field colonies of Coptotermes formosanus (Isoptera: Rhinotermitidae).</t>
  </si>
  <si>
    <t>Effects of a fipronil spot treatment on field colonies of Coptotermes formosanus (Isoptera: Rhinotermitidae).    ABSTRACT:  This field study investigated the colony effect of a fipronil spot treatment applied to active infestations of Formosan subterranean termite, Coptotermes formosanus Shiraki. Spot treatments were applied to a single active independent monitor from each of four colonies in which multiple independent monitors were established. All treated monitors were abandoned, and the contents of the treated monitors were replaced with untreated wood at the approximately 30-d posttreatment inspection. All colonies survived treatment and only one colony exhibited long-term effects, which included significant reductions in termite collections and increased worker size. The affected colony was treated within 1 m of its primary nest. Two colonies exhibited a correlation between monitor termite production and distance from treatment. Distance appears to be a factor limiting fipronil's colony effects. The Formosan subterranean termite may not be a good candidate for the exterior perimeter and localized interior treatment label option because of the large range and size of the colony.  KEYWORDS:  MeSH Chemical: Insecticides| Pyrazoles| fipronil MeSH: | Animals| Female| Insect Control/majr/methods| Insecticides/majr| Isoptera/majr| Male| Motor Activity/drug effects| New Orleans| Pyrazoles/majr| Wood</t>
  </si>
  <si>
    <t>Osbrink WL, Cornelius ML, Showler AT, Pound JM</t>
  </si>
  <si>
    <t>727-40</t>
  </si>
  <si>
    <t>The effect of temperature on the toxicity of insecticides against Musca domestica L.: implications for the effective management of diarrhea.</t>
  </si>
  <si>
    <t>Khan HA, Akram W</t>
  </si>
  <si>
    <t>e95636</t>
  </si>
  <si>
    <t>Enantioselective toxicity, bioaccumulation and degradation of the chiral insecticide fipronil in earthworms (Eisenia feotida).</t>
  </si>
  <si>
    <t>Enantioselective toxicity, bioaccumulation and degradation of the chiral insecticide fipronil in earthworms (Eisenia feotida).    ABSTRACT:  The enantioselective acute toxicity to earthworms of racemic fipronil and its individual enantiomers was studied. R-(-)-fipronil was approximately 1.5 times more toxic than the racemate and approximately 2 times more toxic than S-(+)-fipronil after 72 and 96 h of exposure, respectively. Assays of fipronil enantiomer bioaccumulation and degradation in earthworms were conducted. The bio-concentration factors (BCFs) were slightly different between the two enantiomers. The enantiomeric fraction (EF) values in earthworms in the bioaccumulation period were approximately 0.5, which indicated there was no enantioselective bioaccumulation. In contrast, the degradation of fipronil in earthworms was enantioselective: the t1/2 values for R- and S-fipronil were 3.3 and 2.5 days, respectively, in natural soil, and 2.1 and 1.4 days, respectively, in artificial soil. The results of soil analyses showed that the degradation of fipronil was not enantioselective, which suggested that the enantioselectivity of fipronil in earthworms results from the organism's metabolism. The study also demonstrated that the presence of earthworms could accelerate the degradation of fipronil in soil.Copyright © 2014 Elsevier B.V. All rights reserved.  KEYWORDS:  MeSH Chemical: Insecticides| Pyrazoles| Soil| Soil Pollutants| fipronil MeSH: | Animals| Biological Assay| Insecticides/majr/chemistry/toxicity| Lethal Dose 50| Oligochaeta| Pyrazoles/majr/chemistry/toxicity| Soil/chemistry| Soil Pollutants/majr/chemistry/toxicity| Stereoisomerism Other:Bioaccumulation|Degradation|Enantioselectivity|Fipronil|Toxicity</t>
  </si>
  <si>
    <t>Qu H, Wang P, Ma RX, Qiu XX, Xu P, Zhou ZQ, Liu DH</t>
  </si>
  <si>
    <t>485-486</t>
  </si>
  <si>
    <t>415-420</t>
  </si>
  <si>
    <t>Cross resistances in spinosad-resistant Culex quinquefasciatus (Diptera: Culicidae).</t>
  </si>
  <si>
    <t>Cross resistances in spinosad-resistant Culex quinquefasciatus (Diptera: Culicidae).    ABSTRACT:  A Culex quinquefasciatus Say colony was selected for 45 generations at LC70-90 levels using Natular XRG, a granular formulation of 2.5% spinosad for induction of spinosad resistance. Resistance to spinosad was noticed in early generations (F1-F9). Resistance levels increased gradually from generations F11-F35, and elevated significantly from generation F37 through F47, when resistance ratios reached 2,845-2,907-fold at LC50 and 11,948-22,928-fold at LC90 The spinosad-resistant Cx. quinquefasciatus colony was found not to be cross-resistant to Bacillus thuringiensis israelensis (Bti), a combination of Bti and Bacillus sphaericus, methoprene, pyriproxyfen, diflubenzuron, novaluron, temephos, or imidacloprid. However, it showed various levels of cross-resistance to B. sphaericus, spinetoram, abamectin, and fipronil. Conversely, a laboratory colony of Cx. quinquefasciatus that is highly resistant to B. sphaericus did not show cross-resistance to spinosad and spinetoram. Field-collected and laboratory-selected Cx. quinquefasciatus that showed low to moderate resistance to methoprene did not show cross-resistance to spinosad and spinetoram. Mechanisms of cross-resistance among several biorational pesticides were discussed according to their modes of actions.  KEYWORDS:  MeSH Chemical: Drug Combinations| Insecticides| Macrolides| Methoprene| spinosad MeSH: | Animals| Culex/majr| Drug Combinations| Insecticide Resistance/majr| Insecticides/majr| Macrolides/majr| Methoprene</t>
  </si>
  <si>
    <t>Su T, Cheng ML</t>
  </si>
  <si>
    <t>428-35</t>
  </si>
  <si>
    <t>Investigation of insecticide leaching from potted nursery stock and aquatic health benefits of bioretention cells receiving nursery runoff.</t>
  </si>
  <si>
    <t>Graves GM, Vogel JR, Belden JB, Rebek EJ, Simpson AM</t>
  </si>
  <si>
    <t>8801-11</t>
  </si>
  <si>
    <t>Efficacy of a novel topical combination of fipronil, (S)-methoprene, eprinomectin and praziquantel against larval and adult stages of the cat lungworm, Aelurostrongylus abstrusus.</t>
  </si>
  <si>
    <t>Knaus M, Chester ST, Rosentel J, Kühnert A, Rehbein S</t>
  </si>
  <si>
    <t>64-8</t>
  </si>
  <si>
    <t>Efficacy of a novel topical combination of fipronil, (S)-methoprene, eprinomectin, and praziquantel, against the ticks, Ixodes ricinus and Ixodes scapularis, on cats.</t>
  </si>
  <si>
    <t>Tielemans E, Prullage J, Knaus M, Visser M, Manavella C, Chester ST, Young D, Everett WR, Rosentel J</t>
  </si>
  <si>
    <t>59-63</t>
  </si>
  <si>
    <t>Efficacy of a novel topical combination of fipronil, (S)-methoprene, eprinomectin and praziquantel against adult and immature stages of the cat flea (Ctenocephalides felis) on cats.</t>
  </si>
  <si>
    <t>Baker C, Tielemans E, Prullage JB, Chester ST, Knaus M, Rehbein S, Fourie JJ, Young DR, Everett WR, Rosentel JK</t>
  </si>
  <si>
    <t>54-8</t>
  </si>
  <si>
    <t>Efficacy of a single dose of a novel topical combination product containing eprinomectin to prevent heartworm infection in cats.</t>
  </si>
  <si>
    <t>Baker CF, Tielemans E, Pollmeier MG, McCall JW, McCall SD, Irwin J, Chester ST, Carithers DS, Rosentel JK</t>
  </si>
  <si>
    <t>49-53</t>
  </si>
  <si>
    <t>Efficacy of a novel topical combination of fipronil, (S)-methoprene, eprinomectin and praziquantel against feline urinary bladder worm (Capillaria plica) infection.</t>
  </si>
  <si>
    <t>Knaus M, Shukullari E, Rosentel J, Rehbein S</t>
  </si>
  <si>
    <t>45-8</t>
  </si>
  <si>
    <t>Efficacy of a novel topical combination of fipronil, (S)-methoprene, eprinomectin and praziquantel against experimental infections of Toxascaris leonina in cats.</t>
  </si>
  <si>
    <t>Knaus M, Theodore Chester S, Rosentel J, Visser M, Rehbein S</t>
  </si>
  <si>
    <t>40-4</t>
  </si>
  <si>
    <t>Efficacy of a novel topical combination of fipronil, (S)-methoprene, eprinomectin and praziquantel against adult and larval stages of Toxocara cati in cats.</t>
  </si>
  <si>
    <t>Knaus M, Baker CF, Reinemeyer CR, Chester ST, Rosentel J, Rehbein S</t>
  </si>
  <si>
    <t>34-9</t>
  </si>
  <si>
    <t>Efficacy of a novel topical combination of fipronil, (S)-methoprene, eprinomectin and praziquantel against induced infections of Ancylostoma spp. nematodes of cats.</t>
  </si>
  <si>
    <t>Efficacy of a novel topical combination of fipronil, (S)-methoprene, eprinomectin and praziquantel against induced infections of Ancylostoma spp. nematodes of cats.    ABSTRACT:  Four studies were conducted to examine the efficacy of a novel topical combination of fipronil, (S)-methoprene, eprinomectin, and praziquantel (BROADLINE(®), Merial) against Ancylostoma tubaeforme and Ancylostoma braziliense hookworms of cats. In each study, purpose-bred cats were randomly assigned to treatment groups of 10 or 12 cats per group. In three studies the cats were inoculated with A. tubaeforme and in one study with A. braziliense. The inoculations were undertaken on a schedule which resulted in the hookworms reaching the fourth larval stage in two of the studies, or the adult stage in four of the studies, by the day of treatment. In each study there was also an untreated control and 1 or 2 groups treated with the novel combination. In the two studies where efficacy against the fourth larval stage of A. tubaeforme was tested, the efficacy recorded was 100%. In the three studies where efficacy against the adult stage of A. tubaeforme was tested, efficacy of 100% was also confirmed. In the study where efficacy against the adult stage of A. braziliense was tested efficacy was 99.5%.Copyright © 2014 The Authors. Published by Elsevier B.V. All rights reserved.  KEYWORDS:  MeSH Chemical: Antiparasitic Agents| Drug Combinations| Pyrazoles| Praziquantel| Ivermectin| eprinomectin| Methoprene| fipronil MeSH: | Ancylostoma/physiology| Ancylostomiasis/majr/drug therapy/veterinary| Animals| Antiparasitic Agents/majr/administration &amp; dosage| Cat Diseases/majr/drug therapy| Cats| Drug Combinations| Ivermectin/administration &amp; dosage/analogs &amp; derivatives| Methoprene/administration &amp; dosage| Praziquantel/administration &amp; dosage| Pyrazoles/administration &amp; dosage| Random Allocation| Treatment Outcome Other:(S)-methoprene|Ancylostoma braziliense|Ancylostoma tubaeforme|Eprinomectin|Fipronil|Praziquantel</t>
  </si>
  <si>
    <t>Prullage JB, Knaus M, Bowman DD, Chester ST, Visser M, Rehbein S, Rosentel J</t>
  </si>
  <si>
    <t>30-3</t>
  </si>
  <si>
    <t>Efficacy in cats of a novel topical combination of fipronil, (S)-methoprene, eprinomectin, praziquantel, against induced infestations of Echinococcus multilocularis.</t>
  </si>
  <si>
    <t>Tielemans E, Manavella C, Visser M, Theodore Chester S, Rosentel J</t>
  </si>
  <si>
    <t>26-9</t>
  </si>
  <si>
    <t>Efficacy of a novel topical fipronil, (S)-methoprene, eprinomectin and praziquantel combination against naturally acquired intestinal nematode and cestode infections in cats.</t>
  </si>
  <si>
    <t>Knaus M, Abu-Madi MA, Ibarra-Velarde F, Kok DJ, Kusi I, Postoli R, Chester ST, Rosentel J, Alva R, Irwin J, Visser M, Winter R, Rehbein S</t>
  </si>
  <si>
    <t>Efficacy against nematode and cestode infections and safety of a novel topical fipronil, (S)-methoprene, eprinomectin and praziquantel combination product in domestic cats under field conditions in Europe.</t>
  </si>
  <si>
    <t>Rehbein S, Capári B, Duscher G, Keidane D, Kirkova Z, Petkevičius S, Rapti D, Wagner A, Wagner T, Chester ST, Rosentel J, Tielemans E, Visser M, Winter R, Kley K, Knaus M</t>
  </si>
  <si>
    <t>10-7</t>
  </si>
  <si>
    <t>Pharmacokinetics and metabolism of eprinomectin in cats when administered in a novel topical combination of fipronil, (S)-methoprene, eprinomectin and praziquantel.</t>
  </si>
  <si>
    <t>Kvaternick V, Kellermann M, Knaus M, Rehbein S, Rosentel J</t>
  </si>
  <si>
    <t>2-9</t>
  </si>
  <si>
    <t>Discovery of a novel series of phenyl pyrazole inner salts based on fipronil as potential dual-target insecticides.</t>
  </si>
  <si>
    <t>Discovery of a novel series of phenyl pyrazole inner salts based on fipronil as potential dual-target insecticides.    ABSTRACT:  A series of novel phenyl pyrazole inner salt derivatives based on fipronil were designed and synthesized in the search for dual-target insecticides. These compounds were designed to target two families of nicotinic acetylcholine receptors and γ-aminobutyric acid receptors. The insecticidal activities of the new compounds against diamondback moth (Plutella xylostella) were evaluated. The results of bioassays indicated that most of the inner salts showed moderate to high activities, of which the phenyl pyrazole inner salts containing quinoline had excellent biological activity. Previous structure-activity relationship studies revealed that a suitable structure of the quaternary ammonium salts was critical for the bioactivity of phenyl pyrazole inner salts, which contribute to exposing the cationic nitrogen to bind to the receptor (for instance, nicotinic acetylcholine receptors) and possibly interact with the receptor via hydrogen bonding and cooperative π-π interaction. The present work demonstrates that the insecticidal potency of phenyl pyrazole inner salts holds promise for the development new dual-target phenyl pyrazole insecticides.  KEYWORDS:  MeSH Chemical: Insecticides| Pyrazoles| pyrazole| fipronil MeSH: | Animals| Drug Design| Insecticides/majr/chemistry/pharmacology| Molecular Structure| Moths/drug effects| Pyrazoles/majr/chemistry/pharmacology| Structure-Activity Relationship</t>
  </si>
  <si>
    <t>Jiang D, Zheng X, Shao G, Ling Z, Xu H</t>
  </si>
  <si>
    <t>3577-83</t>
  </si>
  <si>
    <t>Laboratory and field evaluation of rodent bait treated with fipronil for feed through and systemic control of Phlebotomus papatasi.</t>
  </si>
  <si>
    <t>Derbali M, Polyakova L, Boujaâma A, Burruss D, Cherni S, Barhoumi W, Chelbi I, Poché R, Zhioua E</t>
  </si>
  <si>
    <t>27-32</t>
  </si>
  <si>
    <t>Fipronil-amitraz-S-methoprene-triggered pemphigus foliaceus in 21 dogs: clinical, histological and immunological characteristics.</t>
  </si>
  <si>
    <t>Bizikova P, Linder KE, Olivry T</t>
  </si>
  <si>
    <t>103-11, e29-30</t>
  </si>
  <si>
    <t>Field and laboratory efficacy of three insecticides for population management of the Asian cockroach (Dictyoptera: Blattellidae).</t>
  </si>
  <si>
    <t>Field and laboratory efficacy of three insecticides for population management of the Asian cockroach (Dictyoptera: Blattellidae).    ABSTRACT:  Toxicity, repellency, and performance of three insecticides, beta-cyfluthrin EC, fipronil granules, and an essential oil EC formulation, were evaluated against the Asian cockroach, Blattella asahinai Mizukubo, in field and laboratory experiments. The beta-cyfluthrin EC and fipronil granules were significantly more toxic than the essential oil EC formulation under continuous exposure conditions, with LT50 values of 0.014, 0.45, and 11.45 d, respectively. The beta-cyfluthrin EC and fipronil granules were also significantly more toxic than the essential oil EC formulation in an Ebeling choice box test with LT50 values of 0.64, 1.98, and 59.64 d, respectively. Field applications of insecticides at label rates to Asian cockroach populations in Dothan, AL, showed that beta-cyfluthrin EC and fipronil granules reduced populations by 100% at 7 and 30 d after treatment. The essential oil EC formulation initially reduced populations by 68% at 7 d, but control diminished to 2% by 30 d. Results of the field applications and laboratory experiments demonstrate that the beta-cyfluthrin EC and fipronil granules provide excellent control of Asian cockroach populations.  KEYWORDS:  MeSH Chemical: Insecticides| Nitriles| Oils, Volatile| Pyrazoles| Pyrethrins| fipronil| cyfluthrin MeSH: | Animals| Blattellidae/majr| Insect Control| Insecticides/majr| Male| Nitriles| Oils, Volatile/majr| Pyrazoles| Pyrethrins</t>
  </si>
  <si>
    <t>Snoddy ET, Appel AG</t>
  </si>
  <si>
    <t>326-32</t>
  </si>
  <si>
    <t>Pheromone-assisted techniques to improve the efficacy of insecticide sprays against Linepithema humile (Hymenoptera: Formicidae).</t>
  </si>
  <si>
    <t>Pheromone-assisted techniques to improve the efficacy of insecticide sprays against Linepithema humile (Hymenoptera: Formicidae).    ABSTRACT:  Outdoor residual sprays are among the most common methods for targeting pestiferous ants in urban pest management programs. If impervious surfaces such as concrete are treated with these insecticides, the active ingredients can be washed from the surface by rain or irrigation. As a result, residual sprays with fipronil and pyrethroids are found in urban waterways and aquatic sediments. Given the amount of insecticides applied to urban settings for ant control and their possible impact on urban waterways, the development of alternative strategies is critical to decrease the overall amounts of insecticides applied, while still achieving effective control of target ant species. Herein we report a "pheromone-assisted technique" as an economically viable approach to maximize the efficacy of conventional sprays targeting the Argentine ant. By applying insecticide sprays supplemented with an attractive pheromone compound, (Z)-9-hexadecenal, Argentine ants were diverted from nearby trails and nest entrances and subsequently exposed to insecticide residues. Laboratory experiments with fipronil and bifenthrin sprays indicated that the overall kill of the insecticides on Argentine ant colonies was significantly improved (57-142% increase) by incorporating (Z)-9-hexadecenal in the insecticide sprays. This technique, once it is successfully implemented in practical pest management programs, has the potential of providing maximum control efficacy with reduced amount of insecticides applied in the environment.  KEYWORDS:  MeSH Chemical: 9-hexadecenal| Aldehydes| Insecticides| Pheromones| insect attractants MeSH: | Aldehydes/majr| Animals| Ants/majr| Insect Control/majr/methods| Insecticides/majr| Pheromones/majr</t>
  </si>
  <si>
    <t>Choe DH, Tsai K, Lopez CM, Campbell K</t>
  </si>
  <si>
    <t>319-25</t>
  </si>
  <si>
    <t>Evaluation of insecticides for the control of Linepithema (Hymenoptera: Formicidae).</t>
  </si>
  <si>
    <t>Evaluation of insecticides for the control of Linepithema (Hymenoptera: Formicidae).    ABSTRACT:  Linepithema micans (Forel) (Hymenoptera: Formicidae) is the main ant species responsible for the spreading of Eurhizococcus brasiliensis (Wille) (Hemiptera: Margarodidae), a soil scale that damages grapevine plants in southern Brazil. The effect of contact and ingestion of insecticides on the control of L. micans was evaluated in a greenhouse using grapevines (Vitis spp.) infested by L. micans. The insecticides thiamethoxam (250, 187.5, and 125 g/ha), fipronil (4, 5, and 50 ml/ha), and imidacloprid (650 g/ha) were sprayed on the ground, whereas toxic baits containing boric acid (0.5, 1.0, and 1.2%), pyriproxyfen (0.3 and 0.5%), and hydramethylnon (0.5%) were evaluated in different formulations. Hydramethylnon (toxic bait) and thiamethoxam (chemical barrier) were the most efficient active ingredients for the control of L. micans.  KEYWORDS:  MeSH Chemical: Insecticides MeSH: | Animals| Ants/majr| Insect Control| Insect Vectors| Insecticides/majr| Toxicity Tests| Vitis</t>
  </si>
  <si>
    <t>Nondillo A, Chaves CC, Fialho FB, Bueno OC, Botton M</t>
  </si>
  <si>
    <t>215-22</t>
  </si>
  <si>
    <t>Natural enemies of Atta vollenweideri (Hymenoptera: Formicidae) leaf-cutter ants negatively affected by synthetic pesticides, chlorpyrifos and fipronil.</t>
  </si>
  <si>
    <t>Natural enemies of Atta vollenweideri (Hymenoptera: Formicidae) leaf-cutter ants negatively affected by synthetic pesticides, chlorpyrifos and fipronil.    ABSTRACT:  In southern South America, Ada vollenweideri Forel (Hymenoptera: Formicidae) is a significant pest of several crops and forestry, also considered to reduce the carrying capacity of pastures. The most usual control method used in Latin America is the application of synthetic pesticides, mainly chlorpyrifos and fipronil. However, no studies have assessed the effects of these agrochemicals on natural enemies of ants. We aimed to evaluate the efficiency of these pesticides on leaf-cutter ants' control and to test their effect on phorid fly parasitoids. Chlorpyrifos failed to exert complete control over ant colonies in the field and was gravely detrimental to specific parasitoids, reducing their percentage of parasitism, pupal survivorship, and adult longevity. Fipronil, however, exerted complete control over the treated colonies. Laboratory tests using both pesticides, either on ants from foraging trails or on pupariae, showed that chlorpyrifos and fipronil decreased larval and pupal survivorship, as well as adult longevity of parasitoids, in comparison to controls. In conclusion, these pesticides will likely affect parasitoids with regard to their reproductive capacity, leading to the decreased levels of natural parasitism observed in the field after treatments. We discuss why neither pesticide should be taken into account for integrated pest management programs.  KEYWORDS:  MeSH Chemical: Insecticides| Pyrazoles| Chlorpyrifos| fipronil MeSH: | Animals| Ants/majr| Chlorpyrifos/majr| Diptera/majr| Food Chain| Insecticides/majr| Pupa| Pyrazoles/majr</t>
  </si>
  <si>
    <t>Guillade AC, Folgarait PJ</t>
  </si>
  <si>
    <t>105-14</t>
  </si>
  <si>
    <t>New method using quantitative PCR to follow the tick blood meal and to assess the anti-feeding effect of topical acaricide against Rhipicephalus sanguineus on dogs.</t>
  </si>
  <si>
    <t>Fourie JJ, Joubert A, Labuschagné M, Beugnet F</t>
  </si>
  <si>
    <t>Comparative immunology, microbiology and infectious diseases</t>
  </si>
  <si>
    <t>181-7</t>
  </si>
  <si>
    <t>Prediction of formulation effects on dermal absorption of topically applied ectoparasiticides dosed in vitro on canine and porcine skin using a mixture-adjusted quantitative structure permeability relationship.</t>
  </si>
  <si>
    <t>Riviere JE, Brooks JD, Collard WT, Deng J, de Rose G, Mahabir SP, Merritt DA, Marchiondo AA</t>
  </si>
  <si>
    <t>435-44</t>
  </si>
  <si>
    <t>Impact of fipronil on the mushroom bodies of the stingless bee Scaptotrigona postica.</t>
  </si>
  <si>
    <t>Impact of fipronil on the mushroom bodies of the stingless bee Scaptotrigona postica.    ABSTRACT:  Studies on stingless bees are scarce, and little is known about these insects, especially regarding the effects of contamination by neurotoxic insecticides, which can cause damage to important structures of the insect brain. This study evaluated the morphological changes in the intrinsic neurons of the protocerebral mushroom bodies (Kenyon cells) of the stingless bee Scaptotrigona postica after exposure to different doses of fipronil, using light microscopy and transmission electron microscopy. This region of the brain was selected for analysis because of its importance as a sensory integration centre.In both oral and topical treatments, Kenyon cells presented pyknotic profiles, suggesting cell death. Statistical analysis showed significant differences among doses and exposure times. Transmission electron microscopy revealed changes in the nucleus and cellular organelles. Depending on the dose, the characteristics observed suggested apoptotosis or necrosis.This study demonstrates the toxic effects of fipronil. An increase in the number of pyknotic profiles of Kenyon cells of mushroom bodies was observed even at the sublethal doses of 0.27 ng AI bee(-1) and 0.24 ng AI µL(-1) in the topical and oral treatments respectively. Also, differences in the number of pyknotic profiles were dose and time dependent.© 2014 Society of Chemical Industry.  KEYWORDS:  MeSH Chemical: Insecticides| Pyrazoles| fipronil MeSH: | Animals| Bees/majr/drug effects/ultrastructure| Insecticides/majr/toxicity| Mushroom Bodies/majr/drug effects/ultrastructure| Pyrazoles/majr/toxicity Other:apoptosis|cytotoxicity|necrosis|nervous system|phenylpyrazole</t>
  </si>
  <si>
    <t>Jacob CR, Soares HM, Nocelli RC, Malaspina O</t>
  </si>
  <si>
    <t>114-22</t>
  </si>
  <si>
    <t>Transcriptome analyses of the honeybee response to Nosema ceranae and insecticides.</t>
  </si>
  <si>
    <t>Transcriptome analyses of the honeybee response to Nosema ceranae and insecticides.    ABSTRACT:  Honeybees (Apis mellifera) are constantly exposed to a wide variety of environmental stressors such as parasites and pesticides. Among them, Nosema ceranae and neurotoxic insecticides might act in combination and lead to a higher honeybee mortality. We investigated the molecular response of honeybees exposed to N. ceranae, to insecticides (fipronil or imidacloprid), and to a combination of both stressors. Midgut transcriptional changes induced by these stressors were measured in two independent experiments combining a global RNA-Seq transcriptomic approach with the screening of the expression of selected genes by quantitative RT-PCR. Although N. ceranae-insecticide combinations induced a significant increase in honeybee mortality, we observed that they did not lead to a synergistic effect. According to gene expression profiles, chronic exposure to insecticides had no significant impact on detoxifying genes but repressed the expression of immunity-related genes. Honeybees treated with N. ceranae, alone or in combination with an insecticide, showed a strong alteration of midgut immunity together with modifications affecting cuticle coatings and trehalose metabolism. An increasing impact of treatments on gene expression profiles with time was identified suggesting an absence of stress recovery which could be linked to the higher mortality rates observed.  KEYWORDS:  MeSH Chemical: Imidazoles| Insecticides| Neonicotinoids| Nitro Compounds| Pyrazoles| imidacloprid| fipronil MeSH: | Animals| Bees/majr/drug effects/genetics/immunology/microbiology| Gene Expression Profiling| Gene Expression Regulation| Imidazoles/pharmacology| Insecticides/majr/pharmacology| Intestines/majr/drug effects/immunology/microbiology| Mortality| Neonicotinoids| Nitro Compounds/pharmacology| Nosema/majr/growth &amp; development/pathogenicity| Pyrazoles/pharmacology| Transcriptome/majr</t>
  </si>
  <si>
    <t>Aufauvre J, Misme-Aucouturier B, Viguès B, Texier C, Delbac F, Blot N</t>
  </si>
  <si>
    <t>e91686</t>
  </si>
  <si>
    <t>[The systemic effects of imidacloprid and fipronil on Xenopsylla cheopis fleas (Siphonaptera) and blood-sucking Ornithonyssus bacoti gamasid mites (Gamasina: Macronyssidae)].</t>
  </si>
  <si>
    <t>[The systemic effects of imidacloprid and fipronil on Xenopsylla cheopis fleas (Siphonaptera) and blood-sucking Ornithonyssus bacoti gamasid mites (Gamasina: Macronyssidae)].    ABSTRACT:  The systemic effects of imidacloprid and fipronil on Xenopsylla cheopis fleas and blood-sucking Ornithonyssus bacoti gamasid mites were studied under laboratory conditions. Albino rats were forcibly administered insectoacaricides per os in doses of 1, 10, 30 mg/kg or fed with dietary bait (the doses of fipronil and imidacloprid were 10-33 and 18-70 mg/kg/day, respectively) for 3 or more days. Fipronil had a pronounced systemic effect on both X. cheopis and O. baconi. Imidacloprid was markedly active against the fleas and, on the contrary, inactive against the mites.  KEYWORDS:  MeSH Chemical: Imidazoles| Insecticides| Neonicotinoids| Nitro Compounds| Pyrazoles| imidacloprid| fipronil MeSH: | Animals| Dose-Response Relationship, Drug| Drug Administration Schedule| Imidazoles/majr| Insecticides/majr| Mice| Mites/majr/physiology| Neonicotinoids| Nitro Compounds/majr| Pyrazoles/majr| Rats| Species Specificity| Xenopsylla/majr/physiology</t>
  </si>
  <si>
    <t>Lopatina IuV, Eremina OIu</t>
  </si>
  <si>
    <t>Meditsinskaia parazitologiia i parazitarnye bolezni</t>
  </si>
  <si>
    <t>36-41</t>
  </si>
  <si>
    <t>A randomized, blinded, controlled and multi-centered field study comparing the efficacy and safety of Bravecto (fluralaner) against Frontline (fipronil) in flea- and tick-infested dogs.</t>
  </si>
  <si>
    <t>Rohdich N, Roepke RK, Zschiesche E</t>
  </si>
  <si>
    <t>Differential mechanisms of action of the novel γ-aminobutyric acid receptor antagonist ectoparasiticides fluralaner (A1443) and fipronil.</t>
  </si>
  <si>
    <t>Differential mechanisms of action of the novel γ-aminobutyric acid receptor antagonist ectoparasiticides fluralaner (A1443) and fipronil.    ABSTRACT:  Fluralaner (A1443) is an isoxazoline ectoparasiticide that is a novel antagonist of γ-aminobutyric acid (GABA) receptors (GABARs), with a potency comparable to that of fipronil, a phenylpyrazole ectoparasiticide. To clarify the biological effectiveness of fluralaner against fipronil-resistant pests, differences in the actions of fluralaner and fipronil on GABARs that possess resistance to dieldrin (rdl)-type mutations were evaluated.Fipronil had neither pest control nor GABAR-antagonistic activities against two-spotted spider mites (Tetranychus urticae) that had two different rdl-type amino acids (A(301) → H and T(350) → A: Drosophila melanogaster GABAR numbering) and against small brown planthoppers (Laodelphax striatellus) that had a novel rdl-type (A(283) → N) mutation in GABARs. In contrast, fluralaner showed not only high pest control activities against these pests, but also excellent antagonistic activities for these rdl-type GABARs.The findings indicate that rdl-type fipronil-resistant pests do not show cross-resistance to fluralaner owing to the differential actions of fluralaner and fipronil on the GABAR.© 2014 Society of Chemical Industry.  KEYWORDS:  MeSH Chemical: A1443 compound| GABA Antagonists| Isoxazoles| Pyrazoles| fipronil MeSH: | Amino Acid Sequence| Animals| Female| GABA Antagonists/majr| Hemiptera/majr| Isoxazoles/majr| Molecular Sequence Data| Pyrazoles/majr| Tetranychidae/majr| Toxicity Tests| Xenopus Other:A1443|GABA|fluralaner|ligand-gated ion channel|parasiticide|receptor</t>
  </si>
  <si>
    <t>Asahi M, Kobayashi M, Matsui H, Nakahira K</t>
  </si>
  <si>
    <t>91-5</t>
  </si>
  <si>
    <t>First report of fluazuron resistance in Rhipicephalus microplus: a field tick population resistant to six classes of acaricides.</t>
  </si>
  <si>
    <t>Reck J, Klafke GM, Webster A, Dall'Agnol B, Scheffer R, Souza UA, Corassini VB, Vargas R, dos Santos JS, Martins JR</t>
  </si>
  <si>
    <t>201</t>
  </si>
  <si>
    <t>128-36</t>
  </si>
  <si>
    <t>Determination of LC50 and LC95 values of fipronil against Haemaphysalis bispinosa based on adult immersion test.</t>
  </si>
  <si>
    <t>Determination of LC50 and LC95 values of fipronil against Haemaphysalis bispinosa based on adult immersion test.    ABSTRACT:  The pattern of mortality of Haemaphysalis bispinosa ticks against fipronil was studied based on adult immersion test. Mortality occurred during 10-19 days post-treatment. The LC50 and LC95 values were calculated as 0.53 and 7.045 ppm, respectively.  KEYWORDS:  Other:Acaricidal activity|Fipronil|LC50|LC95|Mortality</t>
  </si>
  <si>
    <t>Ravindran R, Amithamol KK, Sunil AR, Soorya VC, Nair SN, Juliet S, Arunkumar NS, Ajith Kumar KG, Ghosh S</t>
  </si>
  <si>
    <t>Journal of parasitic diseases : official organ of the Indian Society for Parasitology</t>
  </si>
  <si>
    <t>38</t>
  </si>
  <si>
    <t>132-4</t>
  </si>
  <si>
    <t>Horizontal transfer of fipronil is enhanced with increased group size in Coptotermes formosanus (Isoptera: Rhinotermitidae).</t>
  </si>
  <si>
    <t>Horizontal transfer of fipronil is enhanced with increased group size in Coptotermes formosanus (Isoptera: Rhinotermitidae).    ABSTRACT:  Fipronil is a widely used insecticide for termite control. Although transfer of fipronil among termite cohorts has been investigated in previous studies, no study has yet focused on the influence of termite group size (density) on horizontal transfer. In this study, the mortality of donor and recipient Coptotermes formosanus Shiraki (Isoptera: Rhinotermitidae) was compared among groups of 10, 25, and 50 workers. Most donor termites were dead within 20 h. There was a significantly higher mortality of recipient termites starting at 44 h when in bigger groups. LT50 and LT90 of recipient termites decreased with increase in group size, being significantly shorter in groups of 50 termites compared with groups of 10 termites. Moreover, the variance (within-group difference) of recipient mortality and lethal time estimations was lowest in the groups of 50 termites, indicating a more uniform horizontal transfer of fipronil by termites in bigger groups. Our findings suggest that group size has an influence on fipronil transfer among C. formosanus workers and should be considered as a variable of importance.  KEYWORDS:  MeSH Chemical: Insecticides| Pyrazoles| fipronil MeSH: | Animals| Dose-Response Relationship, Drug| Insecticides/majr/toxicity| Isoptera/majr/drug effects/physiology| Lethal Dose 50| Louisiana| Population Density| Pyrazoles/majr/toxicity| Social Behavior</t>
  </si>
  <si>
    <t>Wang C, Henderson G, Chen X, Gautam BK</t>
  </si>
  <si>
    <t>106</t>
  </si>
  <si>
    <t>2630-2</t>
  </si>
  <si>
    <t>Contact toxicity and residual effects of selected insecticides against the adult Paederus fuscipes (Coleoptera: Staphylinidae).</t>
  </si>
  <si>
    <t>Contact toxicity and residual effects of selected insecticides against the adult Paederus fuscipes (Coleoptera: Staphylinidae).    ABSTRACT:  The contact toxicity of four insecticide formulations (deltamethrin, fipronil, fenitrothion, and imidacloprid) applied on three different substrates (tile, plywood, and concrete) against the adult rove beetle, Paederus fuscipes Curtis, was evaluated. The relative order of speed of killing effects was as follows: deltamethrin &gt; imidacloprid &gt; fipronil &gt; fenitrothion. Although deltamethrin showed the fastest action against P. fuscipes, the recovery rate of rove beetles at 48 h posttreatment was moderate (approximately 25%) on the tile surface to high (approximately 80%) on the plywood surface. Thus, it is likely that the insects did not pick up the lethal dose especially on porous surfaces. In contrast, fipronil demonstrated delayed toxicity that might promote maximal uptake by the insects. More than 80% mortality was registered for tile and plywood surfaces up to 4 wk after exposure. High mortality (almost 100%) was recorded for imidacloprid-exposed P. fuscipes at 48 h posttreatment, but only on the tile surface. Among the four insecticides tested, fenitrothion was the least effective against P. fuscipes because low percentage to no mortality was recorded in the fenitrothion treatment.  KEYWORDS:  MeSH Chemical: Insecticides| Pesticide Residues MeSH: | Animals| Coleoptera/majr/drug effects| Construction Materials| Female| Insect Control| Insecticides/majr/toxicity| Male| Pesticide Residues/majr/toxicity| Time Factors</t>
  </si>
  <si>
    <t>Bong LJ, Neoh KB, Jaal Z, Lee CY</t>
  </si>
  <si>
    <t>2530-40</t>
  </si>
  <si>
    <t>Cross-resistance, genetics, and realized heritability of resistance to fipronil in the house fly, Musca domestica (Diptera: Muscidae): a potential vector for disease transmission.</t>
  </si>
  <si>
    <t>Abbas N, Khan HA, Shad SA</t>
  </si>
  <si>
    <t>1343-52</t>
  </si>
  <si>
    <t>Dominant fitness costs of abamectin resistance in Plutella xylostella.</t>
  </si>
  <si>
    <t>Dominant fitness costs of abamectin resistance in Plutella xylostella.    ABSTRACT:  The TH-Abm strain of Plutella xylostella, exhibiting 23 670-fold resistance to abamectin, was selected from a field-evolved multiresistant population. By repeated backcrossing to a susceptible strain (Roth) and selection with abamectin, the resistance trait of TH-Abm was introgressed into Roth to generate a near-isogenic strain (Roth-Abm). Fitness costs associated with abamectin resistance were examined in Roth-Abm.Compared with Roth, Roth-Abm obtained 11 500-fold resistance to abamectin and 364 000-, 12- and 12-fold cross-resistance to emamectin benzoate, spinosad and fipronil respectively. Roth-Abm has a significantly longer pupal development time, lesser female pupal weight and lower larval survival than Roth. Female fecundity and egg viability are significantly lower in Roth-Abm than in Roth. All of the above fitness components of the F1 progeny from Roth × Roth-Abm are similar to those of Roth-Abm and are significantly lower than those of Roth. By comparing with the net replacement rate (R0 ) of Roth, the fitness of Roth-Abm, F1a (Roth male × Roth-Abm) and F1b (Roth female × Roth-Abm) are 0.50, 0.50 and 0.53 respectively.Abamectin resistance in Roth-Abm results in significant fitness costs, and the fitness costs are autosomal and dominant. Rotation of abamectin with other insecticides without cross-resistance could be especially useful for delaying abamectin resistance in P. xylostella.© 2014 Society of Chemical Industry.  KEYWORDS:  MeSH Chemical: Insecticides| abamectin| Ivermectin MeSH: | Animals| Female| Fertility/drug effects| Insecticide Resistance/majr/drug effects/genetics| Insecticides/majr/pharmacology| Ivermectin/majr/analogs &amp; derivatives/pharmacology| Larva/drug effects/growth &amp; development| Male| Moths/majr/drug effects/genetics/physiology Other:abamectin|cross-resistance|diamondback moth|fitness costs</t>
  </si>
  <si>
    <t>Wang R, Wu Y</t>
  </si>
  <si>
    <t>1872-6</t>
  </si>
  <si>
    <t>In vitro genotoxicity of fipronil sister chromatid exchange, cytokinesis block micronucleus test, and comet assay.</t>
  </si>
  <si>
    <t>In vitro genotoxicity of fipronil sister chromatid exchange, cytokinesis block micronucleus test, and comet assay.    ABSTRACT:  Fipronil (FP) is a phenylpyrazole pesticide developed by the transnational company Rhône-Poulenc Agro in 1987. Data on the genotoxicity and toxicity of FP are rather inadequate. In this study, we aimed to evaluate the potential genotoxic activity of FP using the single-cell microgel electrophoresis or comet assay, sister chromatid exchanges (SCEs), and micronuclei (MN) in human peripheral blood lymphocytes. In addition, the cytokinesis block proliferation index (CBPI) and proliferation index (PRI) were measured for cytotoxicity. In this study, three different doses of FP were used (0.7, 0.3, 0.1 μg/mL). Mitomycin C (2 μg/mL) and hydrogen peroxide were used as positive controls for SCE MN test systems, and comet assay, respectively. FP induced a statistically significant increase in the MN and SCE frequency and DNA damage in a dose-dependent manner in human peripheral blood lymphocytes (p&lt;0.01, p&lt;0.05, for 0.7 and 0.3 μg/mL, respectively) compared with a negative control. There is no significant difference between 0.1 μg/mL and the negative control for MN frequency, but there is significant difference between all the doses of FP and negative control for SCE frequency, mitotic index, CBPI, and PRI values (p&lt;0.01). Using the alkaline comet assay, we showed that all the doses of the FP induced DNA damage in human peripheral blood lymphocytes in vitro (p&lt;0.05).  KEYWORDS:  MeSH Chemical: Insecticides| Mutagens| Pyrazoles| fipronil MeSH: | Comet Assay/majr| Cytokinesis/majr/drug effects| Humans| In Vitro Techniques| Insecticides/majr/toxicity| Micronucleus Tests/majr| Mutagens/majr/toxicity| Pyrazoles/majr/toxicity| Sister Chromatid Exchange/majr/drug effects</t>
  </si>
  <si>
    <t>Çelik A, Ekinci SY, Güler G, Yildirim S</t>
  </si>
  <si>
    <t>DNA and cell biology</t>
  </si>
  <si>
    <t>Insect γ-aminobutyric acid receptors and isoxazoline insecticides: toxicological profiles relative to the binding sites of [³H]fluralaner, [³H]-4'-ethynyl-4-n-propylbicycloorthobenzoate, and [³H]avermectin.</t>
  </si>
  <si>
    <t>Insect γ-aminobutyric acid receptors and isoxazoline insecticides: toxicological profiles relative to the binding sites of [³H]fluralaner, [³H]-4'-ethynyl-4-n-propylbicycloorthobenzoate, and [³H]avermectin.    ABSTRACT:  Isoxazoline insecticides, such as fluralaner (formerly A1443), are noncompetitive γ-aminobutyric acid (GABA) receptor (GABA-R) antagonists with selective toxicity for insects versus mammals. The isoxazoline target in house fly ( Musca domestica ) brain has subnanomolar affinity for [³H]fluralaner and a unique pattern of sensitivity to isoxazolines and avermectin B(1a) (AVE) but not to fipronil and α-endosulfan. Inhibitor specificity profiles for 15 isoxazolines examined with Musca GABA-R and [³H]fluralaner, [³H]-4'-ethynyl-4-n-propylbicycloorthobenzoate ([³H]EBOB), and [³H]AVE binding follow the same structure-activity trends although without high correlation. The 3 most potent of the 15 isoxazolines tested in Musca [³H]fluralaner, [³H]EBOB, and [³H]AVE binding assays and in honeybee (Apis mellifera) brain [³H]fluralaner assays are generally those most toxic to Musca and four agricultural pests. Fluralaner does not inhibit [³H]EBOB binding to the human GABA-R recombinant β₃ homopentamer, which is highly sensitive to all of the commercial GABAergic insecticides. The unique isoxazoline binding site may resurrect the GABA-R as a major insecticide target.  KEYWORDS:  MeSH Chemical: Androstenols| Bridged Bicyclo Compounds, Heterocyclic| GABA Antagonists| Insect Proteins| Insecticides| Receptors, GABA| 1-(4-ethynylphenyl)-4-propyl-2,6,7-trioxabicyclo(2.2.2)octane| azastene MeSH: | Androstenols/chemistry/toxicity| Animals| Binding Sites| Bridged Bicyclo Compounds, Heterocyclic/majr/chemistry/toxicity| GABA Antagonists/majr/chemistry/metabolism/toxicity| Houseflies/majr/drug effects/genetics/metabolism| Insect Proteins/majr/antagonists &amp; inhibitors/metabolism| Insecticides/majr/chemistry/toxicity| Receptors, GABA/metabolism</t>
  </si>
  <si>
    <t>Zhao C, Casida JE</t>
  </si>
  <si>
    <t>1019-24</t>
  </si>
  <si>
    <t>A test house study of pesticides and pesticide degradation products following an indoor application.</t>
  </si>
  <si>
    <t>Starr JM, Gemma AA, Graham SE, Stout DM</t>
  </si>
  <si>
    <t>Indoor air</t>
  </si>
  <si>
    <t>390-402</t>
  </si>
  <si>
    <t>Evaluation of indoxacarb and fipronil (s)-methoprene topical spot-on formulations to control flea populations in naturally infested dogs and cats in private residences in Tampa FL. USA.</t>
  </si>
  <si>
    <t>Dryden MW, Payne PA, Smith V, Chwala M, Jones E, Davenport J, Fadl G, Martinez-Perez de Zeiders MF, Heaney K, Ford P, Sun F</t>
  </si>
  <si>
    <t>Evaluation of Liquid and Bait Insecticides against the Dark Rover Ant (Brachymyrmex patagonicus).</t>
  </si>
  <si>
    <t>Evaluation of Liquid and Bait Insecticides against the Dark Rover Ant (Brachymyrmex patagonicus).    ABSTRACT:  Dark rover ants (Brachymyrmex patagonicus, Mayr) are an exotic ant species native to South America that has recently spread through the southern US. We evaluated the residual activity of three liquid insecticides (indoxacarb, fipronil and lambda-cyhalothrin) as potential barrier treatments against these ants. The factors we considered include the use of a porous or non-porous surface, a short or long exposure time and the changes in insecticide activity after treatment during a 90 day period. We also tested the effect of baits containing three different active ingredients (imidacloprid, sodium tetraborate and indoxacarb) on colony fragments of this species for a 15 day period. Both lambda-cyhalothrin® and indoxacarb® resulted in high levels of ant mortality up to 90 days after application. The results of exposure to fipronil® resembled those from the control treatment. Application of insecticides on a porous surface and the shorter exposure time generally resulted in greater ant survival. Of the baits tested, only the imidacloprid based one decreased ant survival significantly during the evaluation period. Within three days, the imidacloprid bait produced over 50% mortality which increased to over 95% by the end of the experiment. Results from the other two bait treatments were not significantly different from the control.  KEYWORDS:  Other:Brachymyrmex|ant bait|borax|dark rover ant|fipronil|imidacloprid|indoxacarb|lambda-cyhalothrin</t>
  </si>
  <si>
    <t>Miguelena JG, Baker PB</t>
  </si>
  <si>
    <t>832-48</t>
  </si>
  <si>
    <t>[Determination of butene-fipronil residue in dry samples by multiple adsorption synchronous purification-gas chromatography-mass spectrometry].</t>
  </si>
  <si>
    <t xml:space="preserve">[Determination of butene-fipronil residue in dry samples by multiple adsorption synchronous purification-gas chromatography-mass spectrometry].    ABSTRACT:  A method was developed for the determination of butene-fipronil residue in dry samples by multiple adsorption synchronous purification (MASP) -gas chromatography (GC) -mass spectrometry (MS). After extracted with 1% acetic acid-acetonitrile, the samples were pretreated with MASP method including extraction, salting-out and purification procedures, and analyzed with GC-MS under the selected ion monitoring (SIM) mode, and then quantified by matrix-match standard solution with external standard method. The results showed good linearity in the range of 2 - 100 microg/L with the correlation coefficients (r(2)) not less than 0.999. The average fortified recovery of butene-fipronil in samples was found in the range of 92.2% - 97.5% at three fortified levels from 2 to 10 microg/kg, with the relative standard deviations of 2.69% - 5.21% (n = 6). The limit of detection (S/N = 3) for butane-fipronil was 2 microg/kg and the limit of quantification (S/N = 10) was 6 microg/kg. The method is simple, rapid and accurate, and could be used for the routine analysis of butane-fipronil in dry samples. Meanwhile, the pyrolysis mechanism of butane-fipronil, as a new substance, is discussed.  KEYWORDS: </t>
  </si>
  <si>
    <t>Ding L, Guo J, Zheng L, Chen C, Chen Z</t>
  </si>
  <si>
    <t>747-52</t>
  </si>
  <si>
    <t>Toxicity of the insecticide fipronil and its degradates to benthic macroinvertebrates of urban streams.</t>
  </si>
  <si>
    <t>Toxicity of the insecticide fipronil and its degradates to benthic macroinvertebrates of urban streams.    ABSTRACT:  Fipronil is a phenylpyrazole insecticide with increasing urban use. Sixteen urban waterways and municipal wastewater were sampled for fipronil, its environmental degradates, and pyrethroid insecticides. Because findings could not be interpreted with existing data on fipronil degradate toxicity, EC50s and LC50s for fipronil and its sulfide and sulfone derivatives were determined for 14 macroinvertebrate species. Four species were more sensitive than any previously studied, indicating fipronil's toxicity to aquatic life has long been underestimated. The most sensitive species tested, Chironomus dilutus, had a mean 96-h EC50 of 32.5 ng/L for fipronil and 7-10 ng/L for its degradates. Hyalella azteca, a common testing species, was among the least sensitive. The typical northern California creek receiving urban stormwater runoff contains fipronil and degradate concentrations twice the EC50 of C. dilutus, and approximately one-third the EC50 for a stonefly, a caddisfly, and two mayfly species. The present study substantially increases data available on toxicity of fipronil degradates, and demonstrates that fipronil and degradates are common in urban waterways at concentrations posing a risk to a wide variety of stream invertebrates.  KEYWORDS:  MeSH Chemical: Insecticides| Pyrazoles| Water Pollutants, Chemical| fipronil MeSH: | Amphipoda/drug effects| Animals| California| Chironomidae/drug effects| Cities| Ecosystem/majr| Insecticides/majr/toxicity| Invertebrates/majr/drug effects| Lethal Dose 50| Pyrazoles/majr/toxicity| Rain| Rivers/majr/chemistry| Toxicity Tests/majr| Water Pollutants, Chemical/majr/toxicity</t>
  </si>
  <si>
    <t>Weston DP, Lydy MJ</t>
  </si>
  <si>
    <t>1290-7</t>
  </si>
  <si>
    <t>The novel isoxazoline ectoparasiticide fluralaner: selective inhibition of arthropod γ-aminobutyric acid- and L-glutamate-gated chloride channels and insecticidal/acaricidal activity.</t>
  </si>
  <si>
    <t>Gassel M, Wolf C, Noack S, Williams H, Ilg T</t>
  </si>
  <si>
    <t>111-24</t>
  </si>
  <si>
    <t>Acaricide and ivermectin resistance in a field population of Rhipicephalus microplus (Acari: Ixodidae) collected from red deer (Cervus elaphus) in the Mexican tropics.</t>
  </si>
  <si>
    <t>Rodríguez-Vivas RI, Miller RJ, Ojeda-Chi MM, Rosado-Aguilar JA, Trinidad-Martínez IC, Pérez de León AA</t>
  </si>
  <si>
    <t>200</t>
  </si>
  <si>
    <t>179-88</t>
  </si>
  <si>
    <t>Survey of pesticide application on vegetables in the Littoral area of Togo.</t>
  </si>
  <si>
    <t>Adjrah Y, Dovlo A, Karou SD, Eklu-Gadegbeku K, Agbonon A, de Souza C, Gbeassor M</t>
  </si>
  <si>
    <t>Annals of agricultural and environmental medicine : AAEM</t>
  </si>
  <si>
    <t>715-20</t>
  </si>
  <si>
    <t>A simple and sensitive single-step method for gas chromatography-mass spectrometric determination of fipronil and its metabolites in sugarcane juice, jaggery and sugar.</t>
  </si>
  <si>
    <t>A simple and sensitive single-step method for gas chromatography-mass spectrometric determination of fipronil and its metabolites in sugarcane juice, jaggery and sugar.    ABSTRACT:  A simple and sensitive single-step method for gas chromatography-mass spectrometric determination of fipronil and its metabolites viz., fipronil desulfinyl, fipronil sulphide and fipronil sulphone in sugarcane juice, jaggery and sugar has been developed. Acetonitrile was superior to ethyl acetate in terms of selectivity, though they were on par with each other in terms of recoveries. This method does not require any cleanup as the PSA-based cleanup was on par with no-cleanup treatment. Interestingly, the recoveries of fipronil and its metabolites decreased with increased amounts of C18 from 10 to 50mg/g of matrix. Matrix effects were insignificant and the limit of quantification was 0.005μg/g. The recoveries of fipronil and its metabolites varied between 87.5% and 108.5% with the RSD of 0.2-5.3% for all the three matrices studied. This method has also been validated by monitoring fipronil and its metabolites in the retail outlet samples of sugarcane juice, jaggery and sugar. Copyright © 2013 Elsevier Ltd. All rights reserved.  KEYWORDS:  MeSH Chemical: Carbohydrates| Gur| Insecticides| Plant Extracts| Pyrazoles| fipronil MeSH: | Carbohydrates/majr/chemistry| Chemical Fractionation/majr/methods| Food Contamination| Gas Chromatography-Mass Spectrometry/methods| Insecticides/majr/analysis/isolation &amp; purification/metabolism| Plant Extracts/majr/chemistry| Pyrazoles/majr/analysis/isolation &amp; purification/metabolism| Saccharum/majr/chemistry/metabolism Other:Fipronil|Jaggery|Metabolites|Residue|Sugar|Sugarcane juice</t>
  </si>
  <si>
    <t>Ramasubramanian T, Paramasivam M, Jayanthi R, Chandrasekaran S</t>
  </si>
  <si>
    <t>150</t>
  </si>
  <si>
    <t>408-13</t>
  </si>
  <si>
    <t>Persistence and metabolism of fipronil in sugarcane leaves and juice.</t>
  </si>
  <si>
    <t>Persistence and metabolism of fipronil in sugarcane leaves and juice.    ABSTRACT:  Fipronil gives effective control of early shoot borer and termites in sugarcane. The persistence and metabolism of fipronil in sugarcane leaves and juice were studied following application of fipronil (Regent 0.3 G) at 75 and 300 g a.i. ha(-1). Samples of sugarcane leaves were collected at various time intervals. Samples of sugarcane juice were collected at harvest. Residues of fipronil and its metabolites were quantified by gas liquid chromatograph. The limit of quantification of fipronil and its metabolites was 0.01 mg kg(-1) for sugarcane leaves and juice. Total residues of fipronil and its metabolites in sugarcane leaves after 7 days of its application at 75 and 300 g a.i. ha(-1) were 0.26 and 0.66 mg kg(-1), respectively. Residues could not be detected after 60 and 90 following fipronil application at either concentration. In sugarcane leaves, fipronil was found to be the main constituent, followed by its metabolites amide, desulfinyl, sulfone and sulfide. Samples of sugarcane juice did not reveal the presence of fipronil or its metabolites following its application at both the dosages at harvest.  KEYWORDS:  MeSH Chemical: Insecticides| Pyrazoles| Soil| Soil Pollutants| fipronil MeSH: | Insecticides/majr/analysis/metabolism| Plant Leaves/majr/metabolism| Pyrazoles/majr/analysis/metabolism| Saccharum/majr/metabolism| Soil| Soil Pollutants/majr/analysis/metabolism</t>
  </si>
  <si>
    <t>Mandal K, Singh B</t>
  </si>
  <si>
    <t>220-4</t>
  </si>
  <si>
    <t>Simultaneous determination of insecticide fipronil and its metabolites in maize and soil by gas chromatography with electron capture detection.</t>
  </si>
  <si>
    <t>Simultaneous determination of insecticide fipronil and its metabolites in maize and soil by gas chromatography with electron capture detection.    ABSTRACT:  An integrated method for the simultaneous determination of insecticide fipronil and its three metabolites, desulfinyl, sulfide, and sulfone, in maize grain, maize stem, and soil was developed. This three-step method uses liquid-solid extraction with ultrasound or mechanical grinding, followed by liquid-liquid partitioning and florisil solid-phase extraction (SPE) for cleanup. The quantification was conducted by gas chromatography-electron capture detection in triplicate for each sample. The method was validated with five replicates at three fortification concentrations, 0.002, 0.01, and 0.1 mg kg(-1), in each matrix and gave mean recoveries from 83 to 106 % with relative standard deviation ≤ 8.9 %. The limits of quantification (LOQ) were 0.002 mg kg(-1) for the compounds in all matrixes. In the field study in Beijing and Shandong 2012, fipronil-coated maize seeds were planted and the proposed method was applied for checking the possible existence of four compounds in maize and soil samples, but none of them contained residues higher than the LOQs in both application rates. Moreover, the dissipation of fipronil in soil fits first-order kinetics with half-lives 9.90 and 10.34 days in Beijing and Shandong, respectively. Combined with an adequate sample treatment, this technique offers good sensitivity and selectivity in the three complex matrixes. The results could provide guidance for the further research on pesticide distribution and safe use of fipronil as seed coat in cereals.  KEYWORDS:  MeSH Chemical: Insecticides| Pyrazoles| Soil| Soil Pollutants| fipronil MeSH: | Chromatography, Gas/majr/methods| Electrons| Environmental Monitoring| Insecticides/majr/analysis/metabolism| Pyrazoles/majr/analysis/metabolism| Soil/majr/chemistry| Soil Pollutants/analysis/metabolism| Solid Phase Extraction/methods| Zea mays/majr/chemistry/metabolism</t>
  </si>
  <si>
    <t>Wang T, Hu J, Liu C</t>
  </si>
  <si>
    <t>2767-74</t>
  </si>
  <si>
    <t>Assessing mechanisms of toxicant response in the amphipod Melita plumulosa through transcriptomic profiling.</t>
  </si>
  <si>
    <t>Hook SE, Osborn HL, Spadaro DA, Simpson SL</t>
  </si>
  <si>
    <t>247-57</t>
  </si>
  <si>
    <t>Bioremediation of fipronil by a Bacillus firmus isolate from soil.</t>
  </si>
  <si>
    <t>Bioremediation of fipronil by a Bacillus firmus isolate from soil.    ABSTRACT:  Persistence of fipronil, a new molecule in extensive use against various insect pests is causing serious problems to the environment. Bacillus firmus was isolated by selective enrichment from soil samples collected from sugar fields with known history of pesticide usage and evaluated for metabolization of fipronil in clay loam soil. Soil samples in 50 g aliquotes were fortified with fipronil @ 0.50-1.50 mg kg(-1) and inoculated with B. firmus cells (45×10(7) CFU mL(-1)) and incubated at 25 °C. Each sample in triplicates was drawn periodically up to 56 d and residual fipronil contents analyzed by gas liquid chromatograph. Fipronil residues were not detected after 35 d at lower doses of fipronil (@ 0.50, 0.75 and 1.00 mg kg(-1)). However, at higher doses (@ 1.25 and 1.50 mg kg(-1)) than this total metabolization of fipronil could be observed after 35 and 42 d, respectively. Thus whereas, B. firmus proved its potential in efficient metabolization of fipronil, the period required for the same was dose dependent. Amongst various metabolites of fipronil degradation, fipronil sulfide was found to be the main metabolite followed by fipronil sulfone and fipronil amide. Though, desulfinyl metabolite earlier reported as one of the main metabolite of fipronil degradation, the existence of the same was not detected in any of the treatment.Copyright © 2013 Elsevier Ltd. All rights reserved.  KEYWORDS:  MeSH Chemical: Insecticides| Pyrazoles| RNA, Ribosomal, 16S| Soil Pollutants| fipronil sulfone| fipronil MeSH: | Bacillus/majr/isolation &amp; purification/metabolism| Biodegradation, Environmental| Chromatography, Gas| Insecticides/majr/analysis/metabolism| Pyrazoles/majr/analysis/metabolism| RNA, Ribosomal, 16S/genetics| Soil Microbiology/majr| Soil Pollutants/majr/analysis/metabolism Other:Bacillus|Biodegradation|Fipronil|Metabolites|Soil</t>
  </si>
  <si>
    <t>Mandal K, Singh B, Jariyal M, Gupta VK</t>
  </si>
  <si>
    <t>55-60</t>
  </si>
  <si>
    <t>Burst and principal components analyses of MEA data for 16 chemicals describe at least three effects classes.</t>
  </si>
  <si>
    <t>Mack CM, Lin BJ, Turner JD, Johnstone AF, Burgoon LD, Shafer TJ</t>
  </si>
  <si>
    <t>75-85</t>
  </si>
  <si>
    <t>Expression pattern and function of alternative splice variants of glutamate-gated chloride channel in the housefly Musca domestica.</t>
  </si>
  <si>
    <t>Kita T, Ozoe F, Ozoe Y</t>
  </si>
  <si>
    <t>1-10</t>
  </si>
  <si>
    <t>Efficacy of a topical application of Certifect® (fipronil 6.26% w/v, amitraz 7.48% w/v, (S)-methoprene 5.63% w/v) for the treatment of canine generalized demodicosis.</t>
  </si>
  <si>
    <t>Efficacy of a topical application of Certifect® (fipronil 6.26% w/v, amitraz 7.48% w/v, (S)-methoprene 5.63% w/v) for the treatment of canine generalized demodicosis.    ABSTRACT:  The efficacy of the treatment with Certifect ® (containing fipronil 6.26% w/v, amitraz 7.48% w/v, (S)-methoprene 5.63% w/v) applied topically was assessed in 18 dogs diagnosed with clinical generalized demodicosis. Three treatment regimens were compared over a 3-month period. Starting at Day 0, dogs were treated monthly (group 1) or every two weeks (group 2) with the combination of fipronil, amitraz, and (S)-methoprene or with monthly topical applications of the combination of amitraz and metaflumizone (group 3, reference treatment). Clinical examinations including deep skin scrapings were performed every month in order to evaluate the resolution of clinical signs and the reduction in mite counts. On Day 84, the percentage reduction of mite counts in group 1 was 99.8%, whereas no Demodex canis could be detected in groups 2 and 3 (i.e. 100% parasitological efficacy). As a result of the Demodex mite count reduction, the skin condition of the dogs improved significantly in all groups. This study illustrates, that both monthly and bi-weekly treatments with Certifect were effective in treating dogs with generalized demodicosis over a 3-month period. © J. Fourie et al., published by EDP Sciences, 2013.  KEYWORDS:  MeSH Chemical: Antiparasitic Agents| Drug Combinations| Insecticides| Pyrazoles| Toluidines| amitraz| Methoprene| fipronil MeSH: | Administration, Topical| Animals| Antiparasitic Agents/majr/therapeutic use| Dog Diseases/majr/drug therapy/parasitology| Dogs| Drug Combinations| Female| Insecticides/majr/therapeutic use| Male| Methoprene/administration &amp; dosage| Mite Infestations/majr/drug therapy/parasitology/veterinary| Mites/drug effects/growth &amp; development| Pyrazoles/administration &amp; dosage| Toluidines/administration &amp; dosage</t>
  </si>
  <si>
    <t>Fourie J, Dumont P, Halos L, Beugnet F, Pollmeier M</t>
  </si>
  <si>
    <t>Acaricidal efficacy of topical formulation of fipronil in naturally infested dogs in Amazonic region, Brazil.</t>
  </si>
  <si>
    <t>Acaricidal efficacy of topical formulation of fipronil in naturally infested dogs in Amazonic region, Brazil.    ABSTRACT:  This study was conducted to show the effectiveness of a novel formulation of fipronil in a spot-on formulation for the therapeutic and preventive control of Rhipicephalus sanguineus in naturally infested dogs. Ticks on all dogs were counted at the moment of treatment and weekly after treatment (therapeutic efficacy) or infestation (preventive efficacy). The profile of the therapeutic efficacy for Rhipicephalus sanguineus suggested that the formulation was able to control the Ixodid species for at least 42 days after the treatment.  KEYWORDS:  MeSH Chemical: Acaricides| Antiparasitic Agents| Pyrazoles| fipronil MeSH: | Acaricides/majr/administration &amp; dosage| Administration, Topical| Animals| Antiparasitic Agents/majr/administration &amp; dosage| Brazil| Dog Diseases/majr/drug therapy/parasitology| Dogs| Female| Male| Pyrazoles/majr/administration &amp; dosage| Rhipicephalus sanguineus/majr| Tick Infestations/majr/drug therapy/veterinary| Treatment Outcome</t>
  </si>
  <si>
    <t>Fischer VL, Heidmann MJ, Faria EF, Rizzi VG, Bragaglia GN, Nascimento CG, Castro BG</t>
  </si>
  <si>
    <t>186-8</t>
  </si>
  <si>
    <t>Assessment of toxicity and potential risk of butene-fipronil using Drosophila melanogaster, in comparison to nine conventional insecticides.</t>
  </si>
  <si>
    <t>Assessment of toxicity and potential risk of butene-fipronil using Drosophila melanogaster, in comparison to nine conventional insecticides.    ABSTRACT:  The toxicities of butene-fipronil to Drosophila melanogaster were evaluated, in comparison to nine conventional insecticides. According to the mean LD50 values of the larvae from CS, w(1118) and Oregan strains, butene-fipronil,abamectin, spinosad and chlorpyrifos exhibited high levels of toxicity. Imidacloprid, α-cypermethrin and clothianidin showed middle levels of toxicity. And acephate,methomyl and acetamiprid had low levels of toxicity. To the adults, butene-fipronil, α-cypermethrin, spinosad, and chlorpyrifos were relatively more toxic, whereas acephate,methomyl, acetamiprid, imidacloprid, clothianidin and abamectin were relatively less toxic. Butene-fipronil and abamectin were more toxic to larvae. In contrast, spinosad,a-cypermethrin, and clothianidin were more toxic to adults.Moreover, the toxic risk assessment using a risk quotient value revealed that butene-fipronil was safe to D. melanogaster adults. Thus, our results suggested that butene-fipronil is harmful to D. melanogaster larvae, but it is relatively safe to the adults.  KEYWORDS:  MeSH Chemical: 1-(2,6-dichloro-alpha,alpha,alpha-trifluoro-p-tolyl)-5-(2-methylamino)-4-(trifluoromethylsulfinyl)pyrazole-3-carbonitrile| Hydrocarbons, Halogenated| Insecticides| Pyrazoles MeSH: | Animals| Drosophila melanogaster| Hydrocarbons, Halogenated/majr/toxicity| Insecticides/majr/toxicity| Pyrazoles/majr/toxicity| Risk Assessment| Toxicity Tests</t>
  </si>
  <si>
    <t>Arain MS, Hu XX, Li GQ</t>
  </si>
  <si>
    <t>190-5</t>
  </si>
  <si>
    <t>Detection of the A302S Rdl mutation in fipronil bait-selected strains of the German cockroach (Dictyoptera: Blattellidae).</t>
  </si>
  <si>
    <t>Ang LH, Nazni WA, Kuah MK, Shu-Chien AC, Lee CY</t>
  </si>
  <si>
    <t>2167-76</t>
  </si>
  <si>
    <t>The influence of fipronil on Reticulitermes flavipes (Isoptera: Rhinotermitidae) feeding beyond treated plots.</t>
  </si>
  <si>
    <t>The influence of fipronil on Reticulitermes flavipes (Isoptera: Rhinotermitidae) feeding beyond treated plots.    ABSTRACT:  A small-plot field trial was conducted to examine the area of influence of fipronil at incremental distances away from treated plots on the Harrison Experimental Forest near Saucier, MS. Small treated (water and fipronil) plots were surrounded by untreated wooden boards in an eight-point radial pattern, and examined for evidence of termite feeding every 60 d for 1 yr after treatment. Circular areas of 0, 0.28, 1.13, 2.55, 4.52, 7.07, and 10.18 m2 around the treated plots were installed to evaluate feeding damage by termites on the boards. The relationship between feeding damage to boards and area for each time interval was examined by using an exponential increase model. For both treatments and controls in nearly all periods examined, feeding was suppressed in the boards nearest to the treated plots, but increased exponentially as the area increased. Beginning 4 mo after treatment, treatment plots had lower proportions of boards with termite feeding evidence than control plots. Reduction in feeding was the only influence of fipronil observed beyond the treated plots.  KEYWORDS:  MeSH Chemical: Insecticides| Pyrazoles| fipronil MeSH: | Animals| Feeding Behavior| Insecticides/majr| Isoptera/majr| Mississippi| Pinus| Pyrazoles/majr| Wood</t>
  </si>
  <si>
    <t>Shelton TG</t>
  </si>
  <si>
    <t>2160-6</t>
  </si>
  <si>
    <t>Biochemical alterations induced by oral subchronic exposure to fipronil, fluoride and their combination in buffalo calves.</t>
  </si>
  <si>
    <t>Gill KK, Dumka VK</t>
  </si>
  <si>
    <t>1113-9</t>
  </si>
  <si>
    <t>Using a hazard quotient to evaluate pesticide residues detected in pollen trapped from honey bees (Apis mellifera) in Connecticut.</t>
  </si>
  <si>
    <t>Stoner KA, Eitzer BD</t>
  </si>
  <si>
    <t>e77550</t>
  </si>
  <si>
    <t>Antioxidant status in oral subchronic toxicity of fipronil and fluoride co-exposure in buffalo calves.</t>
  </si>
  <si>
    <t>Antioxidant status in oral subchronic toxicity of fipronil and fluoride co-exposure in buffalo calves.    ABSTRACT:  The effects of fipronil and fluoride co-exposure were investigated on antioxidant status of buffalo calves. A total of 24 healthy male buffalo calves divided into 4 groups were treated for 98 consecutive days. Group I, receiving no treatment, served as the control. Animals of groups II and III were orally administered with fipronil at the dosage of 0.5 mg/kg/day and sodium fluoride (NaF) at the dosage of 6.67 mg/kg/day, respectively, for 98 days. Group IV was coadministered with fipronil and NaF at the same dosages as groups II and III. Administration of fipronil alone produced significant elevation in lipid peroxidation (LPO) and decrease in the levels of nonenzymatic antioxidant glutathione (GSH). However, it did not produce any significant effect on the activities of enzymatic antioxidants including glutathione peroxidase (GPx), catalase (CAT), and superoxide dismutase (SOD). NaF exposure led to enhanced oxidative stress as shown by significant increase in the LPO and SOD activities while GPx and CAT activities and GSH levels were significantly decreased. Co-exposure to fipronil and NaF showed additive effects on LPO, GPx activity, and GSH levels.© The Author(s) 2013.  KEYWORDS:  MeSH Chemical: Antioxidants| Pyrazoles| Malondialdehyde| Catalase| Glutathione Peroxidase| Superoxide Dismutase| Glutathione| Fluorides| fipronil MeSH: | Animals| Antioxidants/majr/metabolism| Catalase/blood| Cattle| Dose-Response Relationship, Drug| Fluorides/majr/administration &amp; dosage/toxicity| Glutathione/blood| Glutathione Peroxidase/blood| Lipid Peroxidation/drug effects| Male| Malondialdehyde/blood| Oxidative Stress/drug effects| Pyrazoles/majr/administration &amp; dosage/toxicity| Superoxide Dismutase/blood| Toxicity Tests, Subchronic/majr Other:Fipronil|buffalo calves|co-exposure|oxidative stress|sodium fluoride</t>
  </si>
  <si>
    <t>251-9</t>
  </si>
  <si>
    <t>Combination of phagostimulant and visual lure as an effective tool in designing house fly toxic baits: a laboratory evaluation.</t>
  </si>
  <si>
    <t>Combination of phagostimulant and visual lure as an effective tool in designing house fly toxic baits: a laboratory evaluation.    ABSTRACT:  House flies (Diptera: Muscidae), potential vectors of a variety of pathogens, characteristically search and feed on sugar sources just after emergence for their survival. Phagostimulants like sugars, and visual characteristics of feeding materials play an important role in foraging success in house flies. Therefore, development of toxic baits by using the combination of phagostimulant and visual lure may prove effective in localized control of house flies. In the present study, visual attraction of house flies to different fabric colors was studied in choice and no choice experiments. Dark blue was the most preferred color in both experiments. In toxicity experiments, insecticide solutions were prepared in 20% sugar solution. Dark blue fabric strips were prepared by moistening with 20% sugar water solution containing median lethal concentrations of one of the four insecticides viz., fipronil, Imidacloprid, indoxacarb and Spinosad. The fabric strips treated with fipronil and Imidacloprid took minimum time (7.66 and 7.81 h, respectively) to cause 50% mortality, while those treated with Spinosad and indoxacarb took relatively more time (13.62 and 17.91 h, respectively) to cause 50% mortality. In conclusion, the combination of phagostimulant and visual lure could be used in designing toxic baits for house flies.  KEYWORDS:  MeSH Chemical: Insecticides MeSH: | Animals| Choice Behavior/drug effects| Color| Houseflies/majr| Insect Control/majr/methods| Insecticides/toxicity| Laboratories/majr| Time Factors| Vision, Ocular/majr</t>
  </si>
  <si>
    <t>Khan HA, Shad SA, Akram W</t>
  </si>
  <si>
    <t>e77225</t>
  </si>
  <si>
    <t>Neurotranmission systems as targets for toxicants: a review.</t>
  </si>
  <si>
    <t>Neurotranmission systems as targets for toxicants: a review.    ABSTRACT:  Neurotransmitters are chemicals that transmit impulses from one nerve to another or from nerves to effector organs. Numerous neurotransmitters have been described in mammals, amongst them acetylcholine, amino acids, amines, peptides and gases. Toxicants may interact with various parts of neurotransmission systems, including synthetic and degradative enzymes, presynaptic vesicles and the specialized receptors that characterize neurotransmission systems. Important toxicants acting on the cholinergic system include the anticholinesterases (organophosphates and carbamates) and substances that act on receptors such as nicotine and the neonicotinoid insecticides, including imidacloprid. An important substance acting on the glutamatergic system is domoic acid, responsible for amnesic shellfish poisoning. 4-Aminobutyric acid (GABA) and glycine are inhibitory neurotransmitters and their antagonists, fipronil (an insecticide) and strychnine respectively, are excitatory. Abnormalities of dopamine neurotransmission occur in Parkinson's disease, and a number of substances that interfere with this system produce Parkinsonian symptoms and clinical signs, including notably 1-methyl-4-phenyl-1,2,3,6-tetrahydropyridine, which is the precursor of 1-methyl-4-phenylpyridinium. Fewer substances are known that interfere with adrenergic, histaminergic or seroninergic neurotransmission, but there are some examples. Among peptide neurotransmission systems, agonists of opioids are the only well-known toxic compounds.  KEYWORDS:  MeSH Chemical: Cholinergic Agents| Neurotransmitter Agents| gamma-Aminobutyric Acid| Glycine MeSH: | Animals| Cholinergic Agents/majr/toxicity| Glycine/majr/metabolism| Humans| Nervous System Physiological Phenomena/drug effects| Neurotransmitter Agents/majr/metabolism/physiology| gamma-Aminobutyric Acid/majr/metabolism</t>
  </si>
  <si>
    <t>Marrs TC, Maynard RL</t>
  </si>
  <si>
    <t>Cell biology and toxicology</t>
  </si>
  <si>
    <t>381-96</t>
  </si>
  <si>
    <t>Regression analysis of dynamics of insecticide resistance in field populations of Chilo suppressalis (Lepidoptera: Crambidae) during 2002-2011 in China.</t>
  </si>
  <si>
    <t>He Y, Zhang J, Gao C, Su J, Chen J, Shen J</t>
  </si>
  <si>
    <t>1832-7</t>
  </si>
  <si>
    <t>Study of ehrlichiosis in kennel dogs under treatment and prevention during seven months in Dakar (Senegal).</t>
  </si>
  <si>
    <t>Study of ehrlichiosis in kennel dogs under treatment and prevention during seven months in Dakar (Senegal).    ABSTRACT:  In Dakar kennels where morbidity and mortality attributed to diseases transmitted by ticks were high, we conducted a field study to assess the prevalence of Ehrlichia canis, Anaplasma platys and Babesia spp. infections in two kennels (n = 34 dogs) and to study the impact of tick protection. The first day of the study, the E. canis PCR were positive in 18 dogs (53%). A. platys was found in one dog and all dogs were negative for Babesia spp. After one month of doxycycline treatment, the number of PCR positive dogs decreased significantly to 2 (5.9%). During seven months, all dogs were treated monthly topically with a novel combination (Certifect(®), Merial) delivering at least 6.7 mg fipronil/kg body weight, 8.0mg amitraz/kg and 6 mg (S)-methoprene/kg. The number of PCR positive dogs remained stable all over the seven months, with 4 dogs being positive at Day 90 and 2 at Day 210. The combination of treatment and monthly prevention had a significant effect in the two kennels. All dogs remained healthy, which was not the case in previous years.Copyright © 2013 The Authors. Published by Elsevier Ltd.. All rights reserved.  KEYWORDS:  MeSH Chemical: RNA, Ribosomal, 18S| Doxycycline MeSH: | Animals| Arachnid Vectors/microbiology| Dog Diseases/majr/drug therapy/epidemiology/prevention &amp; control| Dogs| Doxycycline/therapeutic use| Ehrlichia canis/classification/genetics/isolation &amp; purification| Ehrlichiosis/majr/veterinary| Female| Genes, Bacterial| Geography| Male| Prevalence| RNA, Ribosomal, 18S| Serotyping| Ticks/microbiology Other:(S)-methoprene|Amitraz|Anaplasma platys|Dog|Doxycycline|Ehrlichia canis|Fipronil|PCR|Senegal|Serology</t>
  </si>
  <si>
    <t>Davoust B, Mediannikov O, Chene J, Massot R, Tine R, Diarra M, Demoncheaux JP, Scandola P, Beugnet F, Chabanne L</t>
  </si>
  <si>
    <t>613-7</t>
  </si>
  <si>
    <t>Disposition of fipronil in rats.</t>
  </si>
  <si>
    <t>Disposition of fipronil in rats.    ABSTRACT:  In the scientific literature, little attention has been paid to the disposition of fipronil, a phenyl pyrazole insecticide. In this study, the tissue distribution, the metabolic fate, and the elimination of fipronil was investigated in rats using radiolabeled fipronil. When a single oral dose of (14)C-fipronil (10 mg kg(-1) b.w.) was given to rats, the proportion of dose eliminated in urine and feces 72 h after dosing was ca 4% for each route. At the end of the experiment the highest levels of radioactivity were found in adipose tissue and adrenals. The main part of the radioactivity present in investigated tissues (adipose tissue, adrenals, liver, kidney, testes) was due to fipronil-sulfone. Five additional metabolites, isolated from urine were characterized by LC-MS/MS. Most of them are formed by the loss of the trifluoromethylsulphinyl group and subsequent hydroxylation and/or conjugation to glucuronic acid or sulfate. In conclusion, the retention of the metabolite fipronil sulfone in tissues following fipronil administration raises the question of the potential toxicity of this insecticide.Copyright © 2013 Elsevier Ltd. All rights reserved.  KEYWORDS:  MeSH Chemical: Insecticides| Pyrazoles| fipronil sulfone| fipronil MeSH: | Animals| Insecticides/majr/metabolism| Male| Pyrazoles/majr/metabolism| Rats| Tissue Distribution Other:Biotransformation|In vivo|Metabolism|Pesticide|Phenylpyrazoles</t>
  </si>
  <si>
    <t>Cravedi JP, Delous G, Zalko D, Viguié C, Debrauwer L</t>
  </si>
  <si>
    <t>2276-83</t>
  </si>
  <si>
    <t>Potential autophagy enhancers protect against fipronil-induced apoptosis in SH-SY5Y cells.</t>
  </si>
  <si>
    <t>Park JH, Lee JE, Lee SJ, Park SJ, Park KH, Jeong M, Koh HC</t>
  </si>
  <si>
    <t>25-34</t>
  </si>
  <si>
    <t>Toxicity of fipronil to the midge, Cricotopus lebetis Sublette.</t>
  </si>
  <si>
    <t>Toxicity of fipronil to the midge, Cricotopus lebetis Sublette.    ABSTRACT:  Fipronil, a relatively new insecticide more recently developed than organophosphates and pyrethroids, has been detected in surface water draining from agricultural and urban-developed areas. This insecticide is primarily lost through subsurface and surface drainage from terrestrial areas where it has been applied. Invasive aquatic plants often need to be managed in these receiving water bodies to prevent loss of recreational and functional values (e.g., drainage), especially in subtropical and tropical areas. One insect of particular interest is the chironomid midge Cricotopus lebetis Sublette, which may be a useful augmentative biocontrol agent for the invasive aquatic weed Hydrilla verticillata L.f. Royale. Exposure of aquatic organisms, especially insects, to fipronil may significantly impact nontarget populations. These studies investigated the sensitivity of C. lebetis to fipronil exposures ranging from 24 to 96 h. The LC50 observed for each exposure interval was 7.26 μg/L (24 h), 2.61 μg/L (48 h), 1.78 μg/L (72 h), and 1.06 μg/L (96 h). The LC90 values observed were 47.18 μg/L (24 h), 9.55 μg/L (48 h), 6.45 μg/L (72 h), and 4.81 μg/L (96 h). Behavioral changes were seen at all fipronil concentration levels, where larvae exited the plant and exhibited abnormal behavior, such as restricted movement and lack of feeding. Results indicate that acute lethality occurred at environmentally relevant concentrations of fipronil.  KEYWORDS:  MeSH Chemical: Insecticides| Pyrazoles| Water Pollutants, Chemical| fipronil MeSH: | Animals| Behavior, Animal/drug effects| Chironomidae/majr/physiology| Dose-Response Relationship, Drug| Female| Insecticides/majr/toxicity| Larva/drug effects/physiology| Lethal Dose 50| Longevity/drug effects| Pyrazoles/majr/toxicity| Risk Assessment| Toxicity Tests| Water Pollutants, Chemical/majr/toxicity</t>
  </si>
  <si>
    <t>Stratman KN, Wilson PC, Overholt WA, Cuda JP, Netherland MD</t>
  </si>
  <si>
    <t>716-22</t>
  </si>
  <si>
    <t>The nuclear receptors pregnane X receptor and constitutive androstane receptor contribute to the impact of fipronil on hepatic gene expression linked to thyroid hormone metabolism.</t>
  </si>
  <si>
    <t>Roques BB, Leghait J, Lacroix MZ, Lasserre F, Pineau T, Viguié C, Martin PG</t>
  </si>
  <si>
    <t>Biochemical pharmacology</t>
  </si>
  <si>
    <t>997-1039</t>
  </si>
  <si>
    <t>Localized treatments using commercial dust and liquid formulations of fipronil against Coptotermes formosanus (Isoptera: Rhinotermitidae) in the laboratory.</t>
  </si>
  <si>
    <t>Localized treatments using commercial dust and liquid formulations of fipronil against Coptotermes formosanus (Isoptera: Rhinotermitidae) in the laboratory.    ABSTRACT:  Use of proper application methods and formulations of termiticides are important to reduce their negative impact to the environment. In this study, we conducted laboratory experiments to determine the effect of localized treatments with commercial dust and liquid formulations of fipronil against Formosan subterranean termites, Coptotermes formosanus Shiraki. The test arena consisted of a specially designed 16-chambered structure with a center chamber connected to 5 foraging chambers that themselves were connected to 10 additional foraging chambers. One peripheral chamber received a liquid or dust treatment and termites were released in the center chamber. Results showed that &gt;91% of the termites were dead within the 9-d test period despite the localized treatment of only 1 foraging chamber. Termites that were still alive after 9 d were transferred to an untreated dish and held for 10 more days. The majority of those termites were dead and the rest were moribund on day 19. Regardless of the specific dish treated, both formulations of fipronil were found to be highly efficacious. Termites did not exhibit repellency to either formulation. Our results suggest that localized (or spot) treatment with either commercially available dust or liquid formulations of fipronil can be a viable option for control of a termite infestation where complete soil drenching is not desirable.© 2013 Institute of Zoology, Chinese Academy of Sciences.  KEYWORDS:  MeSH Chemical: Insecticides| Pyrazoles| fipronil MeSH: | Animals| Dose-Response Relationship, Drug| Insect Control/majr/methods| Insecticides/administration &amp; dosage/toxicity| Isoptera/majr| Laboratories| New Orleans| Pyrazoles/majr/administration &amp; dosage/toxicity Other:Formosan subterranean termites|nonrepellent termiticide|soil treatment|spot treatment|termite control</t>
  </si>
  <si>
    <t>Gautam BK, Henderson G, Wang C</t>
  </si>
  <si>
    <t>174-80</t>
  </si>
  <si>
    <t>Evaluation of fipronil oral dosing to cattle for control of adult and larval sand flies under controlled conditions.</t>
  </si>
  <si>
    <t>Evaluation of fipronil oral dosing to cattle for control of adult and larval sand flies under controlled conditions.    ABSTRACT:  Visceral Leishmaniasis (VL) is a vector-borne disease endemic to the Indian subcontinent. The Phlebotomus genus of sand flies is the vector for VL in the Old World, with the vector on the Indian Subcontinent being Phlebotomus argentipes. Cattle are a commodity in this region and a frequent host source of P. argentipes bloodmeals. The purpose of this study was to determine the efficacy of a single oral dose fipronil against adult and larval P. argentipes. Ten Bos indicus cattle were used during the study in a controlled environment. The study was conducted in Bihar, India, and involved adult and larval bioassays using laboratory-reared P. argentipes. The results were positive in that they led to up to 100% mortality in both adult and larval sand flies over a 21-d period after a single dose of fipronil.  KEYWORDS:  MeSH Chemical: Insecticides| Pyrazoles| fipronil MeSH: | Administration, Oral| Animals| Cattle/majr/metabolism| Female| Humans| Insect Vectors/majr/drug effects| Insecticides/majr/administration &amp; dosage/pharmacology| Leishmania donovani/majr/drug effects| Leishmaniasis, Visceral/majr/prevention &amp; control/veterinary| Male| Psychodidae/majr/drug effects| Pyrazoles/majr/administration &amp; dosage/pharmacology</t>
  </si>
  <si>
    <t>Poché RM, Garlapati R, Singh MI, Poché DM</t>
  </si>
  <si>
    <t>833-7</t>
  </si>
  <si>
    <t>Persistence of fipronil and its metabolites in soil under field conditions.</t>
  </si>
  <si>
    <t>Persistence of fipronil and its metabolites in soil under field conditions.    ABSTRACT:  Fipronil belongs to phenylpyrazole class of chemical compounds. Degradation of fipronil in sandy loam soil was investigated under field conditions by applying fipronil (Regent 5 % SC) at 50 (T 1) and 100 g a.i. ha(-1) (T 2) in field. Samples were drawn periodically in triplicate on 0 (1 h after treatment), 1, 3, 7, 10, 15, 30, 60, and 90 days after treatment and analyzed on GC-ECD system equipped with capillary column. The residues of fipronil in both the doses dissipated in the range of 93.33-100 % in 90 days. Limit of detection (LOD) and limit of determination (LODe/LOQ) were 0.0003 and 0.001 mg kg(-1), respectively. Dissipation followed a biphasic first-order kinetics with half-life values of 10.81 and 9.97 days for fipronil alone and 8.14 and 13.05 days for fipronil along with metabolites in soil at (T 1) and (T 2) treatments, respectively.  KEYWORDS:  MeSH Chemical: Insecticides| Pesticide Residues| Pyrazoles| Soil| Soil Pollutants| fipronil MeSH: | Environmental Monitoring| Half-Life| Insecticides/majr/analysis| Kinetics| Models, Chemical| Pesticide Residues/analysis| Pyrazoles/majr/analysis| Soil/majr/chemistry| Soil Pollutants/majr/analysis</t>
  </si>
  <si>
    <t>Saini S, Rani M, Kumari B</t>
  </si>
  <si>
    <t>DNA sequencing reveals the midgut microbiota of diamondback moth, Plutella xylostella (L.) and a possible relationship with insecticide resistance.</t>
  </si>
  <si>
    <t>Xia X, Zheng D, Zhong H, Qin B, Gurr GM, Vasseur L, Lin H, Bai J, He W, You M</t>
  </si>
  <si>
    <t>e68852</t>
  </si>
  <si>
    <t>Single drop microextraction and gas chromatography-mass spectrometry for the determination of diflufenican, mepanipyrim, fipronil, and pretilachlor in water samples.</t>
  </si>
  <si>
    <t>Single drop microextraction and gas chromatography-mass spectrometry for the determination of diflufenican, mepanipyrim, fipronil, and pretilachlor in water samples.    ABSTRACT:  An analytical method for the determination of diflufenican, mepanipyrim, pretilachlor, and fipronil in water samples was developed using single drop microextraction in the direct immersion mode and gas chromatography-mass spectrometry. A factorial fractionated design of type 2(6-1) at two levels was performed, to study the influence of experimental variables such as ionic strength, pH, agitation speed, extraction time, drop volume, and sample volume. To establish the optimal conditions for the variables that were significant, a Doehlert design was performed. The optimum conditions of extraction were 1 μL of heptane immersed in 4.0 mL of sample with continuous agitation at 500 rpm for 30 min at room temperature. The developed method proved to have good linearity for the range studied. The detection limits were 0.07 μg L(-1) for diflufenican, 0.03 μg L(-1) for mepanipyrim, 0.08 μg L(-1) for pretilachlor, and 1.39 μg L(-1) for fipronil. The method was validated on river water samples, showing the absence of matrix effect and recoveries ranged from 90.1 to 107.8 %. The results show that the method developed is accurate, sensitive, rapid, simple, and low cost, so it is recommended for application in the analysis of these different classes of pesticides in water samples.  KEYWORDS:  MeSH Chemical: Acetanilides| Pesticides| Pyrazoles| Pyrimidines| Water Pollutants, Chemical| Niacinamide| diflufenican| pretilachlor| mepanipyrim| fipronil MeSH: | Acetanilides/analysis| Chemical Fractionation/majr/methods| Environmental Monitoring| Fresh Water/majr/chemistry| Gas Chromatography-Mass Spectrometry| Niacinamide/analogs &amp; derivatives/analysis| Pesticides/majr/analysis| Pyrazoles/analysis| Pyrimidines/analysis| Water Pollutants, Chemical/majr/analysis/chemistry</t>
  </si>
  <si>
    <t>Araujo L, Troconis ME, Cubillán D, Mercado J, Villa N, Prieto A</t>
  </si>
  <si>
    <t>185</t>
  </si>
  <si>
    <t>10225-33</t>
  </si>
  <si>
    <t>Baseline toxicity of metaflumizone and lack of cross resistance between indoxacarb and metaflumizone in diamondback moth (Lepidoptera: Plutellidae).</t>
  </si>
  <si>
    <t>Khakame SK, Wang X, Wu Y</t>
  </si>
  <si>
    <t>1423-9</t>
  </si>
  <si>
    <t>KONAGAbase: a genomic and transcriptomic database for the diamondback moth, Plutella xylostella.</t>
  </si>
  <si>
    <t>Jouraku A, Yamamoto K, Kuwazaki S, Urio M, Suetsugu Y, Narukawa J, Miyamoto K, Kurita K, Kanamori H, Katayose Y, Matsumoto T, Noda H</t>
  </si>
  <si>
    <t>BMC genomics</t>
  </si>
  <si>
    <t>464</t>
  </si>
  <si>
    <t>Amblyomma cajennense (Acari: Ixodidae) tick populations susceptible or resistant to acaricides in the Mexican Tropics.</t>
  </si>
  <si>
    <t>Alonso-Díaz MA, Fernández-Salas A, Martínez-Ibáñez F, Osorio-Miranda J</t>
  </si>
  <si>
    <t>326-31</t>
  </si>
  <si>
    <t>Toxicities and synergistic effects of several insecticides against the oriental fruit fly (Diptera: Tephritidae).</t>
  </si>
  <si>
    <t>Toxicities and synergistic effects of several insecticides against the oriental fruit fly (Diptera: Tephritidae).    ABSTRACT:  The oriental fruit fly, Bactrocera dorsalis (Hendel), is a serious insect pest that causes large losses to orchards globally. In this study, we conducted experiments to investigate the susceptibility of two populations (Kunming of Yunnan and Dongguan of Guangdong province) of B. dorsalis to nine insecticides. Bioassay results demonstrated that fipronil was the most effective insecticide, followed by phoxim, abamectin, triazophos, beta-cypermethrin, chlorpyrifos, deltamethrin, malathion, and imidacloprid against the Kunming of Yunnan province population, with LD50 values that ranged from 1.55 to 187.48 ng/fly. For the Dongguan of Guangdong province population, fipronil was also most toxic, followed by triazophos, phoxim, chlorpyrifos, abamectin, deltamethrin, beta-cypermethrin, malathion, and imidacloprid, with LD50 values from 2.07 to 439.11 ng/fly. The addition of synergists triphenyl phosphate, piperonyl butoxide, and diethyl maleate yielded different levels of synergistic effects on different insecticides against each population. However, the synergistic effects on the nine insecticides against the two populations are different. The treatment of a sublethal dose (LD2o) of beta-cypermethrin together with three synergists could induce increased specific activity of carboxylesterases at the beginning of exposure, followed by a decline within 24 h. The specific activity of carboxylesterases was higher in the fat body, midgut, and Malpighian tubules, suggesting these are important tissues for detoxification. Overall, the data developed in this study provide useful information for designing an insecticide management strategy for controlling this insect in the field.  KEYWORDS:  MeSH Chemical: Insecticides MeSH: | Animals| China| Insecticide Resistance/drug effects| Insecticides/majr/pharmacology| Tephritidae/majr/drug effects</t>
  </si>
  <si>
    <t>Wang JJ, Wei D, Dou W, Hu F, Liu WF, Wang JJ</t>
  </si>
  <si>
    <t>970-8</t>
  </si>
  <si>
    <t>Further studies on wireworm management in Canada: damage protection versus wireworm mortality in potatoes.</t>
  </si>
  <si>
    <t>Vernon RS, Van Herk WG, Clodius M, Harding C</t>
  </si>
  <si>
    <t>786-99</t>
  </si>
  <si>
    <t>[Determination of ten pesticides of pyrazoles and pyrroles in tea by accelerated solvent extraction coupled with gas chromatography-tandem mass spectrometry].</t>
  </si>
  <si>
    <t>[Determination of ten pesticides of pyrazoles and pyrroles in tea by accelerated solvent extraction coupled with gas chromatography-tandem mass spectrometry].    ABSTRACT:  An effective method was developed and applied to determine the residues of ten pesticides of pyrazoles and pyrroles in tea by accelerated solvent extraction coupled with gas chromatography-tandem mass spectrometry (ASE-GC-MS/MS). The samples were extracted with ethyl acetate-hexane (1:1, v/v) for 5 min at 1.03 x 10(7) Pa and 100 degree C for one cycle. Then, they were purified by Envi-Carb/PSA column, and eluted by ethyl acetate-hexane (1:1, v/v). The analytes were determined by GC-MS/MS and quantified by external standard method. The limits of quantification were 0.003 mg/kg for fenpyroximate, 0.001 mg/kg for fipronil-sulfide, 0.002 mg/kg for fipronil, 0.005 mg/kg for fipronil-sulfone, 0.002 mg/kg for chlorfenapyr, 0.006 mg/kg for flusilazole, 0.001 mg/kg for difenzoquat, 0.001 mg/kg for pyraflufen-ethyl, 0.000 3 mg/kg for tebufenpyrad and 0.005 mg/kg for tolfenpyrad. The results show that the proposed method is sensitive and accurate for the determination of the ten pesticide residues.  KEYWORDS:  MeSH Chemical: Pesticide Residues| Pyrazoles| Pyrroles| Solvents| Tea MeSH: | Food Contamination/analysis| Gas Chromatography-Mass Spectrometry/majr/methods| Liquid Phase Microextraction/methods| Pesticide Residues/majr/analysis| Pyrazoles/majr/analysis| Pyrroles/majr/analysis| Solvents/chemistry| Tandem Mass Spectrometry/methods| Tea/majr/chemistry</t>
  </si>
  <si>
    <t>Xu D, Lu S, Chen D, Lan J, Zhang Z, Yang F, Zhou Y</t>
  </si>
  <si>
    <t>218-22</t>
  </si>
  <si>
    <t>Insecticide susceptibilities in populations of two rice planthoppers, Nilaparvata lugens and Sogatella furcifera, immigrating into Japan in the period 2005-2012.</t>
  </si>
  <si>
    <t>Matsumura M, Sanada-Morimura S, Otuka A, Ohtsu R, Sakumoto S, Takeuchi H, Satoh M</t>
  </si>
  <si>
    <t>615-22</t>
  </si>
  <si>
    <t>Removal of mixed pesticides from aqueous solutions using organoclays: evaluation of equilibrium and kinetic model.</t>
  </si>
  <si>
    <t>Saha A, Ahammed Shabeer TpGajbhiye VT, Gupta S, Kumar R</t>
  </si>
  <si>
    <t>111-6</t>
  </si>
  <si>
    <t>Effectiveness of a single application of 0·25% fipronil solution for the treatment of hirstiellosis in captive green iguanas (Iguana iguana): an open-label study.</t>
  </si>
  <si>
    <t>Effectiveness of a single application of 0·25% fipronil solution for the treatment of hirstiellosis in captive green iguanas (Iguana iguana): an open-label study.    ABSTRACT:  Hirstiella spp. are common ectoparasites of captive green iguanas (Iguana iguana). Suggested treatments are empirical and some of them are of low efficacy and potentially toxic. The objective of this open-label study was to investigate the short-term efficacy and safety of a single application of 0·25% fipronil solution for the treatment of hirstiellosis. The skin of 50 green iguanas was thoroughly examined with the aid of bright light and magnifying lenses. A total of 21 iguanas were found to be infested, harbouring 1-24 mites (median: 5). All 35 mites collected from 17 iguanas were identified as Hirstiella sp. Both infested and non-infested lizards, sharing the same enclosure, were carefully wiped with 0·25% fipronil solution. The safety and the efficacy of the treatment were evaluated after 2 days in 47/50 (94%) and 7 days in 29/50 (58%) iguanas. Compared with pre-treatment levels, the parasitic load did not changed significantly on the second day but was significantly lower on day 7 (P = 0·006). No adverse reactions were noticed. Based on these results a single whole-body application of 0·25% fipronil solution can be considered a safe and effective treatment for the reduction of parasitic burden in captive green iguanas infested by Hirstiella sp. mites.  KEYWORDS:  MeSH Chemical: Acaricides| Antiparasitic Agents| Pyrazoles| Solutions| fipronil MeSH: | Acaricides/majr/administration &amp; dosage| Animals| Antiparasitic Agents/majr/administration &amp; dosage| Iguanas/majr/parasitology| Mite Infestations/majr/drug therapy/parasitology| Mites/majr/physiology| Pyrazoles/majr/administration &amp; dosage| Solutions</t>
  </si>
  <si>
    <t>Farmaki R, Simou C, Papadopoulos E, Koutinas AF, Saridomichelakis MN</t>
  </si>
  <si>
    <t>Parasitology</t>
  </si>
  <si>
    <t>140</t>
  </si>
  <si>
    <t>1144-8</t>
  </si>
  <si>
    <t>Enzymatic biomarkers as tools to assess environmental quality: a case study of exposure of the honeybee Apis mellifera to insecticides.</t>
  </si>
  <si>
    <t>Carvalho SM, Belzunces LP, Carvalho GA, Brunet JL, Badiou-Beneteau A</t>
  </si>
  <si>
    <t>2117-24</t>
  </si>
  <si>
    <t>A vortex-assisted MSPD method for the extraction of pesticide residues from fish liver and crab hepatopancreas with determination by GC-MS.</t>
  </si>
  <si>
    <t>A vortex-assisted MSPD method for the extraction of pesticide residues from fish liver and crab hepatopancreas with determination by GC-MS.    ABSTRACT:  A method based on matrix solid-phase dispersion (MSPD) and gas chromatography-mass spectrometry to determine pesticides in fish liver and crab hepatopancreas was optimized. Ethyl acetate and acetonitrile were evaluated as elution solvents and their volumes were also checked. The best results were obtained with 1.0 g reused C18 as sorbent, using 5 mL acetonitrile as the elution solvent. Analytical recoveries ranged between 57 and 107% with RSD lower than 26% in fish liver and between 56 and 122% with RSD lower than 21% in crab hepatopancreas. The LOQ values for these compounds ranged from 0.05 to 0.5 mg kg(-1) for crab hepatopancreas and from 0.125 to 1.25 mg kg(-1) for fish liver. MPSD was shown to be easy and fast to use, with a clear advantage regarding costs because it does not need any expensive instrument. The proposed method was successfully applied to determine dimethoate, atrazine, clomazone, fenitrothion, malathion, fipronil and tebuconazole in fish liver and crab hepatopancreas samples.Copyright © 2013 Elsevier B.V. All rights reserved.  KEYWORDS:  MeSH Chemical: Isoxazoles| Oxazolidinones| Pesticide Residues| Pyrazoles| Triazoles| tebuconazole| clomazone| fipronil| Atrazine| Malathion| Dimethoate| Fenitrothion MeSH: | Animals| Atrazine/analysis| Brachyura| Dimethoate/analysis| Environmental Monitoring| Fenitrothion/analysis| Gas Chromatography-Mass Spectrometry| Hepatopancreas/majr/chemistry| Isoxazoles/analysis| Liver/majr/chemistry| Malathion/analysis| Oxazolidinones/analysis| Perciformes| Pesticide Residues/majr/analysis| Pyrazoles/analysis| Reproducibility of Results| Triazoles/analysis</t>
  </si>
  <si>
    <t>Souza Caldas S, Marian Bolzan C, Jaime de Menezes E, Laura Venquiaruti Escarrone A, de Martinez Gaspar Martins C, Bianchini A, Gilberto Primel E</t>
  </si>
  <si>
    <t>[Determination of seven pesticide residues in bamboo shoots by high performance liquid chromatography-tandem mass spectrometry coupled with solid-phase extraction].</t>
  </si>
  <si>
    <t>[Determination of seven pesticide residues in bamboo shoots by high performance liquid chromatography-tandem mass spectrometry coupled with solid-phase extraction].    ABSTRACT:  A simple and efficient method based on solid-phase extraction (SPE) and high performance liquid chromatography-tandem mass spectrometry (HPLC-MS/MS) was developed for the determination of butylene fipronil, chlorpyrifos, chlorantraniliprole, fipronil, imidacloprid, indoxacarb and phoxim residues in bamboo shoots. The sample was extracted with acetonitrile and purified by a primary secondary amine (PSA) solid-phase extraction cartridge. The detection of targets was performed by HPLC-MS/MS with multiple reaction monitoring (MRM) mode. All the seven pesticides were completely separated in 15 min with an excellent linear relationship. The limits of detection and the limits of quantification for the seven pesticides were 0.02-0.5 microg/kg and 0.08-1.5 microg/kg, respectively. The recoveries of the seven pesticides spiked in a bamboo shoot sample at the levels of 4, 8, 32 microg/kg were in the range from 76.0% to 102.6% (the RSD &lt; or = 11.0%, n = 3). The method was successfully applied to the real bamboo shoot samples. The method has high accuracy and sensitivity, and is simple and quick. It can meet the requirement of the simultaneous determination of the seven pesticides in bamboo shoots.  KEYWORDS:  MeSH Chemical: Pesticide Residues| Pyrazoles| ortho-Aminobenzoates| chlorantranilipole| Chlorpyrifos| fipronil MeSH: | Chlorpyrifos/analysis| Chromatography, High Pressure Liquid/majr/methods| Food Contamination/analysis| Pesticide Residues/majr/analysis| Plant Shoots/majr/chemistry| Pyrazoles/analysis| Sasa/majr/chemistry| Solid Phase Extraction/methods| Tandem Mass Spectrometry/majr/methods| ortho-Aminobenzoates/analysis</t>
  </si>
  <si>
    <t>Ding M, Zhong D, Tang F, Fang W</t>
  </si>
  <si>
    <t>117-21</t>
  </si>
  <si>
    <t>Supplementation of microbial levan in the diet of Cyprinus carpio fry (Linnaeus, 1758) exposed to sublethal toxicity of fipronil: effect on growth and metabolic responses.</t>
  </si>
  <si>
    <t>Gupta SK, Pal AK, Sahu NP, Jha AK, Akhtar MS, Mandal SC, Das P, Prusty AK</t>
  </si>
  <si>
    <t>1513-24</t>
  </si>
  <si>
    <t>Effects of the insecticide fipronil on reproductive endocrinology in the fathead minnow.</t>
  </si>
  <si>
    <t>Effects of the insecticide fipronil on reproductive endocrinology in the fathead minnow.    ABSTRACT:  Gamma-aminobutyric acid (GABA) and GABA receptors play an important role in neuroendocrine regulation in fish. Disruption of the GABAergic system by environmental contaminants could interfere with normal regulation of the hypothalamic-pituitary-gonadal axis, leading to impaired fish reproduction. The present study used a 21-d fathead minnow (Pimephales promelas) reproduction assay to investigate the reproductive toxicity of fipronil (FIP), a broad-spectrum phenylpyrazole insecticide that acts as a noncompetitive blocker of GABA receptor-gated chloride channels. Continuous exposure up to 5 µg FIP/L had no significant effect on most of the endpoints measured, including fecundity, secondary sexual characteristics, plasma steroid and vitellogenin concentrations, ex vivo steroid production, and targeted gene expression in gonads or brain. The gonad mass, gonadosomatic index, and histological stage of the gonad were all significantly different in females exposed to 0.5 µg FIP/L compared with those exposed to 5.0 µg FIP/L; however, there were no other significant effects on these measurements in the controls or any of the other treatments in either males and females. Overall, the results do not support a hypothesized adverse outcome pathway linking FIP antagonism of the GABA receptor(s) to reproductive impairment in fish.Copyright © 2013 SETAC.  KEYWORDS:  MeSH Chemical: Insecticides| Pyrazoles| Vitellogenins| Water Pollutants, Chemical| gamma-Aminobutyric Acid| fipronil MeSH: | Animals| Biological Assay/methods| Cyprinidae/majr/physiology| Endocrine System/majr/drug effects/physiology| Female| Fertility| Gonads/physiology| Insecticides/majr/toxicity| Male| Pyrazoles/majr/toxicity| Reproduction/drug effects/physiology| Vitellogenins/metabolism| Water Pollutants, Chemical/toxicity| gamma-Aminobutyric Acid/physiology Other:Endocrine disruption|Fecundity|Fish|Neurotransmitter|Pesticide</t>
  </si>
  <si>
    <t>Bencic DC, Villeneuve DL, Biales AD, Blake L, Durhan EJ, Jensen KM, Kahl MD, Makynen EA, Martinović-Weigelt D, Ankley GT</t>
  </si>
  <si>
    <t>1828-34</t>
  </si>
  <si>
    <t>Microbial degradation of fipronil by Bacillus thuringiensis.</t>
  </si>
  <si>
    <t>Microbial degradation of fipronil by Bacillus thuringiensis.    ABSTRACT:  Fipronil, a phenyl pyrazole insecticide has been found to be effective for the control of various insect pests. Due to its higher persistence in soil bioremediation is a promising approach to degrade the pesticide from soil. Isolation and identification of soil microbes was conducted for bioremediation of fipronil contaminated soils. Soil samples collected from different sugarcane growing fields in Gurdaspur district with extensive use of pesticide history served as a source of pesticide degrading microbes. The microbe cultures were grown in Luria broth and maintained at 28°C. After that Dorn's broth enrichment culture supplemented with fipronil was used and Bacillus thuringiensis were isolated. Clay loam soil samples were fortified with fipronil @ 0.50, 0.75, 1.00, 1.25 and 1.50mgkg(-1) along with 45×10(7) microbe cells. Each treatment was replicated thrice and from each fortified (insecticide+microbes) sample, 50g soil sample was taken at 7, 14, 28, 35, 42, 49 and 56 days after initiation of this experiment. Residues were not detected after 28, 35, 35, 35 and 42 days in soil samples after fortification with fipronil @ 0.50, 0.75, 1.00, 1.25 and 1.50mgkg(-1). Among metabolites, sulfide was found to be the main metabolite followed by sulfone and amide. Desulfinyl metabolite was not produced in any of the sample. Total fipronil residues were not found to follow the first order kinetics.Copyright © 2013 Elsevier Inc. All rights reserved.  KEYWORDS:  MeSH Chemical: Insecticides| Pyrazoles| Soil| Soil Pollutants| fipronil MeSH: | Bacillus thuringiensis/majr/metabolism| Biodegradation, Environmental| Insecticides/majr/analysis/metabolism| Kinetics| Pyrazoles/majr/analysis/metabolism| Soil/chemistry| Soil Microbiology/majr| Soil Pollutants/majr/analysis/metabolism</t>
  </si>
  <si>
    <t>87-92</t>
  </si>
  <si>
    <t>Insecticide mixtures could enhance the toxicity of insecticides in a resistant dairy population of Musca domestica L [corrected].</t>
  </si>
  <si>
    <t>Khan HA, Akram W, Shad SA, Lee JJ</t>
  </si>
  <si>
    <t>e60929</t>
  </si>
  <si>
    <t>Synthesis of a series of monosaccharide-fipronil conjugates and their phloem mobility.</t>
  </si>
  <si>
    <t>Synthesis of a series of monosaccharide-fipronil conjugates and their phloem mobility.    ABSTRACT:  To test the effect of adding different monosaccharide groups to a non-phloem-mobile insecticide on the phloem mobility of the insecticide, a series of conjugates of different monosaccharides and fipronil were synthesized using the trichloroacetimidate method. Phloem mobility tests in castor bean ( Ricinus communis L.) seedlings indicated that the phloem mobility of these conjugates varied markedly. L-Rhamnose-fipronil and D-fucose-fipronil displayed the highest phloem mobility among all of the tested conjugates. Conjugating hexose, pentose, or deoxysugar to fipronil through an O-glycosidic linkage can confer phloem mobility to fipronil in R. communis L. effectively, while the -OH orientation of the monosaccharide substantially affected the phloem mobility of the conjugates.  KEYWORDS:  MeSH Chemical: Insecticides| Monosaccharides| Pyrazoles| fipronil MeSH: | Animals| Castor Bean| Chromatography, High Pressure Liquid| Insecticides/majr/chemical synthesis/pharmacology| Larva| Lethal Dose 50| Monosaccharides/majr/chemical synthesis/pharmacology| Phloem/majr/chemistry| Pyrazoles/majr/chemical synthesis/pharmacology| Seedlings| Spodoptera</t>
  </si>
  <si>
    <t>Yuan JG, Wu HX, Lu ML, Song GP, Xu HH</t>
  </si>
  <si>
    <t>4236-41</t>
  </si>
  <si>
    <t>Ant control efficacy of pyrethroids and fipronil on outdoor concrete surfaces.</t>
  </si>
  <si>
    <t>Jiang W, Soeprono A, Rust MK, Gan J</t>
  </si>
  <si>
    <t>271-7</t>
  </si>
  <si>
    <t>Effects of termiticide exposure on mutual interactions between the treated and untreated workers of the Asian subterranean termite Coptotermes gestroi.</t>
  </si>
  <si>
    <t>Neoh KB, Lee CC, Lee CY</t>
  </si>
  <si>
    <t>240-4</t>
  </si>
  <si>
    <t>Acaricides efficiency on Rhipicephalus (Boophilus) microplus from Bahia state North-Central region.</t>
  </si>
  <si>
    <t>Acaricides efficiency on Rhipicephalus (Boophilus) microplus from Bahia state North-Central region.    ABSTRACT:  The cattle tick Rhipicephalus (Boophilus) microplus is responsible for major losses in the Brazilian livestock, mainly due to reduction in cattle productive performance. Resistance development to major classes of acaricide widely used nowadays has been extensively reported, as well as the occurrence of residues from these compounds in animal products and the environment. This study aimed to evaluate the efficiency of acaricides on R. (B.) microplus collected from rural properties in the North-Central region of Bahia State. Ticks were collected in several cattle farms in the cited region, and an in vitro acaricide efficiency assay was performed based on the immersion of ticks in acaricide solutions made according to manufacturers' recommendations. The results obtained in the experiments indicated varying degrees of efficiency of the several bases studied, with the products benzofenilurea, macrocyclic lactone and fipronil showing the highest levels of efficiency, 100%, 100% and 97.34%, respectively. It was possible to conclude that, for the region studied, there are different degrees of commercial acaricides efficiency, and many present less than 95% effectiveness, value determined as acceptable by the Brazilian legislation.  KEYWORDS:  MeSH Chemical: Acaricides MeSH: | Acaricides/majr/pharmacology| Animals| Brazil| Rhipicephalus/majr/drug effects</t>
  </si>
  <si>
    <t>Raynal JT, Silva AA, Sousa Tde J, Bahiense TC, Meyer R, Portela RW</t>
  </si>
  <si>
    <t>71-7</t>
  </si>
  <si>
    <t>Seasonal and spatial distribution of ixodid tick species feeding on naturally infested dogs from Eastern Austria and the influence of acaricides/repellents on these parameters.</t>
  </si>
  <si>
    <t>Duscher GG, Feiler A, Leschnik M, Joachim A</t>
  </si>
  <si>
    <t>Pesticide management and their residues in sediments and surface and drinking water in the Mekong Delta, Vietnam.</t>
  </si>
  <si>
    <t>Toan PV, Sebesvari Z, Bläsing M, Rosendahl I, Renaud FG</t>
  </si>
  <si>
    <t>452-453</t>
  </si>
  <si>
    <t>28-39</t>
  </si>
  <si>
    <t>Effect of owner-controlled acaricidal treatment on tick infestation and immune response to tick-borne pathogens in naturally infested dogs from Eastern Austria.</t>
  </si>
  <si>
    <t>Leschnik M, Feiler A, Duscher GG, Joachim A</t>
  </si>
  <si>
    <t>Biochemical biomarkers in Scinax fuscovarius tadpoles exposed to a commercial formulation of the pesticide fipronil.</t>
  </si>
  <si>
    <t>Stefani Margarido TC, Felício AA, de Cerqueira Rossa-Feres D, de Almeida EA</t>
  </si>
  <si>
    <t>Marine environmental research</t>
  </si>
  <si>
    <t>61-7</t>
  </si>
  <si>
    <t>Resistance to new chemical insecticides in the house fly, Musca domestica L., from dairies in Punjab, Pakistan.</t>
  </si>
  <si>
    <t>Resistance to new chemical insecticides in the house fly, Musca domestica L., from dairies in Punjab, Pakistan.    ABSTRACT:  The house fly, Musca domestica L., is one of the major pests in dairy operations that has developed resistance to a number of insecticides with different modes of action. Adult house fly populations from six dairies in Punjab, Pakistan were evaluated for resistance to insecticides with novel modes of action (abamectin, emamectin benzoate, fipronil, imidacloprid, indoxacarb, and spinosad). Significant levels of resistance to most of the insecticides tested were observed in the present study. For avermectins at LC50 level, the resistance ratios were in the range of 38.40 to 94.44-fold for abamectin and 13.16 to 36.30-fold for emamectin benzoate. Fipronil LC50 resistance ratios exceeded 10-fold in three house fly populations, while all the populations had &gt;10-fold resistance ratios for imidacloprid. Indoxacarb and spinosad had the lowest resistance ratios that ranged from 3.02 to 7.12-fold for indoxacarb and 2.91 to 9.0-fold for spinosad. As the resistance to fipronil, indoxacarb, and spinosad are emerging, therefore these chemicals should be used cautiously in management programs to retain the efficacy for longer times.  KEYWORDS:  MeSH Chemical: Drug Combinations| Imidazoles| Insecticides| Macrolides| Neonicotinoids| Nitro Compounds| Oxazines| Pyrazoles| imidacloprid| indoxacarb| abamectin| Ivermectin| emamectin benzoate| fipronil| spinosad MeSH: | Animals| Biological Assay/majr| Dairying/majr| Drug Combinations| Houseflies/majr/drug effects| Imidazoles/pharmacology| Insecticide Resistance/majr| Insecticides/majr/chemistry/classification/pharmacology| Ivermectin/analogs &amp; derivatives/pharmacology| Macrolides/pharmacology| Neonicotinoids| Nitro Compounds/pharmacology| Oxazines/pharmacology| Pakistan| Pyrazoles/pharmacology</t>
  </si>
  <si>
    <t>2049-54</t>
  </si>
  <si>
    <t>Survey of neonicotinoids and fipronil in corn seeds for agriculture.</t>
  </si>
  <si>
    <t>Sabatino L, Scordino M, Pantò V, Chiappara E, Traulo P, Gagliano G</t>
  </si>
  <si>
    <t>Food additives &amp; contaminants. Part B, Surveillance</t>
  </si>
  <si>
    <t>Potential sources of Triatoma infestans reinfesting peridomiciles identified by morphological characterization in Los Llanos, La Rioja, Argentina.</t>
  </si>
  <si>
    <t>Potential sources of Triatoma infestans reinfesting peridomiciles identified by morphological characterization in Los Llanos, La Rioja, Argentina.    ABSTRACT:  The presence of Triatoma infestans in habitats treated with insecticides constitutes a frequent problem in endemic areas. Basing our study on the hypothesis that descendants of a residual population should be more similar to the pre-treatment population than to any other, we compared the indications of two quantitative morphological approaches. This study seeks to find the origin of 247 T. infestans from three populations found in two chicken coops and a goat corral after treatment with insecticides. The results obtained by quantitative morphology suggest that the T. infestans found between three-34 months after the application of insecticides formed mixed populations with insects derived from residual foci and neighbouring habitats. Our analyses also showed the presence of a phenotype which does not resemble neither the pre-treatment phenotype nor the one from neighbouring populations, suggesting the presence of a particular post-treatment phenotype. The heads size showed some variations in males from different populations and remained unchanged in females, which reinforces the hypothesis of an intraspecific competition for food with priority for females. This article presents, for the first time, the combined analysis of geometric morphometry of heads and antennal phenotypes to identify the composition of reinfesting populations.  KEYWORDS:  MeSH Chemical: Insecticides| Pyrazoles| Pyrethrins| cypermethrin| fipronil MeSH: | Animals| Argentina| Chagas Disease/transmission| Chickens| Female| Goats| Housing, Animal| Insect Control/methods| Insect Vectors/majr/anatomy &amp; histology/drug effects/genetics| Insecticides| Male| Phenotype| Pyrazoles| Pyrethrins| Triatoma/majr/anatomy &amp; histology/drug effects/genetics</t>
  </si>
  <si>
    <t>Hernández ML, Dujardin JP, Gorla DE, Catalá SS</t>
  </si>
  <si>
    <t>Memorias do Instituto Oswaldo Cruz</t>
  </si>
  <si>
    <t>91-7</t>
  </si>
  <si>
    <t>A simple non-powered passive trap for the collection of mosquitoes for arbovirus surveillance.</t>
  </si>
  <si>
    <t>Ritchie SA, Cortis G, Paton C, Townsend M, Shroyer D, Zborowski P, Hall-Mendelin S, Van Den Hurk AF</t>
  </si>
  <si>
    <t>185-94</t>
  </si>
  <si>
    <t>Oral treatment of rodents with fipronil for feed-through and systemic control of sand flies (Diptera: Psychodidae).</t>
  </si>
  <si>
    <t>Oral treatment of rodents with fipronil for feed-through and systemic control of sand flies (Diptera: Psychodidae).    ABSTRACT:  The sand fly Phlebotomus papatasi Scopoli is the vector of Leishmania major (Yakimoff &amp; Schokhor), which is maintained in populations of burrowing rodents. The purpose of this study was to conduct a laboratory study to determine the efficacy of oral treatment of rodents with fipronil for control of sand flies that feed on rodent feces as larvae or on rodent blood as adults. We determined through larval bioassays that fipronil was eliminated in feces of orally-treated hamsters at a level that was significantly toxic to sand fly larvae for 21 d after the hamsters had been withdrawn from a fipronil-treated diet. Through bloodfeeding bioassays, we also found that fipronil was present in the peripheral blood of hamsters at a concentration that was significantly toxic to bloodfeeding adult female sand flies for 49 d after the hamsters had been withdrawn from their treated diet. The results of this study suggest that fipronil acts as well as or better than feed-through or systemic insecticides that previously have been measured against sand flies, and is particularly promising because this single compound acts against both larvae and bloodfeeding adults. An area-wide approach using rodent baits containing a fipronil could suppress vector populations that originate in the vicinity of rodent reservoirs, and could be used to eliminate the most epidemiologically important part of the vector population: female sand flies that take bloodmeals on rodent reservoirs.  KEYWORDS:  MeSH Chemical: Insecticides| Pyrazoles| fipronil MeSH: | Administration, Oral| Animals| Cricetinae/majr/parasitology| Feces/chemistry| Feeding Behavior| Female| Insect Control/majr/methods| Insecticides/majr/administration &amp; dosage| Larva| Psychodidae/majr| Pyrazoles/majr/administration &amp; dosage/blood| Rabbits</t>
  </si>
  <si>
    <t>Mascari TM, Stout RW, Foil LD</t>
  </si>
  <si>
    <t>122-5</t>
  </si>
  <si>
    <t>Preventive efficacy of Frontline® Combo and Certifect® against Dipylidium caninum infestation of cats and dogs using a natural flea (Ctenocephalides felis) infestation model.</t>
  </si>
  <si>
    <t>Beugnet F, Delport P, Luus H, Crafford D, Fourie J</t>
  </si>
  <si>
    <t>Meta-diamide insecticides acting on distinct sites of RDL GABA receptor from those for conventional noncompetitive antagonists.</t>
  </si>
  <si>
    <t>Nakao T, Banba S, Nomura M, Hirase K</t>
  </si>
  <si>
    <t>366-75</t>
  </si>
  <si>
    <t>Development of methodology for determination of pesticides residue in water by SPE/HPLC/DAD.</t>
  </si>
  <si>
    <t>Development of methodology for determination of pesticides residue in water by SPE/HPLC/DAD.    ABSTRACT:  To boost crop yield, sugarcane growers are using increasing amounts of pesticides to combat insects and weeds. But residues of these compounds can pollute water resources, such as lakes, rivers and aquifers. The present paper reports the results of a study of water samples from the Feijão River, which is the source of drinking water for the city of São Carlos, São Paulo, Brazil. The samples were evaluated for the presence of four leading pesticides--ametryn, atrazine, diuron and fipronil--used on sugarcane, the dominant culture in the region. The samples were obtained from three points along the river: the headwaters, along the middle course of the river and just before the municipal water intake station. The pesticides were extracted from the water samples by solid-phase extraction (SPE) and then analyzed by liquid chromatography with diode array detection (LC-DAD). The analytical method was validated by traditional methods, obtaining recovery values between 90 and 95%, with precision deviations inferior to 2.56%, correlation coefficients above 0.99 and detection and quantification limits varying from 0.02 to 0.05 mg L(-1) and 0.07 to 0.17 mg L(-1), respectively. No presence of residues of the pesticides was detected in the samples, considering the detection limits of the method employed.  KEYWORDS:  MeSH Chemical: Pesticides| Water Pollutants, Chemical| Water MeSH: | Chromatography, High Pressure Liquid| Pesticides/majr/analysis| Rivers/chemistry| Solid Phase Extraction| Water/analysis| Water Pollutants, Chemical/majr/analysis</t>
  </si>
  <si>
    <t>Cappelini LT, Cordeiro D, Brondi SH, Prieto KR, Vieira EM</t>
  </si>
  <si>
    <t>Environmental technology</t>
  </si>
  <si>
    <t>19-21</t>
  </si>
  <si>
    <t>2299-304</t>
  </si>
  <si>
    <t>Sediment-associated pesticides in an urban stream in Guangzhou, China: implication of a shift in pesticide use patterns.</t>
  </si>
  <si>
    <t>Sediment-associated pesticides in an urban stream in Guangzhou, China: implication of a shift in pesticide use patterns.    ABSTRACT:  Pesticide use patterns in China have changed in recent years; however, the study of the environmental fate of current-use pesticides (CUPs) and their ecotoxicological significance in aquatic ecosystems is limited. In the present study, sediments were collected from an urban stream in the Chinese city of Guangzhou. Sediment-associated legacy organochlorine pesticides and CUPs-including organophosphates, pyrethroids, fipronil, and abamectin-were analyzed. Additionally, the relative toxicity of the sediments was evaluated with 10-d bioassays using Chironomus dilutus. Fifteen of 16 sediments collected from the stream were acutely toxic to C. dilutus, with 81% of the samples causing 100% mortality. Abamectin, fipronil, and pyrethroids (mainly cypermethrin) were identified as the principal contributors to the noted toxicity in the midges, with median predicted toxic units of 1.63, 1.63, and 1.03, respectively. Sediments taken from downstream sites, where residential and industrial regions were located, had elevated CUP concentrations and sediment toxicity compared with upstream sites. The present study is the first of its kind to link sediment CUPs, fipronil, and abamectin concentrations with toxicity in urban streams in China with a focus on shifting pesticide usage patterns.Copyright © 2013 SETAC.  KEYWORDS:  MeSH Chemical: Pesticides| Water Pollutants, Chemical MeSH: | Agriculture/statistics &amp; numerical data| Animals| China| Cities| Ecotoxicology| Environmental Monitoring| Environmental Policy| Geologic Sediments/majr/chemistry| Pesticides/majr/analysis| Rivers/chemistry| Water Pollutants, Chemical/majr/analysis| Water Pollution, Chemical/majr/statistics &amp; numerical data</t>
  </si>
  <si>
    <t>Li H, Sun B, Lydy MJ, You J</t>
  </si>
  <si>
    <t>1040-7</t>
  </si>
  <si>
    <t>Persistence of fipronil and its metabolites in sandy loam and clay loam soils under laboratory conditions.</t>
  </si>
  <si>
    <t>Persistence of fipronil and its metabolites in sandy loam and clay loam soils under laboratory conditions.    ABSTRACT:  Samples of sandy loam and clay loam soils were collected from different geographical locations of Punjab. These soils were autoclaved at 120 °C at 15 psi for 15 min to destroy the microbes responsible for the degradation of pesticides before initiating the experiment. Each soil was fortified at three levels of fipronil i.e. 100, 200 and 400 mg kg(-1). The whole experiment was conducted at 25±2 °C under laboratory conditions. The residues of fipronil and its metabolites were quantified by Gas Liquid Chromatograph (GLC) and confirmed by Gas Liquid Chromatograph-Mass Spectrometry (GC-MS). The limit of quantification of fipronil and its metabolites was worked out to be 0.001 mg kg(-1). The residues of total fipronil in sandy loam and clay loam after 7 d of its application @ 100 mg kg(-1) were found to be 74.30 and 82.50 mg kg(-1), respectively. Fipronil residues were degraded to amide, sulfone and sulfide in both soils. Desulfinyl metabolite was not found in any of the sample. The persistence of fipronil was found to be more in clay loam soil than sandy loam soil. Total fipronil residues were not found to follow the first order kinetics. Half-life (T1/2) of total fipronil was observed to be 30.10, 33.44 and 33.44 d following application of fipronil @ 100, 200 and 400 mg kg(-1), respectively in sandy loam soil. In clay loam soil, half-life values were observed to be 37.63 d following application of fipronil at all three treatments.Copyright © 2013 Elsevier Ltd. All rights reserved.  KEYWORDS:  MeSH Chemical: Insecticides| Pyrazoles| Soil| Soil Pollutants| fipronil MeSH: | Environmental Monitoring| Gas Chromatography-Mass Spectrometry| Half-Life| India| Insecticides/majr/metabolism| Kinetics| Pyrazoles/majr/metabolism| Saccharum| Soil/majr/chemistry| Soil Pollutants/majr/metabolism</t>
  </si>
  <si>
    <t>1596-603</t>
  </si>
  <si>
    <t>Cellular responses in the Malpighian tubules of Scaptotrigona postica (Latreille, 1807) exposed to low doses of fipronil and boric acid.</t>
  </si>
  <si>
    <t>Ferreira RA, Silva Zacarin EC, Malaspina O, Bueno OC, Tomotake ME, Pereira AM</t>
  </si>
  <si>
    <t>Micron (Oxford, England : 1993)</t>
  </si>
  <si>
    <t>57-65</t>
  </si>
  <si>
    <t>Prevention of transmission of Ehrlichia canis by Rhipicephalus sanguineus ticks to dogs treated with a combination of fipronil, amitraz and (S)-methoprene (CERTIFECT®).</t>
  </si>
  <si>
    <t>Fourie JJ, Ollagnier C, Beugnet F, Luus HG, Jongejan F</t>
  </si>
  <si>
    <t>223-8</t>
  </si>
  <si>
    <t>Confirmation of the efficacy of a novel fipronil spot-on for the treatment and control of fleas, ticks and chewing lice on dogs.</t>
  </si>
  <si>
    <t>Confirmation of the efficacy of a novel fipronil spot-on for the treatment and control of fleas, ticks and chewing lice on dogs.    ABSTRACT:  A novel spot-on formulation containing fipronil (Eliminall(®)/Exproline vet™) Spot-on Solution for Dogs, Pfizer Animal Health, registered and manufactured by Krka, d.d, Novo mesto) was evaluated in three laboratory studies to confirm efficacy against fleas, ticks and chewing lice on dogs for at least one month. Control of two laboratory strains of cat flea (Ctenocephalides felis), two tick species (Rhipicephalus sanguineus and Dermacentor reticulatus) and the chewing louse (Trichodectes canis) was evaluated. In all studies, dogs were randomly allocated to treatment groups and compared with untreated dogs. The studies also included a commercial, comparator product containing fipronil (Frontline(®) spot-on, Merial Limited). All treatments were applied to the skin at one spot between the scapulae on Day 0. In the studies, dogs were infested with fleas and/or ticks prior to treatment and then reinfested at weekly intervals for up to 8 weeks after treatment and evaluated for efficacy at 2 days (48 h) after treatment and each reinfestation. These studies confirmed that treatment with the novel fipronil spot-on at the proposed commercial dose rate rapidly reduced existing infestations of fleas, ticks and chewing lice on dogs. Treatment provided control of reinfesting fleas for up to 8 weeks, up to 4 weeks control of ticks, and control of chewing lice.Copyright © 2012 Elsevier B.V. All rights reserved.  KEYWORDS:  MeSH Chemical: Insecticides| Pyrazoles| fipronil MeSH: | Administration, Topical| Animals| Dog Diseases/majr/drug therapy/parasitology| Dogs| Female| Flea Infestations/majr/drug therapy/veterinary| Insecticides/administration &amp; dosage/therapeutic use| Lice Infestations/majr/drug therapy/veterinary| Male| Pyrazoles/majr/administration &amp; dosage/therapeutic use| Tick Infestations/majr/drug therapy/veterinary</t>
  </si>
  <si>
    <t>Kužner J, Turk S, Grace S, Soni-Gupta J, Fourie JJ, Marchiondo AA, Rugg D</t>
  </si>
  <si>
    <t>245-51</t>
  </si>
  <si>
    <t>[Determination of eight pesticide residues in tea by liquid chromatography-tandem mass spectrometry and its uncertainty evaluation].</t>
  </si>
  <si>
    <t>Hu B, Cai H, Song W</t>
  </si>
  <si>
    <t>889-95</t>
  </si>
  <si>
    <t>Feed-through insecticides for the control of the sand fly Phlebotomus argentipes.</t>
  </si>
  <si>
    <t>Feed-through insecticides for the control of the sand fly Phlebotomus argentipes.    ABSTRACT:  Three rodent feed-through studies were conducted to evaluate the efficacy of insecticides to control Phlebotomus argentipes (Diptera: Psychodidae). The initial test evaluated diflubenzuron, eprinomectin, fipronil and ivermectin as feed-through treatments in Rattus rattus (Rodentia: Muridae). In the preliminary trial, all four insecticides yielded 100% mortality of P. argentipes larvae within 20 days of exposure to treated rodent faeces. Based upon the initial results, fipronil was evaluated further as a feed-through utilizing Bandicota bengalensis (Rodentia: Muridae). The B. bengalensis trial evaluated fipronil against both adult and larval sandflies at 250 p.p.m., 100 p.p.m. and 50 p.p.m. The results showed the fipronil treatment to have 100% efficacy against larvae up to 20 days post-treatment and over 74% efficacy against adult sandflies presented with B. bengalensis faeces up to 10 days post-treatment at all three dosage levels. The results of the three studies suggest that all four insecticides may be useful tools with which to control Leishmania vector populations.© 2012 Genesis Laboratories, Inc. Medical and Veterinary Entomology © 2012 The Royal Entomological Society.  KEYWORDS:  MeSH Chemical: Insecticides| Pyrazoles| Ivermectin| Diflubenzuron| fipronil MeSH: | Administration, Oral| Animal Feed/majr/analysis| Animals| Diflubenzuron/majr/blood/pharmacology| Feces/chemistry| Feeding Behavior/drug effects| Female| Insect Control/majr/methods| Insecticides/majr/blood/pharmacology| Ivermectin/majr/analogs &amp; derivatives/blood/pharmacology| Larva/drug effects| Male| Murinae/metabolism| Phlebotomus/majr/drug effects/growth &amp; development| Pyrazoles/majr/blood/pharmacology| Rats/metabolism| Time Factors</t>
  </si>
  <si>
    <t>Ingenloff K, Garlapati R, Poché D, Singh MI, Remmers JL, Poché RM</t>
  </si>
  <si>
    <t>Scientific evidence of three different insecticide-resistant profiles in Triatoma infestans (Hemiptera: Reduviidae) populations from Argentina and Bolivia.</t>
  </si>
  <si>
    <t>Germano MD, Santo-Orihuela P, Roca-Acevedo G, Toloza AC, Vassena C, Picollo MI, Mougabure-Cueto G</t>
  </si>
  <si>
    <t>1355-60</t>
  </si>
  <si>
    <t>Earthworm ecotoxicological assessments of pesticides used to treat seeds under tropical conditions.</t>
  </si>
  <si>
    <t>Earthworm ecotoxicological assessments of pesticides used to treat seeds under tropical conditions.    ABSTRACT:  Ecotoxicological laboratory tests (lower-tier tests) are fundamental tools for assessing the toxicity of pesticides to soil organisms. In this study, using these tests under tropical conditions, we quantified the impact of the insecticides imidacloprid, fipronil, and thiametoxam, and the fungicides captan and carboxin+thiram, all of which are used in the chemical treatment of crop seeds, on the survival, reproduction, and behavior of Eisenia andrei (Oligochaeta). With the exception of imidacloprid, none of the pesticides tested caused mortality in E. andrei in artificial soils. The LC(50) of imidacloprid was estimated as 25.53 mg active ingredient kg(-1) of dry soil. Earthworm reproduction rates were reduced by imidacloprid (EC(50)=4.07 mgkg(-1)), fipronil (EC(20)=23.16 mgkg(-1)), carboxin+thiram (EC(50)=56.38 mgkg(-1)), captan (EC(50)=334.84 mgkg(-1)), and thiametoxam (EC(50)=791.99 mgkg(-1)). Avoidance behavior was observed in the presence of imidacloprid (AC(50)=0.11 mgkg(-1)), captan (AC(50)=33.54 mgkg(-1)), carboxin+thiram (AC(50)=60.32 mgkg(-1)), and thiametoxam (AC(50)=&gt;20 mgkg(-1)). Earthworms showed a preference for soils with the insecticide fipronil. Imidacloprid was the most toxic of the substances tested for E. andrei. The avoidance test was the most sensitive test for most pesticides studied, but results varied between pesticides. These results offer new insights on the toxicity of pesticides used to treat seeds in tropical regions. However, they should be complemented with higher-tier tests in order to reduce the uncertainties in risk assessment.Copyright © 2012 Elsevier Ltd. All rights reserved.  KEYWORDS:  MeSH Chemical: Pesticides| Soil Pollutants MeSH: | Agriculture| Animals| Environmental Monitoring| Oligochaeta| Pesticides/majr/toxicity| Risk Assessment| Seeds| Soil Pollutants/majr/toxicity| Tropical Climate</t>
  </si>
  <si>
    <t>2674-82</t>
  </si>
  <si>
    <t>Persistence and metabolism of Fipronil in rice (Oryza sativa Linnaeus) field.</t>
  </si>
  <si>
    <t>Persistence and metabolism of Fipronil in rice (Oryza sativa Linnaeus) field.    ABSTRACT:  Rice is one of the most important food crops worldwide. However, it is also a valuable tool in assessing toxicity of organic and inorganic compounds. Fipronil insecticide has been widely used to control rice pests. The research was conducted to evaluate the fate of fipronil in rice-field. Persistence and metabolism of fipronil in rice is studied by applications of Regent 0.3G @ 45 and 180 g a.i. ha(-1) was made 7 days after transplanting of paddy. Samples of paddy plants were collected at 7, 15, 30, 45, 60, 90 and 120 days after the application of insecticide. The samples of rice grains, bran, husk and straw were collected at the time of harvest. The samples were extracted and cleaned up by following a standardized methodology. Fipronil and its metabolites were quantified by gas liquid chromatography and confirmed by gas chromatography mass spectrometer. The total residues of fipronil and its metabolites in paddy plants after 7 days of its application at recommend and four times of recommend doses were found to be 6.60 and 19.85 mg kg(-1), respectively. Among fipronil metabolites, sulfone derivative had maximum residue concentration followed by other metabolites viz. sulfide, amide and desulfinyl. The residues were reached below the detectable limit (0.01 mg kg(-1)) after 45 and 90 days at recommend and four time of recommend doses, respectively. At harvest, the samples of paddy straw, rice grains, bran and husk did not reveal the presence of fipronil and its metabolites.  KEYWORDS:  MeSH Chemical: Insecticides| Pyrazoles| Soil Pollutants| fipronil MeSH: | Chromatography, Gas| Gas Chromatography-Mass Spectrometry| Insecticides/majr/chemistry/metabolism| Oryza/majr/metabolism| Pyrazoles/majr/chemistry/metabolism| Soil Pollutants/majr/chemistry/metabolism</t>
  </si>
  <si>
    <t>Kumar R, Singh B</t>
  </si>
  <si>
    <t>482-8</t>
  </si>
  <si>
    <t>Effects of sublethal dose of fipronil on neuron metabolic activity of Africanized honeybees.</t>
  </si>
  <si>
    <t>Effects of sublethal dose of fipronil on neuron metabolic activity of Africanized honeybees.    ABSTRACT:  Fipronil is a neurotoxic insecticide that inhibits the gamma-aminobutyric acid receptor and can affect gustative perception, olfactory learning, and motor activity of the honeybee Apis mellifera. This study determined the lethal dose (LD50) and the lethal concentration (LC50) for Africanized honeybee and evaluated the toxicity of a sublethal dose of fipronil on neuron metabolic activity by way of histochemical analysis using cytochrome oxidase detection in brains from worker bees of different ages. In addition, the present study investigated the recovery mechanism by discontinuing the oral exposure to fipronil. The results showed that mushroom bodies of aged Africanized honeybees are affected by fipronil, which causes changes in metabolism by increasing the respiratory activity of mitochondria. In antennal lobes, the sublethal dose of fipronil did not cause an increase in metabolic activity. The recovery experiments showed that discontinued exposure to a diet contaminated with fipronil did not lead to recovery of neural activity. Our results show that even at very low concentrations, fipronil is harmful to honeybees and can induce several types of injuries to honeybee physiology.  KEYWORDS:  MeSH Chemical: Environmental Pollutants| Pyrazoles| Electron Transport Complex IV| fipronil MeSH: | Aging/metabolism| Animals| Bees/majr/drug effects/enzymology| Brain/majr/drug effects/enzymology/metabolism| Dose-Response Relationship, Drug| Electron Transport Complex IV/majr/metabolism| Environmental Pollutants/majr/toxicity| Lethal Dose 50| Mushroom Bodies/drug effects/enzymology/metabolism| Neurons/majr/drug effects/enzymology/metabolism| Pyrazoles/majr/toxicity| Toxicity Tests, Acute</t>
  </si>
  <si>
    <t>Roat TC, Carvalho SM, Nocelli RC, Silva-Zacarin EC, Palma MS, Malaspina O</t>
  </si>
  <si>
    <t>456-66</t>
  </si>
  <si>
    <t>Chemical composition and efficacy of dichloromethane extract of Croton sphaerogynus Baill. (Euphorbiaceae) against the cattle tick Rhipicephalus microplus (Acari: Ixodidae).</t>
  </si>
  <si>
    <t>Chemical composition and efficacy of dichloromethane extract of Croton sphaerogynus Baill. (Euphorbiaceae) against the cattle tick Rhipicephalus microplus (Acari: Ixodidae).    ABSTRACT:  The cattle tick Rhipicephalus microplus is widely distributed in tropical and subtropical regions, causing high economic impact on cattle production. The control of tick infestations is regarded worldwide as critical and has been based on the use of organophosphates, synthetic pyretroids, amitraz and recently ivermectin and fipronil. The present study reports the analysis by gas chromatography/mass spectrometry of the constituents of leaf extracts of Croton sphaerogynus and results of acaricidal activity against the cattle tick R. microplus. The larval package test using the serial dilutions 0.625%, 1.25%, 2.5%, 5.0%, 10.0% and 20.0% (v/v) gave mortality rates 2.25%, 8.26%, 8.81%, 24.80%, 83.66% and 99.32%, respectively. Relevant constituents identified were abietanes, podocarpenes and clerodane type furano diterpenes. The present work may represent a possibility of attainment of natural substances useful for the control of R. microplus.Copyright © 2012 Elsevier B.V. All rights reserved.  KEYWORDS:  MeSH Chemical: Acaricides| Diterpenes| Plant Extracts| Methylene Chloride MeSH: | Acaricides/majr/chemistry/isolation &amp; purification/pharmacology| Animals| Biological Assay/veterinary| Cattle| Cattle Diseases/majr/drug therapy/parasitology| Croton/majr/chemistry| Diterpenes/chemistry/isolation &amp; purification/pharmacology| Gas Chromatography-Mass Spectrometry/veterinary| Larva| Methylene Chloride| Plant Extracts/majr/chemistry/isolation &amp; purification/pharmacology| Plant Leaves/chemistry| Plants, Medicinal| Rhipicephalus/majr/drug effects/physiology| Tick Infestations/majr/drug therapy/parasitology/veterinary</t>
  </si>
  <si>
    <t>Righi AA, Motta LB, Klafke GM, Pohl PC, Furlan CM, Santos DY, Salatino ML, Negri G, Labruna MB, Salatino A</t>
  </si>
  <si>
    <t>292-5</t>
  </si>
  <si>
    <t>First report of Neotrombicula autumnalis infestation in a cat and a dog from Corfu (Greece) and in a cat from Limassol (Cyprus).</t>
  </si>
  <si>
    <t>First report of Neotrombicula autumnalis infestation in a cat and a dog from Corfu (Greece) and in a cat from Limassol (Cyprus).    ABSTRACT:  Neotrombicula autumnalis is the most common species of the family Trombiculidae that parasitizes dogs, cats, and humans in Europe. Besides the skin lesions it may cause, this mite is a possible vector of Anaplasma phagocytophilum and Borrelia burgdorferi sensu lato. Two cases of N. autumnalis infestation in a cat and a dog in the island of Corfu, Greece, and 1 case of infestation in a cat living in Limassol, Cyprus, are presented. To the best or our knowledge, these are the first cases of feline and canine trombiculosis reported in both countries, and their appearance in islands points out to the possibility of introduction through importation of infested dogs and cats. For this reason, parasiticides that are effective for both the treatment and prevention of trombiculosis should be recommended for all dogs and cats that live in areas where the parasite is present as well as for all traveling pets.  KEYWORDS:  MeSH Chemical: Antiparasitic Agents| Pyrazoles| Ivermectin| selamectin| fipronil MeSH: | Animals| Antiparasitic Agents/majr/therapeutic use| Cat Diseases/majr/diagnosis/parasitology| Cats| Cyprus| Dog Diseases/majr/diagnosis/parasitology| Dogs| Female| Greece| Humans| Ivermectin/analogs &amp; derivatives/therapeutic use| Larva| Male| Pyrazoles/therapeutic use| Treatment Outcome| Trombiculiasis/majr/diagnosis/parasitology/veterinary| Trombiculidae/majr/classification/drug effects</t>
  </si>
  <si>
    <t>Giannoulopoulos GD, Desilla LJ, Desilla ES, Papadopoulos I, Saridomichelakis MN</t>
  </si>
  <si>
    <t>1065-7</t>
  </si>
  <si>
    <t>Dissipation of fipronil granule formulation in sugarcane field soil.</t>
  </si>
  <si>
    <t>Dissipation of fipronil granule formulation in sugarcane field soil.    ABSTRACT:  The dissipation and persistence of fipronil in soil was studied following application of fipronil (Regent 0.3G) @ 75 and 300 g a.i. ha(-1). The limit of quantification for the analysis of fipronil and its metabolites by gas liquid chromatography was 0.001 mg kg(-1) for soil. The total residues of fipronil and its metabolites in soil after 7 days of its application @ 75 and 300 g a.i. ha(-1) were found to be 0.025 and 0.098 mg kg(-1), respectively. These residues could not be detected after 210 and 240 days following the application of fipronil at lower and higher dosages, respectively. In soil, fipronil was found to be the main constituent, followed by its metabolites sulfone, sulfide, amide and desulfinyl. The presence of sulfone in significant higher amount as compared to other metabolites in the soil clearly demonstrates that oxidation process plays a major role in the metabolism of fipronil. The half-life values (T(1/2)) of fipronil were calculated to be 50.2 and 43.0 days, respectively when applied @ 75 and 300 g a.i. ha(-1).Copyright © 2012 Elsevier Inc. All rights reserved.  KEYWORDS:  MeSH Chemical: Insecticides| Pyrazoles| Soil| Soil Pollutants| fipronil MeSH: | Chromatography, Gas| Half-Life| Insecticides/majr/analysis/chemistry| Oxidation-Reduction| Pyrazoles/majr/analysis/chemistry| Saccharum| Soil/majr/chemistry| Soil Pollutants/majr/analysis/chemistry</t>
  </si>
  <si>
    <t>142-7</t>
  </si>
  <si>
    <t>Acute toxicity of fipronil to the stingless bee Scaptotrigona postica Latreille.</t>
  </si>
  <si>
    <t>Acute toxicity of fipronil to the stingless bee Scaptotrigona postica Latreille.    ABSTRACT:  Fipronil is an insecticide widely used to control a great number of pests, thus the aim of this study was to determine the lethal dose and lethal concentration (LD(50) and LC(50)) of this insecticide to the stingless bees Scaptotrigona postica Latreille, 1807. The LD(50) and LC(50) values obtained after 24 h of exposition were of 0.54 ng a.i./bee and 0.24 ng a.i./μL diet, respectively. These values were considered highly toxic to stingless bees.  KEYWORDS:  MeSH Chemical: Insecticides| Pyrazoles| fipronil MeSH: | Animals| Bees/majr/drug effects| Dose-Response Relationship, Drug| Insecticides/majr/toxicity| Lethal Dose 50| Pyrazoles/majr/toxicity</t>
  </si>
  <si>
    <t>Jacob CR, Soares HM, Carvalho SM, Nocelli RC, Malaspina O</t>
  </si>
  <si>
    <t>69-72</t>
  </si>
  <si>
    <t>Seroprevalence of tick-borne infections in military working dogs in the Republic of Korea.</t>
  </si>
  <si>
    <t>Bell DR, Berghaus RD, Patel S, Beavers S, Fernandez I, Sanchez S</t>
  </si>
  <si>
    <t>1023-30</t>
  </si>
  <si>
    <t>Concentration-dependent effects of GABA on insensitivity to fipronil in the A2'S mutant RDL GABA receptor from fipronil-resistant Oulema oryzae (Coleoptera: Chrysomelidae).</t>
  </si>
  <si>
    <t>Concentration-dependent effects of GABA on insensitivity to fipronil in the A2'S mutant RDL GABA receptor from fipronil-resistant Oulema oryzae (Coleoptera: Chrysomelidae).    ABSTRACT:  The beetle Oulema oryzae Kuwayama (Coleoptera: Chrysomelidae), an important pest of rice, has developed fipronil resistance in Japan. Molecular cloning and sequence analysis of O. oryzae RDL gamma-aminobutyric acid (GABA) receptor subunit (OO-RDL) genes from fipronil-susceptible and -resistant O. oryzae identified the A2'S mutation (index number for the M2 membrane-spanning region). To investigate the effect of the A2'S mutation on fipronil resistance, we stably expressed the wild-type and mutant OO-RDL homomers in Drosophila Mel-2 cells. A membrane potential assay exhibited that the IC50 values of fipronil for inhibition of the response to EC80 GABA of the wild-type and A2'S mutant OO-RDL homomers were 0.09 microM and 0.11 microM, respectively. However, the IC50 values of fipronil for inhibition of the response to EC95 GABA of the wild-type and A2'S mutant OO-RDL homomers were 0.11 microM and approximately equal to 5 microM, respectively. These results suggest that the GABA concentration is an important factor affecting fipronil resistance in O. oryzae carrying the A2'S mutation in OO-RDL.  KEYWORDS:  MeSH Chemical: Drosophila Proteins| Insect Proteins| Insecticides| Pyrazoles| Receptors, GABA| fipronil MeSH: | Amino Acid Sequence| Animals| Coleoptera/majr/drug effects/genetics| Drosophila| Drosophila Proteins/genetics| Insect Proteins/majr/genetics| Insecticide Resistance/majr/genetics| Insecticides/majr/pharmacology| Membrane Potentials| Molecular Sequence Data| Mutation| Pyrazoles/majr/pharmacology| Receptors, GABA/majr/genetics| Reverse Transcriptase Polymerase Chain Reaction| Transfection</t>
  </si>
  <si>
    <t>Nakao T, Naoi A, Hama M, Kawahara N, Hirase K</t>
  </si>
  <si>
    <t>1781-8</t>
  </si>
  <si>
    <t>Toxicity and horizontal transfer of 0.5% fipronil dust against Formosan subterranean termites.</t>
  </si>
  <si>
    <t>Gautam BK, Henderson G, Davis RW</t>
  </si>
  <si>
    <t>1766-72</t>
  </si>
  <si>
    <t>Enantioselective toxicity and bioaccumulation of fipronil in fathead minnows (Pimephales promelas) following water and sediment exposures.</t>
  </si>
  <si>
    <t>Enantioselective toxicity and bioaccumulation of fipronil in fathead minnows (Pimephales promelas) following water and sediment exposures.    ABSTRACT:  Fipronil is a widely used, broad-spectrum pesticide that is applied as an equal mixture of two enantiomers. As regulations on older pesticides become more stringent, production and application of fipronil is expected to grow, leading to increased inputs into aquatic environments and complex exposures to biota. To better understand the potential exposures introduced by fipronil contamination, we conducted subchronic toxicity tests with larval fathead minnows (Pimephales promelas) and waterborne fipronil and its enantiomers and exposed juvenile fathead minnows to fipronil-spiked sediment. Enantioselective toxicity was observed in fish after the 7-d subchronic exposure, with increased toxicity of the racemate and (+) enantiomer observed compared with the (-) enantiomer. Curiously, toxicities of the racemate and (+) enantiomer were not significantly different, even though the racemate contains 50% of the (+) enantiomer and 50% of the less toxic (-) enantiomer. During the sediment exposure, racemic fipronil in sediment was transformed primarily to fipronil sulfide, while exposed fish rapidly accumulated fipronil and/or fipronil sulfide and transformed the majority to fipronil sulfone. Using the results of the sediment-exposure experiment, the authors explored a mechanism that may contribute to the interesting trends in enantioselective toxicity observed during the waterborne exposures. In tandem, the aquatic toxicity experiment and the spiked sediment exposure demonstrate the potentially complex behavior of fipronil in sediment and fish.Copyright © 2012 SETAC.  KEYWORDS:  MeSH Chemical: Insecticides| Pyrazoles| Water Pollutants, Chemical| fipronil MeSH: | Animals| Cyprinidae| Geologic Sediments/majr/chemistry| Insecticides/majr/metabolism/toxicity| Larva| Pyrazoles/majr/toxicity| Water Pollutants, Chemical/majr/metabolism/toxicity</t>
  </si>
  <si>
    <t>Baird S, Garrison A, Jones J, Avants J, Bringolf R, Black M</t>
  </si>
  <si>
    <t>222-7</t>
  </si>
  <si>
    <t>Expression and localization of glutamate-gated chloride channel variants in honeybee brain (Apis mellifera).</t>
  </si>
  <si>
    <t>Expression and localization of glutamate-gated chloride channel variants in honeybee brain (Apis mellifera).    ABSTRACT:  Due to its specificity to invertebrate species, glutamate-gated chloride channels (GluCls) are the target sites of antiparasitic agents and insecticides, e.g. ivermectin and fipronil, respectively. In nematodes and insects, the GluCls diversity is broadened by alternative splicing. GluCl subunits have been characterized according to their sensitivity to drugs, and to their anatomical localization. In the honeybee, the GluCl gene can encode different alpha subunits due to alternative splicing of exon 3. We examined mRNA expression in brain parts and we confirmed the existence of two GluCl variants with RT-PCR, Amel_GluCl A and Amel_GluCl B. Surprisingly, a mixed isoform not yet described in insect was obtained, we called it Amel_GluCl C. We determined precise immunolocalization of peptide sequence corresponding to Amel_GluCl A and Amel_GluCl B in the honeybee brain. Amel_GluCl A is mainly located in neuropils, whereas Amel_GluCl B is mostly expressed in cell bodies. Both proteins can also be co-localized. According to their anatomical localization, different GluCl variants might be involved in olfactory and visual modalities and in learning and memory.Copyright © 2012 Elsevier Ltd. All rights reserved.  KEYWORDS:  MeSH Chemical: Chloride Channels| glutamate-gated chloride channels| Glutamic Acid MeSH: | Animals| Base Sequence| Bees/majr/metabolism| Blotting, Western| Brain/metabolism| Chloride Channels/majr/metabolism| Glutamic Acid/majr/metabolism| Molecular Sequence Data| Reverse Transcriptase Polymerase Chain Reaction</t>
  </si>
  <si>
    <t>Démares F, Raymond V, Armengaud C</t>
  </si>
  <si>
    <t>115-24</t>
  </si>
  <si>
    <t>Use of the Larval Tarsal Test to determine acaricide resistance in Rhipicephalus (Boophilus) microplus Brazilian field populations.</t>
  </si>
  <si>
    <t>Use of the Larval Tarsal Test to determine acaricide resistance in Rhipicephalus (Boophilus) microplus Brazilian field populations.    ABSTRACT:  Acaricide resistance of the cattle tick Rhipicephalus (Boophilus) microplus is widespread in most of the countries where this parasite is present. Bioassays are used to diagnose the level and pattern of resistance in tick populations. In the present study, we describe a detailed protocol of the Larval Tarsal Test (LTT) using simplified equipment and data on the resistance of 17 tick field populations originating from 5 Brazilian states. Nine acaricidal compounds from 5 major classes were tested: organophosphates (OP), synthetic pyrethroids (SP), macrocyclic lactones (ML), phenylpyrazols (PYZ) and amidines. For comparison, four of the tick populations were also tested with the Larval Packet Test (LPT) with one compound per class. The most common resistances were to SP, amitraz and OP, with frequencies of 94%, 88% and 82%, respectively. Resistance to PYZ was also found to be widespread (65%), suggesting a rapid development of fipronil resistance in Brazil. One case of ML resistance and 2 cases of suspected ML resistance were identified with the LTT. The LTT led to higher resistance ratios to all compounds than the LPT, reflecting its high sensitivity to detect resistance. Finally, the LTT allowed testing a larger number of compounds and doses with reduced labour in comparison to the LPT and turned out to be a reliable bioassay to detect resistance in field populations.Copyright © 2012 Elsevier B.V. All rights reserved.  KEYWORDS:  MeSH Chemical: Acaricides MeSH: | Acaricides/majr/pharmacology| Animals| Brazil| Insecticide Resistance| Larva/drug effects| Lethal Dose 50| Rhipicephalus/majr/drug effects| Survival Analysis</t>
  </si>
  <si>
    <t>Lovis L, Mendes MC, Perret JL, Martins JR, Bouvier J, Betschart B, Sager H</t>
  </si>
  <si>
    <t>191</t>
  </si>
  <si>
    <t>323-31</t>
  </si>
  <si>
    <t>Efficacy of a novel fipronil spot-on for the treatment and control of induced infestations of adult cat fleas (Ctenocephalides felis) and castor bean ticks (Ixodes ricinus) on cats.</t>
  </si>
  <si>
    <t>Efficacy of a novel fipronil spot-on for the treatment and control of induced infestations of adult cat fleas (Ctenocephalides felis) and castor bean ticks (Ixodes ricinus) on cats.    ABSTRACT:  Cat fleas (Ctenocephalides felis) and the castor bean tick (Ixodes ricinus) cause discomfort and health effects due to bites and ingestion of blood and they serve as vectors for several animal and human pathogens. Effectiveness of a novel 10 % w/v fipronil spot-on (Eliminall®/Exproline vet™, marketed by Pfizer Animal Health and registered and manufactured by Krka, d.d., Novo mesto) was confirmed against these parasites on experimentally infested cats. Two parallel, unicentre and masked controlled studies were conducted with European mixed breed and mixed sex cats. Cats were allocated randomly to one of two treatment groups based on either pre-treatment flea counts (study 1) or pre-treatment tick counts (study 2). In each of the study, eight animals served as control, while another eight animals were treated once topically with the unit label dose of 50 mg fipronil per cat (10.6-23.8 mg/kg). At each reinfestation, animals were infested with approximately 100 fleas or 60 ticks to achieve adequate infestation rates. Parasites were removed and counted on days 2, 9, 16, 23, 30 and 37, 48 h after the treatment or experimental infestation. Excellent effectiveness was demonstrated on day 2 (100 and 94 % efficacy against fleas and ticks, respectively) and lasted for up to 5 weeks (efficacy ≥96 %) against fleas and up to 4 weeks against ticks (efficacy ≥94 %). The product was well tolerated and no adverse reactions were observed.  KEYWORDS:  MeSH Chemical: Insecticides| Pyrazoles| fipronil MeSH: | Animals| Cat Diseases/majr/drug therapy/parasitology| Cats| Ctenocephalides/majr/drug effects| Female| Insecticides/majr/administration &amp; dosage| Ixodes/majr/drug effects| Male| Pyrazoles/majr/administration &amp; dosage| Tick Infestations/majr/drug therapy/parasitology/veterinary| Treatment Outcome</t>
  </si>
  <si>
    <t>Kužner J, Turk S, Fourie JJ, Grace S, Marchiondo AA, Rugg D</t>
  </si>
  <si>
    <t>365-72</t>
  </si>
  <si>
    <t>First report of fipronil resistance in Rhipicephalus (Boophilus) microplus of Mexico.</t>
  </si>
  <si>
    <t>First report of fipronil resistance in Rhipicephalus (Boophilus) microplus of Mexico.    ABSTRACT:  Five strains of Rhipicephalus (Boophilus) microplus collected from Tamaulipas Mexico were tested for resistance against several classes of acaricides commonly used. All were resistant to fipronil. Four of five were co-resistant to permethrin and coumaphos in addition to being resistant to fipronil. One strain, El Zamora was found multi-resistant to permethrin, coumaphos, fipronil, and amitraz. Selection with fipronil for 3 generations produced a resistance ratio of 8.3 and 9.4 at the LC(50) and the LC(99) estimates, respectively. Permethrin resistance in El Zamora was possibly linked to elevated esterase (CZEST9) and could be a contributing factor of resistance to fipronil. The implications of resistance for the control of the southern cattle tick in the future are discussed.Published by Elsevier B.V.  KEYWORDS:  MeSH Chemical: Acaricides| Pyrazoles| Sodium Channels| Toluidines| amitraz| Permethrin| Esterases| Coumaphos| fipronil MeSH: | Acaricides/majr| Animals| Coumaphos| Drug Resistance/majr| Esterases/genetics| Mexico| Mutation| Permethrin| Pyrazoles| Rhipicephalus/majr/genetics| Sodium Channels/genetics| Toluidines</t>
  </si>
  <si>
    <t>Miller RJ, Almazán C, Ortíz-Estrada M, Davey RB, George JE, De León AP</t>
  </si>
  <si>
    <t>97-101</t>
  </si>
  <si>
    <t>Assessment of owner-administered monthly treatments with oral spinosad or topical spot-on fipronil/(S)-methoprene in controlling fleas and associated pruritus in dogs.</t>
  </si>
  <si>
    <t>Dryden MW, Ryan WG, Bell M, Rumschlag AJ, Young LM, Snyder DE</t>
  </si>
  <si>
    <t>340-6</t>
  </si>
  <si>
    <t>Simultaneous determination of pesticides and 5-hydroxymethylfurfural in honey by the modified QuEChERS method and liquid chromatography coupled to tandem mass spectrometry.</t>
  </si>
  <si>
    <t xml:space="preserve">Simultaneous determination of pesticides and 5-hydroxymethylfurfural in honey by the modified QuEChERS method and liquid chromatography coupled to tandem mass spectrometry.    ABSTRACT:  Nowadays, bee products are being produced in an environment polluted by different sources of contamination, such as pesticides, which can be transported by honey bees to the hive and incorporated into honey. In addition, the increasing consumption of honey has demanded efficient quality control for this product. In this study, the determination of the pesticides fipronil, imidacloprid, thiamethoxam, dimethoate, carbendazin, tebuconazole, amitraz, τ-fluvalinate and 5-hydroxymethylfurfural (HMF) which are used as indicators of honey quality, was carried out simultaneously. For the sample preparation, the optimized QuEChERS method was used and the determinations were done by LC-APCI-MS/MS. The LOQs of the method ranged between 0.005 and 1.0 mg kg(-1). For the recovery calculations and method evaluation a working curve was drawn. All the analytical curves showed r values higher than 0.99. The recoveries ranged between 70% and 112%, with RSD lower than 20% for all compounds. The matrix effect was evaluated, and most of the compounds showed signal enrichment. The applicability of the method for honey from different flowers was verified, and the method showed robustness and recoveries in the range 70-120% established for all compounds in samples belonging to different blossoms. HMF was detected in all samples, with concentrations ranging between 4.6 and 51.7 mg kg(-1); it was below the maximum concentration allowed by the legislation.Copyright © 2012 Elsevier B.V. All rights reserved.  KEYWORDS: </t>
  </si>
  <si>
    <t>Tomasini D, Sampaio MR, Caldas SS, Buffon JG, Duarte FA, Primel EG</t>
  </si>
  <si>
    <t>380-6</t>
  </si>
  <si>
    <t>Hco-LGC-38 is novel nematode cys-loop GABA receptor subunit.</t>
  </si>
  <si>
    <t>Hco-LGC-38 is novel nematode cys-loop GABA receptor subunit.    ABSTRACT:  We have identified and characterized a novel cys-loop GABA receptor subunit (Hco-LGC-38) from the parasitic nematode Haemonchus contortus. This subunit is present in parasitic and free-living nematodes and shares similarity to both the UNC-49 group of GABA receptor subunits from nematodes and the resistant to dieldrin (RDL) receptors of insects. Expression of the Hco-lgc-38 gene in Xenopus oocytes and subsequent electrophysiological analysis has revealed that the gene encodes a homomeric channel sensitive to GABA (EC(50) 19 μM) and the GABA analogue muscimol. The sensitivity of the Hco-LGC-38 channel to GABA is similar to reported values for the Drosophila RDL receptor whereas its lower sensitivity to muscimol is similar to nematode GABA receptors. Hco-LGC-38 is also highly sensitive to the channel blocker picrotoxin and moderately sensitive to fipronil and dieldrin. Homology modeling of Hco-LGC-38 and subsequent docking of GABA and muscimol into the binding site has uncovered several types of potential interactions with binding-site residues and overall appears to share similarity with models of other invertebrate GABA receptors.Copyright © 2012 Elsevier B.V. All rights reserved.  KEYWORDS:  MeSH Chemical: Helminth Proteins| Ligand-Gated Ion Channels| Receptors, GABA| Muscimol| gamma-Aminobutyric Acid| Dieldrin MeSH: | Amino Acid Sequence| Animals| Binding Sites| Cloning, Molecular| Dieldrin| Electrophysiology| Haemonchus/majr/chemistry/genetics/metabolism| Helminth Proteins/chemistry/genetics/metabolism| Ligand-Gated Ion Channels/majr/chemistry/genetics/metabolism| Models, Molecular| Molecular Sequence Data| Muscimol/metabolism| Phylogeny| Receptors, GABA/majr/chemistry/classification/genetics/metabolism| Sequence Analysis, DNA| Xenopus laevis/metabolism| gamma-Aminobutyric Acid/metabolism</t>
  </si>
  <si>
    <t>Siddiqui SZ, Brown DD, Accardi MV, Forrester SG</t>
  </si>
  <si>
    <t>Molecular and biochemical parasitology</t>
  </si>
  <si>
    <t>137-44</t>
  </si>
  <si>
    <t>Fate and distribution of fipronil on companion animals and in their indoor residences following spot-on flea treatments.</t>
  </si>
  <si>
    <t>Fate and distribution of fipronil on companion animals and in their indoor residences following spot-on flea treatments.    ABSTRACT:  Use of fipronil {5-amino-1-[2,6-dichloro-4-(trifluoromethyl)phenyl]-4-trifluoromethyl)sulfinyl]-1H-pyrazole-3-carbonitrile CAS 120068-37-3} topical pet products on dogs and cats introduces low level residues into residences. Distribution and fate studies of fipronil on pets and in residences were performed to evaluate potential determinants of human exposure. Fipronil, desulfinyl fipronil, fipronil sulfone and fipronil sulfide were measured on hair clippings and brushed hair. The derivatives usually represented &lt;10% of fipronil applied. Cotton gloves worn over impervious nitrile gloves, cotton cloths placed indoors in locations frequented by pets, and cotton socks worn by residents as direct dosimeters collected fipronil and its derivatives listed above in low amounts during 4-week study periods. Subsequent acid hydrolysis urine biomonitoring did not reveal significant excretion of biomarkers at ppb levels. The human exposure potential of fipronil is low relative to levels of health concern.  KEYWORDS:  MeSH Chemical: Insecticides| Pesticide Residues| Pyrazoles| fipronil MeSH: | Animals| Cat Diseases/majr/drug therapy/parasitology| Cats| Dog Diseases/majr/drug therapy/parasitology| Dogs| Hair/chemistry| Humans| Insecticides/majr/analysis/therapeutic use| Pesticide Residues/majr/analysis| Pets/majr/parasitology| Pyrazoles/majr/analysis/pharmacology| Siphonaptera/majr/drug effects</t>
  </si>
  <si>
    <t>Bigelow Dyk M, Liu Y, Chen Z, Vega H, Krieger RI</t>
  </si>
  <si>
    <t>913-24</t>
  </si>
  <si>
    <t>Efficacy of commercial baits and new active ingredients against firebrats and silverfish (Zygentoma: Lepismatidae).</t>
  </si>
  <si>
    <t>Efficacy of commercial baits and new active ingredients against firebrats and silverfish (Zygentoma: Lepismatidae).    ABSTRACT:  Commercial baits containing boric acid, hydramethynon, and indoxacarb were tested against the firebrat, Thermobia domestica (Packard), and silverfish, Lepisma saccharina L. (both Zygentoma: Lepismatidae), under laboratory conditions. Three boric acid baits were consumed in significantly smaller amounts than untreated control food and did not effectively control either species. Baits containing hydramethylnon and indoxacarb were consumed in greater amounts than boric acid baits, but were relatively ineffective, with LT50 values &gt;9 d. Presence or absence of competitive untreated food did not consistently affect bait efficacy. A ground oat matrix was used to evaluate the potential effectiveness of abamectin, chlorfenapyr, dinotefuran, fipronil, hydramethylnon, metaflumizone, and novaluron baits. The most effective compound was chlorfenapyr. At 0.05 and 0.20% (wt:wt) rates, chlorfenapyr baits produced LT50 values, for both species, ranging from 2 to 4 d. All other compounds had LT50 values &gt;7 d.  KEYWORDS:  MeSH Chemical: Insecticides MeSH: | Animals| Insect Control/majr| Insecta/majr| Insecticides/majr</t>
  </si>
  <si>
    <t>Sims SR, Appel AG</t>
  </si>
  <si>
    <t>1385-91</t>
  </si>
  <si>
    <t>Acute toxicities and sublethal effects of some conventional insecticides on Trichogramma chilonis (Hymenoptera: Trichogrammatidae).</t>
  </si>
  <si>
    <t>Wang DS, He YR, Guo XL, Luo YL</t>
  </si>
  <si>
    <t>1157-63</t>
  </si>
  <si>
    <t>Influence of toxic bait type and starvation on worker and queen mortality in laboratory colonies of Argentine ant (Hymenoptera: Formicidae).</t>
  </si>
  <si>
    <t>Influence of toxic bait type and starvation on worker and queen mortality in laboratory colonies of Argentine ant (Hymenoptera: Formicidae).    ABSTRACT:  The efficacy of toxic baits should be judged by their ability to kill entire ant colonies, including the colony queen or queens. We studied the efficacy of four toxic baits to the Argentine ant, Linepithema humile (Mayr) (Hymenoptera: Formicidae). These baits were Xstinguish that has the toxicant fipronil, Exterm-an-Ant that contains both boric acid and sodium borate, and Advion ant gel and Advion ant bait arena that both have indoxacarb. Experimental nests contained 300 workers and 10 queen ants that were starved for either 24 or 48 h before toxic bait exposure. The efficacy of the toxic baits was strongly influenced by starvation. In no treatment with 24-h starvation did we observe 100% worker death. After 24-h starvation three of the baits did not result in any queen deaths, with only Exterm-an-Ant producing an average of 25% mortality. In contrast, 100% queen and worker mortality was observed in colonies starved for 48 h and given Xstinguish or Exterm-an-Ant. The baits Advion ant gel and Advion ant bait arena were not effective against Argentine ants in these trials, resulting in &lt;60% mortality in all treatments. Because of the strong influence of starvation on bait uptake, control efficacy may be maximized by applying bait when ants are likely to be starved. Our results suggest queen mortality must be assessed in tests for toxic bait efficacy. Our data indicate that of these four baits, Xstinguish and Exterm-an-Ant are the best options for control of Argentine ants in New Zealand.  KEYWORDS:  MeSH Chemical: Insecticides MeSH: | Animals| Ants/majr| Female| Food Deprivation| Insect Control/methods| Insecticides/majr/administration &amp; dosage| Kaplan-Meier Estimate</t>
  </si>
  <si>
    <t>Mathieson M, Toft R, Lester PJ</t>
  </si>
  <si>
    <t>1139-44</t>
  </si>
  <si>
    <t>Pesticide occurrence and aquatic benchmark exceedances in urban surface waters and sediments in three urban areas of California, USA, 2008-2011.</t>
  </si>
  <si>
    <t>Ensminger MP, Budd R, Kelley KC, Goh KS</t>
  </si>
  <si>
    <t>3697-710</t>
  </si>
  <si>
    <t>Truncated transcripts of nicotinic acetylcholine subunit gene Bdα6 are associated with spinosad resistance in Bactrocera dorsalis.</t>
  </si>
  <si>
    <t>Hsu JC, Feng HT, Wu WJ, Geib SM, Mao CH, Vontas J</t>
  </si>
  <si>
    <t>806-15</t>
  </si>
  <si>
    <t>Development and validation of an analytical method to determine Fipronil and its degradation products in soil samples.</t>
  </si>
  <si>
    <t>Development and validation of an analytical method to determine Fipronil and its degradation products in soil samples.    ABSTRACT:  The aim of this study was to develop a methodology for identifying and quantifying Fipronil and its degradation products in soil by gas chromatography-electron capture detector previously extracted using a focused ultrasound probe. This methodology was obtaining a range of recovery between 85% and 120%, decreasing approximately solvent used time and cost, respect to other methodologies such as bath ultrasonic, solid-phase extraction, liquid-liquid extraction and soxhlet. The method was validated in fortified matrix, presented linearity in the range of 25-400 μg kg(-1), and limit of detection for Fipronil and their products desulfinyl, sulfide and sulfone was 14.7, 9.8, 8.9 and 10.7 μg kg(-1), respectively. This process was applied to samples of agricultural soils, where two degradation products desulfinyl and sulfone were found.  KEYWORDS:  MeSH Chemical: Insecticides| Pyrazoles| Soil| Soil Pollutants| fipronil MeSH: | Agriculture| Environmental Monitoring/majr/methods| Insecticides/majr/analysis/chemistry| Pyrazoles/majr/analysis/chemistry| Soil/chemistry| Soil Pollutants/majr/analysis/chemistry</t>
  </si>
  <si>
    <t>Flores-Ramírez R, Batres-Esquivel LE, Díaz-Barriga Martínez F, López-Acosta I, Ortiz-Pérez MD</t>
  </si>
  <si>
    <t>744-50</t>
  </si>
  <si>
    <t>Oral toxicity of fipronil insecticide against the stingless bee Melipona scutellaris (Latreille, 1811).</t>
  </si>
  <si>
    <t>Oral toxicity of fipronil insecticide against the stingless bee Melipona scutellaris (Latreille, 1811).    ABSTRACT:  For a better evaluation of the model using Apis mellifera in toxicology studies with insecticides, the oral acute toxicity of the insecticide fipronil against the stingless bee Melipona scutellaris was determined. The results showed that fipronil was highly toxic to M. scutellaris, with a calculated LC(50) (48 h) value of 0.011 ng a.i./μL of sucrose solution and an estimated oral LD(50) (48 h) of 0.6 ng a.i./bee. Our results showed that M. scutellaris bee is more sensitive to fipronil than the model specie A. mellifera.  KEYWORDS:  MeSH Chemical: Insecticides| Pyrazoles| fipronil MeSH: | Animals| Bees| Dose-Response Relationship, Drug| Insecticides/majr/toxicity| Lethal Dose 50| Pyrazoles/majr/toxicity| Toxicity Tests</t>
  </si>
  <si>
    <t>Lourenço CT, Carvalho SM, Malaspina O, Nocelli RC</t>
  </si>
  <si>
    <t>921-4</t>
  </si>
  <si>
    <t>Distribution of pesticides and PCBs in sediments of agricultural drains in the Culiacan Valley, Sinaloa, Mexico.</t>
  </si>
  <si>
    <t>Distribution of pesticides and PCBs in sediments of agricultural drains in the Culiacan Valley, Sinaloa, Mexico.    ABSTRACT:  Agriculture is one of the most important economic activities in Sinaloa, Mexico. The Culiacan Valley is an extensive agricultural region characterized by a variety of crops with high-yield productions. In this study, concentrations of organochlorine (OCPs) and organophosphorus (OPs) pesticides and polychlorobiphenyls (PCBs) were determined in sediments of the agricultural drainage system of Culiacan Valley. Overall, 32 compounds were detected, with concentrations widely ranging from 0.03 to 1 294 ng g(-1) dry weight. OCP concentrations (15) ranged from 0.1 to 20.19 ng g(-1) dw. OP concentrations (8) ranged from 0.03 to 1294 ng g(-1) dw, and diazinon was the compound with the highest concentration. PCB concentrations were also determined and varied from 0.05 to 3.29 ng g(-1) dw. Other compounds detected included permethrin, triadimefon, and fipronil. The central zone registered the higher concentrations and the greatest number of compounds, which could be related to the occurrence of horticultural fields in this zone. According to sediment quality guidelines, the compounds exceeding the probable effect level were γ-HCH, p,p'-DDT and p,p'-DDE, while the pesticides above the maximum permissible concentration were endosulfan, azinphos methyl, diazinon, dichlorvos, and permethrin. Although Sinaloa is an important agricultural crop producer in northwest Mexico, there are not many studies dealing with pesticide distribution in agricultural areas.  KEYWORDS:  MeSH Chemical: Pesticides| Water Pollutants, Chemical| Polychlorinated Biphenyls MeSH: | Agricultural Irrigation/majr| Environmental Monitoring| Geologic Sediments/majr/chemistry| Mexico| Pesticides/majr/analysis| Polychlorinated Biphenyls/majr/analysis| Water Pollutants, Chemical/majr/analysis</t>
  </si>
  <si>
    <t>García-de la Parra LM, Cervantes-Mojica LJ, González-Valdivia C, Martínez-Cordero FJ, Aguilar-Zárate G, Bastidas-Bastidas P, Betancourt-Lozano M</t>
  </si>
  <si>
    <t>323-36</t>
  </si>
  <si>
    <t>Direct analysis in real time mass spectrometry for the rapid identification of four highly hazardous pesticides in agrochemicals.</t>
  </si>
  <si>
    <t xml:space="preserve">Direct analysis in real time mass spectrometry for the rapid identification of four highly hazardous pesticides in agrochemicals.    ABSTRACT:  Direct analysis in real time (DART) is a new ion source technique, which is conducted in the open air under ambient conditions, applied to the rapid and direct analysis of any material (gases, liquids, and solids) with minimal or no sample preparation. In order to take advantage of the capacity of DART mass spectrometry for the real-time analysis of hazardous ingredients in commercial agrochemicals, a pilot study of rapid qualitative determination of hazardous pesticides was performed.Highly hazardous pesticides were identified by DART ionization coupled to a single-quadrupole mass spectrometer (DART-MS). Acetonitrile was chosen for dissolving samples prior to the analysis. Samples were analyzed by this technique in as little as 5 s.Phorate, carbofuran, ethoprophos and fipronil were be detected directly from commercial agrochemicals. The ionization-related parameters (DART temperature, grid voltage and MS fragment) of these compounds were optimized to obtain highly response. Isotope patterns were taken into consideration for qualitative identification. Relative standard deviations (RSDs, n = 5) of 2.3-15.0% were obtained by measuring the relative abundance of selected isotopes.This study showed that DART-MS technology was able to qualitatively determine the existence of highly hazardous pesticides in commercial pesticide formulations. It is suggested that this technology should be applied for routine monitoring in the market.Copyright © 2012 John Wiley &amp; Sons, Ltd.  KEYWORDS: </t>
  </si>
  <si>
    <t>Wang L, Zhao P, Zhang F, Li Y, Pan C</t>
  </si>
  <si>
    <t>Rapid communications in mass spectrometry : RCM</t>
  </si>
  <si>
    <t>1859-67</t>
  </si>
  <si>
    <t>Alteration of leaf metabolism in Bt-transgenic rice (Oryza sativa L.) and its wild type under insecticide stress.</t>
  </si>
  <si>
    <t>Zhou J, Zhang L, Chang Y, Lu X, Zhu Z, Xu G</t>
  </si>
  <si>
    <t>Journal of proteome research</t>
  </si>
  <si>
    <t>4351-60</t>
  </si>
  <si>
    <t>Insecticide toxic effects on Trichogramma ostriniae (Hymenoptera: Trichogrammatidae).</t>
  </si>
  <si>
    <t>Insecticide toxic effects on Trichogramma ostriniae (Hymenoptera: Trichogrammatidae).    ABSTRACT:  The parasitoid Trichogramma ostriniae (Pang and Chen) is a major natural enemy of many lepidopterans, but only a few studies have been conducted on the compatibility of biological and chemical controls. In this study, the selectivity of 30 insecticides to T. ostriniae adults was evaluated.Among the seven classes of chemicals tested, organophosphates and carbamates had the highest intrinsic toxicity to the wasp, with LC(50) values ranging from 0.032 (0.029-0.038) to 2.38 (1.91-3.15) mg AI L(-1). They are followed by phenylpyrazoles, avermectins, neonicotinoids and pyrethroids, which induce variable toxicity responses, with LC(50) values ranging from 0.14 (0.11-0.21) to 56.67 (48.94-67.24) mg AI L(-1), from 2.57 (1.85-4.28) to 4.48 (3.34-6.83) mg AI L(-1), from 2.48 (1.80-4.03) to 503.6 (457.6-557.5) mg AI L(-1) and from 5.44 (3.95-8.84) to 104.2 (92.48-119.7) mg AI L(-1) respectively. The insect growth regulators (IGRs) exhibited least toxicity to the parasitoid.Risk quotient analysis classifies neonicotinoids, avermectins, pyrethroids, IGRs and phenylpyrazoles (with the exception of butane-fipronil and fipronil) as safe agents to the parasitoid, but categorises organophosphates and carbamates as slightly to moderately toxic or dangerous to T. ostriniae.Copyright © 2012 Society of Chemical Industry.  KEYWORDS:  MeSH Chemical: Biological Control Agents| Insecticides MeSH: | Animals| Biological Control Agents| Insecticides/majr/toxicity| Risk Assessment| Toxicity Tests, Acute| Wasps/majr/drug effects</t>
  </si>
  <si>
    <t>Wang Y, Chen L, Yu R, Zhao X, Wu C, Cang T, Wang Q</t>
  </si>
  <si>
    <t>1564-71</t>
  </si>
  <si>
    <t>Effects of fipronil on dogs over Triatoma infestans, the main vector of Trypanosoma cruzi, causative agent of Chagas disease.</t>
  </si>
  <si>
    <t>Amelotti I, Catalá SS, Gorla DE</t>
  </si>
  <si>
    <t>1457-62</t>
  </si>
  <si>
    <t>Antibiosis resistance in soybean plant introductions to Dectes texanus (Coleoptera: Cerambycidae).</t>
  </si>
  <si>
    <t>Antibiosis resistance in soybean plant introductions to Dectes texanus (Coleoptera: Cerambycidae).    ABSTRACT:  No soybean cultivars exhibit resistance to larval damage by the cerambycid, Dectes texanus LeConte, in the United States. Selected soybean varieties and plant introductions (PIs) in maturity groups VI to VIII from the U.S. Department of Agriculture National Soybean Germplasm Collection were evaluated for D. texanus resistance in a series of field and laboratory experiments from 2005 through 2008. In field cage experiments, the numbers of oviposition punctures (OPs) per plant were determined as indicators of oviposition antixenosis and the ratio of OPs per live D. texanus larvae (OP/Lv) served as an indicator of plant antibiosis to larvae. A D. texanus-susceptible variety treated with the systemic insecticide fipronil was used as a positive antibiosis control. Plant introduction PI165673 had the highest OP/Lv ratio, indicating that even if oviposition was successful, an antibiosis factor in PI165673 significantly reduced egg hatch and the resulting number of live D. texanus larvae. Factorial analyses indicated that maturity group is not a significant factor in the expression of resistance. Thus, PI165673 appears to be a potential source of resistance to D. texanus. In related field studies, the preferred D. texanus oviposition site was localized to leaf petioles in the upper four or five nodes of the plant canopy. Histomorphological analyses of petiole cross-sections of plant introductions PI171451, PI165676, and PI165673 indicated that leaf petiole morphology may be related to reduced D. texanus oviposition on petioles of PI171451 and PI165676, but that resistance in PI165673 is independent of petiole morphology.  KEYWORDS:  MeSH: | Animals| Antibiosis/majr| Coleoptera/majr/growth &amp; development/physiology| Feeding Behavior| Larva/genetics/physiology| Oviposition| Pest Control, Biological| Plant Leaves/anatomy &amp; histology/physiology| Soybeans/majr/anatomy &amp; histology/genetics/physiology</t>
  </si>
  <si>
    <t>Niide T, Higgins RA, Whitworth RJ, Schapaugh WT, Smith CM, Buschman LL</t>
  </si>
  <si>
    <t>598-607</t>
  </si>
  <si>
    <t>Effect of fipronil on subterranean termite colonies (Isoptera: Rhinotermitidae) in the field.</t>
  </si>
  <si>
    <t>Effect of fipronil on subterranean termite colonies (Isoptera: Rhinotermitidae) in the field.    ABSTRACT:  To assess possible colony-level effects of fipronil, a commonly used nonrepellent termiticide, we conducted a field study of eight houses in the Raleigh, NC, area with infestations of the eastern subterranean termite Reticulitermes flavipes (Kollar) (Isoptera: Rhinotermitidae). We installed an extensive grid of in-ground monitoring stations on each property (mean = 68.6 monitors per property) and collected samples from these stations as well as from mud tubes in the structure and wood debris in the yard for approximately 6 mo. We genotyped all samples by using microsatellite markers to identify the number and locations of colonies present on each property. Houses were treated with either a full treatment (n = 5) or exterior/localized interior treatment (n = 3). After treatment, the monitors were checked monthly for 3 mo and then quarterly for 3 yr to track the fate of colonies. Wood debris in natural areas was checked semiannually for 3 yr. All 11 of the treated colonies (those attacking structures) disappeared within 90 d of treatment and were not found again. These colonies were presumed to be eliminated. In contrast, 60% of untreated colonies (those located &gt; 6 m from the foundation wall at the time of treatment) continued to persist throughout the study, as did 25% of the likely treated colonies (those occupying monitors 0.5 m from the foundation wall where the treatment was applied). Our results provide strong evidence for potent colony wide effects of fipronil on subterranean termites leading to colony suppression and likely colony elimination under field conditions.  KEYWORDS:  MeSH Chemical: Insecticides| Pyrazoles| fipronil MeSH: | Animals| Genotyping Techniques| Housing| Insect Control/majr| Insecticides/majr| Isoptera/majr/genetics| Microsatellite Repeats| North Carolina| Pyrazoles/majr| Time Factors</t>
  </si>
  <si>
    <t>Vargo EL, Parman V</t>
  </si>
  <si>
    <t>523-32</t>
  </si>
  <si>
    <t>Uptake and phloem transport of glucose-fipronil conjugate in Ricinus communis involve a carrier-mediated mechanism.</t>
  </si>
  <si>
    <t>Uptake and phloem transport of glucose-fipronil conjugate in Ricinus communis involve a carrier-mediated mechanism.    ABSTRACT:  Some compounds containing glucose are absorbed via the monosaccharide transporters of the plasma membrane. A glucose-fipronil conjugate, N-[3-cyano-1-[2,6-dichloro-4-(trifluoromethyl)phenyl]-4-[(trifluoromethyl)sulfinyl]-1H-pyrazol-5-yl]-1-(β-d-glucopyranosyl)-1H-1,2,3-triazole-4-methanamine (GTF), has been synthesized in our previous work. GTF exhibits moderate phloem mobility in Ricinus communis. In the current paper, we demonstrate that the uptake of GTF by Ricinus seedling cotyledon discs is partly mediated by an active carrier system (K(m)1 = 0.17 mM; V(max)1 = 2.2 nmol cm(-2) h(-1)). Four compounds [d-glucose, sucrose, phloridzin, and carbonyl cyanide m-chlorophenylhydrazone (CCCP)] were examined for their effect on GTF uptake. Phloridzin as well as CCCP markedly inhibit GTF uptake, and d-glucose weakly competes with it. The phloem transport of GTF in Ricinus seedlings is found to involve an active carrier-mediated mechanism that effectively contributes to the GTF phloem loading. The results prove that adding a glucose core is a reasonable and feasible approach to confer phloem mobility to fipronil by utilizing plant monosaccharide transporters.  KEYWORDS:  MeSH Chemical: Glucosides| Insecticides| Monosaccharide Transport Proteins| N-(3-cyano-1-(2,6-dichloro-4-(trifluoromethyl)phenyl)-4-((trifluoromethyl)sulfinyl)-1H-pyrazol-5-yl)-1-(beta-D-glucopyranosyl)-1H-1,2,3-triazole-4-methanamine| Pyrazoles| Triazoles| Glucose| fipronil MeSH: | Biological Transport| Castor Bean/majr/metabolism| Cotyledon/metabolism| Glucose/majr/metabolism| Glucosides/metabolism| Insecticides/majr/metabolism| Models, Biological| Monosaccharide Transport Proteins/metabolism| Phloem/majr/metabolism| Pyrazoles/majr/metabolism| Seedlings/metabolism| Triazoles/metabolism</t>
  </si>
  <si>
    <t>Wu HX, Yang W, Zhang ZX, Huang T, Yao GK, Xu HH</t>
  </si>
  <si>
    <t>6088-94</t>
  </si>
  <si>
    <t>Effects of non-repellent termiticides on the tunneling and walking ability of the eastern subterranean termite (Isoptera: Rhinotermitidae).</t>
  </si>
  <si>
    <t>Effects of non-repellent termiticides on the tunneling and walking ability of the eastern subterranean termite (Isoptera: Rhinotermitidae).    ABSTRACT:  Non-repellent insecticides, including fipronil and indoxacarb, are becoming increasingly important for soil treatments to manage the eastern subterranean termite, Reticulitermes flavipes (Kollar). The effects of these insecticides on termite walking and tunneling behavior could significantly reduce their efficacy against colonies.Groups of R. flavipes were exposed to several concentrations of commercial formulations of fipronil and indoxacarb, and the ability of treated termites to tunnel in soil and walk was assessed. Increasing insecticide concentration resulted in a reduction in the ability of R. flavipes to walk, tunnel and form tunnel branches; the importance of these effects on the use of non-repellent insecticides is discussed.Exposure of R. flavipes to 1, 10 or 50 mg L(-1) of fipronil or 50, 100 or 200 mg L(-1) of indoxacarb significantly reduced termite walking and tunneling and the number of tunnel branches. Distance walked (ca 73 mm) by untreated control termites did not change over time for at least 16 h after treatment; control termites formed ca 150 cm of tunnels with ca 40 branches.Copyright © 2012 Society of Chemical Industry.  KEYWORDS:  MeSH Chemical: Insecticides| Oxazines| Pyrazoles| indoxacarb| fipronil MeSH: | Animals| Behavior, Animal/drug effects| Insecticides/majr/pharmacology| Isoptera/majr/drug effects/physiology| Oxazines/pharmacology| Pyrazoles/pharmacology</t>
  </si>
  <si>
    <t>1352-9</t>
  </si>
  <si>
    <t>Potential exposure of bees, Apis mellifera L., to particulate matter and pesticides derived from seed dressing during maize sowing.</t>
  </si>
  <si>
    <t>Pochi D, Biocca M, Fanigliulo R, Pulcini P, Conte E</t>
  </si>
  <si>
    <t>354-61</t>
  </si>
  <si>
    <t>Comparative efficacy on dogs of a single topical treatment with fipronil/(S)-methoprene or weekly physiological hygiene shampoos against Ctenocephalides felis in a simulated flea-infested environment.</t>
  </si>
  <si>
    <t>Beugnet F, Fourie J, Chalvet-Monfray K</t>
  </si>
  <si>
    <t>153-8</t>
  </si>
  <si>
    <t>Apparent tick paralysis by Rhipicephalus sanguineus (Acari: Ixodidae) in dogs.</t>
  </si>
  <si>
    <t>Otranto D, Dantas-Torres F, Tarallo VD, Ramos RA, Stanneck D, Baneth G, de Caprariis D</t>
  </si>
  <si>
    <t>325-9</t>
  </si>
  <si>
    <t>In vitro evaluation of acaricidal activity of fipronil against Haemaphysalis bispinosa based on adult immersion test.</t>
  </si>
  <si>
    <t>In vitro evaluation of acaricidal activity of fipronil against Haemaphysalis bispinosa based on adult immersion test.    ABSTRACT:  Fipronil is a phenylpyrazole family insecticide which mainly affects the nervous   system of insects. In the present study, the in vitro acaricidal effects of the compound   against the widely prevalent multihost tick, Haemaphysalis bispinosa was assessed. The   lowest concentration at which complete adult tick mortality was observed was at 25 ppm   while complete absence of egg mass observed at 10 ppm. Hundred per cent inhibition of   fecundity was observed at 1 ppm while complete blocking of hatching of the laid ova was   observed even at 500 ppb.  KEYWORDS:  MeSH Chemical: Acaricides| Pyrazoles| fipronil MeSH: | Acaricides/majr/pharmacology| Animals| Entomology/majr/methods| Female| Fertility/drug effects| Ixodidae/majr/drug effects/physiology| Pyrazoles/majr/pharmacology</t>
  </si>
  <si>
    <t>Ravindran R, Ajith Kumar KG, Amithamol KK, Sunil AR, Juliet S, Nair SN, Chandrasekhar L, Sujith S, Varghese S, Aparna M, Bandyapadhyay A, Rawat AK, Ghosh S</t>
  </si>
  <si>
    <t>Tropical biomedicine</t>
  </si>
  <si>
    <t>61-4</t>
  </si>
  <si>
    <t>Impacts of the phenylpyrazole insecticide fipronil on larval fish: time-series gene transcription responses in fathead minnow (Pimephales promelas) following short-term exposure.</t>
  </si>
  <si>
    <t>Beggel S, Werner I, Connon RE, Geist JP</t>
  </si>
  <si>
    <t>426</t>
  </si>
  <si>
    <t>160-5</t>
  </si>
  <si>
    <t>Acaricide resistance mechanisms in Rhipicephalus (Boophilus) microplus.</t>
  </si>
  <si>
    <t>Acaricide resistance mechanisms in Rhipicephalus (Boophilus) microplus.    ABSTRACT:  Acaricide resistance has become widespread in countries where cattle ticks, Rhipicephalus (Boophilus) microplus, are a problem. Resistance arises through genetic changes in a cattle tick population that causes modifications to the target site, increased metabolism or sequestration of the acaricide, or reduced ability of the acaricide to penetrate through the outer protective layers of the tick's body. We review the molecular and biochemical mechanisms of acaricide resistance that have been shown to be functional in R. (B.) microplus. From a mechanistic point of view, resistance to pyrethroids has been characterized to a greater degree than any other acaricide class. Although a great deal of research has gone into discovery of the mechanisms that cause organophosphate resistance, very little is defined at the molecular level and organophosphate resistance seems to be maintained through a complex and multifactorial process. The resistance mechanisms for other acaricides are less well understood. The target sites of fipronil and the macrocyclic lactones are known and resistance mechanism studies are in the early stages. The target site of amitraz has not been definitively identified and this is hampering mechanistic studies on this acaricide.  KEYWORDS:  MeSH Chemical: Acaricides| Organophosphates| Pyrethrins MeSH: | Acaricides/majr/pharmacology| Animals| Drug Resistance| Organophosphates/pharmacology| Pyrethrins/pharmacology| Rhipicephalus/majr/drug effects/physiology</t>
  </si>
  <si>
    <t>Guerrero FD, Lovis L, Martins JR</t>
  </si>
  <si>
    <t>Identification and expression profiles of nine glutathione S-transferase genes from the important rice phloem sap-sucker and virus vector Laodelphax striatellus (Fallén) (Hemiptera: Delphacidae).</t>
  </si>
  <si>
    <t>Zhou WW, Li XW, Quan YH, Cheng J, Zhang CX, Gurr G, Zhu ZR</t>
  </si>
  <si>
    <t>1296-305</t>
  </si>
  <si>
    <t>Cumulative ecological impacts of two successive annual treatments of imidacloprid and fipronil on aquatic communities of paddy mesocosms.</t>
  </si>
  <si>
    <t>Hayasaka D, Korenaga T, Suzuki K, Saito F, Sánchez-Bayo F, Goka K</t>
  </si>
  <si>
    <t>355-62</t>
  </si>
  <si>
    <t>Efficacy of slow-release collar formulations of imidacloprid/flumethrin and deltamethrin and of spot-on formulations of fipronil/(s)-- methoprene, dinotefuran/pyriproxyfen/permethrin and (s) -methoprene/amitraz/fipronil against Rhipicephalus sanguineus and Ctenocephalides felis felis on dogs.</t>
  </si>
  <si>
    <t>Horak IG, Fourie JJ, Stanneck D</t>
  </si>
  <si>
    <t>Enantioselective bioaccumulation of soil-associated fipronil enantiomers in Tubifex tubifex.</t>
  </si>
  <si>
    <t>Enantioselective bioaccumulation of soil-associated fipronil enantiomers in Tubifex tubifex.    ABSTRACT:  Enantioselective behavior of chiral pesticides in the aquatic environment has been a subject of growing interest. In this study, the enantioselective bioaccumulation of fipronil enantiomers in Tubifex tubifex (Oligochaeta, Tubificida) was detected in both spike-water and spike-soil systems, respectively. For the spike-water treatment, a 9-day exposure experiment was employed and the enantiomer fraction in tubifex tissue was maintained approximately at 0.58 during the experiment. In addition, a 14-day bioaccumulation period was chosen for the spike-soil treatment and a more significant deviation of enantiomer fraction from 0.5 in tubifex tissue was detected, with concentrations of the R-form higher than that of the S-form. Therefore, the bioaccumulation of fipronil was enantioselective in tubifex tissue for the two treatments and the magnitude of enantioselectivity may be influenced by different exposure conditions. For the spike-soil treatment, the concentrations of fipronil in verlying water and soil were also determined. With the presence of tubifex worms, higher concentrations of fipronil in overlying water and lower concentrations in soil were detected than that in the absence of tubifex treatment during the whole 14-day exposure period. This means that tubifex has positive functions in fipronil's diffusion from soil to overlying water and in the degradation of the soil-associated fipronil.Copyright © 2012 Elsevier B.V. All rights reserved.  KEYWORDS:  MeSH Chemical: Insecticides| Pyrazoles| Soil Pollutants| fipronil MeSH: | Animals| Chromatography, High Pressure Liquid| Insecticides/majr/metabolism| Oligochaeta/majr/metabolism| Pyrazoles/majr/metabolism| Soil Pollutants/majr/metabolism| Stereoisomerism</t>
  </si>
  <si>
    <t>Liu T, Wang P, Lu Y, Zhou G, Diao J, Zhou Z</t>
  </si>
  <si>
    <t>219-220</t>
  </si>
  <si>
    <t>50-6</t>
  </si>
  <si>
    <t>Bacillus thuringiensis monogenic strains: screening and interactions with insecticides used against rice pests.</t>
  </si>
  <si>
    <t>Bacillus thuringiensis monogenic strains: screening and interactions with insecticides used against rice pests.    ABSTRACT:  The screening of Bacillus thuringiensis (Bt) Cry proteins with high potential to control insect pests has been the goal of numerous research groups. In this study, we evaluated six monogenic Bt strains (Bt dendrolimus HD-37, Bt kurstaki HD-1, Bt kurstaki HD-73, Bt thuringiensis 4412, Bt kurstaki NRD-12 and Bt entomocidus 60.5, which codify the cry1Aa, cry1Ab, cry1Ac, cry1Ba, cry1C, cry2A genes respectively) as potential insecticides for the most important insect pests of irrigated rice: Spodoptera frugiperda, Diatraea saccharalis, Oryzophagus oryzae, Oebalus poecilus and Tibraca limbativentris. We also analyzed their compatibility with chemical insecticides (thiamethoxam, labdacyhalothrin, malathion and fipronil), which are extensively used in rice crops. The bioassay results showed that Bt thuringiensis 4412 and Bt entomocidus 60.5 were the most toxic for the lepidopterans, with a 93% and 82% mortality rate for S. frugiperda and D. saccharalis, respectively. For O. oryzae, the Bt kurstaki NRD-12 (64%) and Bt dendrolimus HD-37 (62%) strains were the most toxic. The Bt dendrolimus HD-37 strain also caused high mortality (82%) to O. poecilus, however the strains assessed to T. limbativentris caused a maximum rate of 5%. The assays for the Bt strains interaction with insecticides revealed the compatibility of the six strains with the four insecticides tested. The results from this study showed the high potential of cry1Aa and cry1Ba genes for genetic engineering of rice plants or the strains to biopesticide formulations.  KEYWORDS:  Other:Bacillus thuringiensis|Cry proteins|Insects</t>
  </si>
  <si>
    <t>Pinto LM, Dörr NC, Ribeiro AP, de Salles SM, de Oliveira JV, Menezes VG, Fiuza LM</t>
  </si>
  <si>
    <t>Brazilian journal of microbiology : [publication of the Brazilian Society for Microbiology]</t>
  </si>
  <si>
    <t>618-26</t>
  </si>
  <si>
    <t>CYP450-dependent biotransformation of the insecticide fipronil into fipronil sulfone can mediate fipronil-induced thyroid disruption in rats.</t>
  </si>
  <si>
    <t>Roques BB, Lacroix MZ, Puel S, Gayrard V, Picard-Hagen N, Jouanin I, Perdu E, Martin PG, Viguié C</t>
  </si>
  <si>
    <t>Toxicological sciences : an official journal of the Society of Toxicology</t>
  </si>
  <si>
    <t>29-41</t>
  </si>
  <si>
    <t>Parasite-insecticide interactions: a case study of Nosema ceranae and fipronil synergy on honeybee.</t>
  </si>
  <si>
    <t>Parasite-insecticide interactions: a case study of Nosema ceranae and fipronil synergy on honeybee.    ABSTRACT:  In ecosystems, a variety of biological, chemical and physical stressors may act in combination to induce illness in populations of living organisms. While recent surveys reported that parasite-insecticide interactions can synergistically and negatively affect honeybee survival, the importance of sequence in exposure to stressors has hardly received any attention. In this work, Western honeybees (Apis mellifera) were sequentially or simultaneously infected by the microsporidian parasite Nosema ceranae and chronically exposed to a sublethal dose of the insecticide fipronil, respectively chosen as biological and chemical stressors. Interestingly, every combination tested led to a synergistic effect on honeybee survival, with the most significant impacts when stressors were applied at the emergence of honeybees. Our study presents significant outcomes on beekeeping management but also points out the potential risks incurred by any living organism frequently exposed to both pathogens and insecticides in their habitat.  KEYWORDS:  MeSH Chemical: Insecticides| Pyrazoles| fipronil MeSH: | Animals| Bees/majr/parasitology| Host-Parasite Interactions/majr| Insecticides/majr| Nosema/majr/physiology| Pyrazoles/majr</t>
  </si>
  <si>
    <t>Aufauvre J, Biron DG, Vidau C, Fontbonne R, Roudel M, Diogon M, Viguès B, Belzunces LP, Delbac F, Blot N</t>
  </si>
  <si>
    <t>326</t>
  </si>
  <si>
    <t>Reactive oxygen species and mitogen-activated protein kinase induce apoptotic death of SH-SY5Y cells in response to fipronil.</t>
  </si>
  <si>
    <t>Ki YW, Lee JE, Park JH, Shin IC, Koh HC</t>
  </si>
  <si>
    <t>18-28</t>
  </si>
  <si>
    <t>Assessment of toxicity risk of insecticides used in rice ecosystem on Trichogramma japonicum, an egg parasitoid of rice lepidopterans.</t>
  </si>
  <si>
    <t>Zhao X, Wu C, Wang Y, Cang T, Chen L, Yu R, Wang Q</t>
  </si>
  <si>
    <t>92-101</t>
  </si>
  <si>
    <t>Short- and long-term control of Vespula pensylvanica in Hawaii by fipronil baiting.</t>
  </si>
  <si>
    <t>Short- and long-term control of Vespula pensylvanica in Hawaii by fipronil baiting.    ABSTRACT:  The invasive western yellowjacket wasp, Vespula pensylvanica (Saussure), has significantly impacted the ecological integrity and human welfare of Hawaii. The goals of the present study were (1) to evaluate the immediate and long-term efficacy of a 0.1% fipronil chicken bait on V. pensylvanica populations in Hawaii Volcanoes National Park, (2) to quantify gains in efficacy using the attractant heptyl butyrate in the bait stations and (3) to measure the benefits of this approach for minimizing non-target impacts to other arthropods.The 0.1% fipronil chicken bait reduced the abundance of V. pensylvanica by 95 ± 1.2% during the 3 months following treatment and maintained a population reduction of 60.9 ± 3.1% a year after treatment in the fipronil-treated sites when compared with chicken-only sites. The addition of heptyl butyrate to the bait stations significantly increased V. pensylvanica forager visitation and bait take and significantly reduced the non-target impacts of fipronil baiting.In this study, 0.1% fipronil chicken bait with the addition of heptyl butyrate was found to be an extremely effective large-scale management strategy and provided the first evidence of a wasp suppression program impacting Vepsula populations a year after treatment.Copyright © 2012 Society of Chemical Industry.  KEYWORDS:  MeSH Chemical: Butyrates| Insecticides| Pyrazoles| fipronil MeSH: | Animals| Behavior, Animal/drug effects| Butyrates/chemistry/pharmacology| Chickens| Hawaii| Hymenoptera/majr/drug effects| Insect Control/majr/methods| Insecticides/majr| Pyrazoles/majr| Time Factors</t>
  </si>
  <si>
    <t>Hanna C, Foote D, Kremen C</t>
  </si>
  <si>
    <t>1026-33</t>
  </si>
  <si>
    <t>Biodegradation of fipronil by Paracoccus sp. in different types of soil.</t>
  </si>
  <si>
    <t>Biodegradation of fipronil by Paracoccus sp. in different types of soil.    ABSTRACT:  In the present studies potential of microorganisms isolated from the cotton fields was explored for the bioremediation of fipronil contaminated soils. The cultures of microbes were grown in Luria broth as shake culture maintained at 28°C. After that Dorn's broth enrichment culture supplemented with fipronil was used and isolated two bacterial cultures viz. Paracoccus sp. and Gamma Proteobacteria. The performance of both bacteria was evaluated for degradation of fipronil in soil. Paracoccus sp. was found better than the Gamma Proteobacteria as far as degradation of fipronil in soil is concerned. The samples of soil were extracted and cleaned up by following a standardized methodology. Fipronil was quantified by gas liquid chromatography and confirmed by gas chromatography mass spectrometer. The limit of quantification of fipronil was worked out to be 10 μg kg(-1). By using this methodology, the mean recoveries of fipronil in different types of soil were found to be more than 85%. The residues of fipronil were found to persist only up to 10 days in soils fortified with fipronil @ 20 μg kg(-1) and amended with Paracoccus sp. while in the soils fortified @ 80 μg kg(-1) fipronil, residues persisted up to 20, 30 and 30 days in loamy sand, sandy loam and clay loam, respectively. Therefore, the use of Paracoccus sp. can further be explored for the bioremediation of fipronil contaminated soils.  KEYWORDS:  MeSH Chemical: Insecticides| Pyrazoles| Soil| Soil Pollutants| fipronil MeSH: | Biodegradation, Environmental| Environmental Monitoring| Insecticides/majr/analysis/metabolism| Models, Chemical| Paracoccus/majr/chemistry/metabolism| Pyrazoles/majr/analysis/metabolism| Soil/chemistry| Soil Microbiology| Soil Pollutants/majr/analysis/metabolism</t>
  </si>
  <si>
    <t>Kumar R, Singh B, Gupta VK</t>
  </si>
  <si>
    <t>781-7</t>
  </si>
  <si>
    <t>A critical body residue approach for predicting persistent bioaccumulative toxicant effects on reproduction and population dynamics of meiobenthic copepods.</t>
  </si>
  <si>
    <t>Chandler GT, Ferguson PL, Klauber WW, Washburn KM</t>
  </si>
  <si>
    <t>1076-82</t>
  </si>
  <si>
    <t>Persistence of fipronil and its risk assessment on cabbage, Brassica oleracea var. capitata L.</t>
  </si>
  <si>
    <t>Persistence of fipronil and its risk assessment on cabbage, Brassica oleracea var. capitata L.    ABSTRACT:  Persistence of fipronil in cabbage was studied following three applications of Jump 80 WG at 75 and 150 g a.i. ha(-1) at 7 day interval. The average initial deposits of total fipronil (fipronil and its metabolites) were 1.226 and 2.704 mg kg(-1) on the heads following 3rd application of fipronil at single and double the dosages, respectively. Desulfinyl was found to be the main metabolite followed by sulfone and sulfide. Metabolite amide was not detected in cabbage samples. Half-life periods for fipronil were found to be 3.43 and 3.21 day at single and double the application rates, respectively. Risk assessment of fipronil to the consumers was calculated on the basis of per capita 80 g consumption of cabbage and comparing it to its ADI for an adult of 55 kg which was found to be less than its ADI on 10th day at both the dosages.Copyright © 2012 Elsevier Inc. All rights reserved.  KEYWORDS:  MeSH Chemical: Insecticides| Pyrazoles| fipronil MeSH: | Adult| Brassica/majr/chemistry/metabolism| Diet/statistics &amp; numerical data| Environmental Exposure/majr/statistics &amp; numerical data| Half-Life| Humans| Insecticides/majr/analysis/metabolism/toxicity| Pyrazoles/majr/analysis/metabolism/toxicity| Risk Assessment</t>
  </si>
  <si>
    <t>Bhardwaj U, Kumar R, Kaur S, Kumar Sahoo S, Mandal K, Battu RS, Singh B</t>
  </si>
  <si>
    <t>301-308</t>
  </si>
  <si>
    <t>Mechanisms underlying fipronil resistance in a multiresistant field strain of the German cockroach (Blattodea: Blattellidae).</t>
  </si>
  <si>
    <t>Gondhalekar AD, Scharf ME</t>
  </si>
  <si>
    <t>122-31</t>
  </si>
  <si>
    <t>Effect of soil type and exposure duration on mortality and transfer of chlorantraniliprole and fipronil on Formosan subterranean termites (Isoptera: Rhinotermitidae).</t>
  </si>
  <si>
    <t>Effect of soil type and exposure duration on mortality and transfer of chlorantraniliprole and fipronil on Formosan subterranean termites (Isoptera: Rhinotermitidae).    ABSTRACT:  The uptake and potential transfer of chlorantraniliprole and fipronil by the Formosan subterranean termite, Coptotermes formosanus Shiraki, was investigated in the laboratory by using donor-recipient model bioassays. Two different types of substrates, sandy loam soil (18.6% organic matter) and sand (0.19% organic matter), were used to evaluate how these treated substrates impact the direct mortality and transfer efficiency of the two nonrepellent termiticides tested at different concentrations. Chlorantraniliprole exhibited a more delayed mortality on termites than fipronil in sand. In soil, chlorantraniliprole did not cause higher mortality to either donor or recipient termite at any of the tested concentrations during a 21-d test period when compared with controls. Compared with the controls, a greater number of donors died in the soil treated with fipronil at 14 h postinteraction, and higher death of recipients occurred at 21 d but only in the 60-ppm concentration tested. Our data showed that chlorantraniliprole performed best in substrate with low organic matter against  KEYWORDS:  MeSH Chemical: Insecticides| Pyrazoles| Soil| ortho-Aminobenzoates| chlorantranilipole| Silicon Dioxide| fipronil MeSH: | Animals| Behavior, Animal| Insecticides/majr/metabolism/toxicity| Isoptera/majr/drug effects| Pyrazoles/majr/metabolism/toxicity| Silicon Dioxide/chemistry| Soil/majr/chemistry| Time Factors| ortho-Aminobenzoates/majr/metabolism/toxicity</t>
  </si>
  <si>
    <t>Gautam BK, Henderson G</t>
  </si>
  <si>
    <t>2025-30</t>
  </si>
  <si>
    <t>Lack of interactions between fire ant control products and white grubs (Coleoptera: Scarabaeidae) in turfgrass.</t>
  </si>
  <si>
    <t>Lack of interactions between fire ant control products and white grubs (Coleoptera: Scarabaeidae) in turfgrass.    ABSTRACT:  Insecticides are widely used to manage turfgrass pest such as white grubs (Coleoptera: Scarabaeidae). Red imported fire ants, Solenopsis invicta (Buren) are important predators and pests in managed turfgrass. We tested the susceptibility of white grub life stages (adults, egg, and larvae) to predation by S. invicta and determined if insecticides applied for control of S. invicta would result in locally greater white grub populations. Field trials over 2 yr evaluated bifenthrin, fipronil, and hydramethylnon applied to large and small scale turfgrass plots for impacts on fire ant foraging and white grub populations. Coincident with these trials, adults, larvae, and eggs of common scarab species were evaluated for susceptibility to predation by S. invicta under field conditions. Field trials with insecticides failed to show a significant increase in white grub populations resulting from treatment of turfgrass for fire ants. This, in part, may be because of a lack of predation of S. invicta on adult and larval scarabs. Egg predation was greatest at 70% but &lt; 20% of adults and larvae were attacked in a 24 h test. Contrary to other studies, results presented here suggest that fire ants and fire ant control products applied to turfgrass have a minimal impact on white grub populations.  KEYWORDS:  MeSH Chemical: Insecticides| Pyrazoles| Pyrethrins| Pyrimidinones| bifenthrin| hydramethylnon| fipronil MeSH: | Alabama| Animals| Ants/majr/physiology| Coleoptera/majr/drug effects/physiology| Cynodon| Female| Insecticides/majr/toxicity| Larva/drug effects/physiology| Male| Ovum/drug effects/physiology| Population Density| Predatory Behavior/majr| Pyrazoles/majr/toxicity| Pyrethrins/majr/toxicity| Pyrimidinones/majr/toxicity| Seasons| Species Specificity</t>
  </si>
  <si>
    <t>Barden SA, Held DW, Graham LC</t>
  </si>
  <si>
    <t>2009-16</t>
  </si>
  <si>
    <t>Occurrence of fipronil and its biologically active derivatives in urban residential runoff.</t>
  </si>
  <si>
    <t>Gan J, Bondarenko S, Oki L, Haver D, Li JX</t>
  </si>
  <si>
    <t>1489-95</t>
  </si>
  <si>
    <t>[Prevention of tick borne diseases].</t>
  </si>
  <si>
    <t>[Prevention of tick borne diseases].    ABSTRACT:  NOABSTRACT. No abstract found.  KEYWORDS:  MeSH Chemical: Acaricides| Pyrazoles| Toluidines| amitraz| fipronil MeSH: | Acaricides/majr/pharmacology| Animals| Animals, Domestic| Animals, Wild| Cat Diseases/prevention &amp; control| Cats| Dog Diseases/prevention &amp; control| Dogs| Drug Synergism| Pyrazoles/majr/pharmacology| Tick Control/majr| Tick-Borne Diseases/majr/prevention &amp; control/veterinary| Ticks/majr/drug effects/growth &amp; development| Toluidines/majr/pharmacology</t>
  </si>
  <si>
    <t>Bouman M</t>
  </si>
  <si>
    <t>Tijdschrift voor diergeneeskunde</t>
  </si>
  <si>
    <t>898</t>
  </si>
  <si>
    <t>Toxicokinetic of benzo[a]pyrene and fipronil in female green frogs (Pelophylax kl. esculentus).</t>
  </si>
  <si>
    <t>Toxicokinetic of benzo[a]pyrene and fipronil in female green frogs (Pelophylax kl. esculentus).    ABSTRACT:  A general consensus that an increased logK(ow) led to an increase in xenobiotic uptake and bioaccumulation is accepted. In this study we compared the toxicokinetics of two chemically different xenobiotics, i.e. benzo[a]pyrene and fipronil in female green frogs. Surprisingly, the uptake rates and the bioconcentration factors (BCF) of the two contaminants were not predicted by their logK(ow). The uptake rates obtained were of the same order of magnitude for the two contaminants and the BCFs measured for fipronil were about 3-fold higher than those obtained for benzo[a]pyrene. Fipronil appeared to be more recalcitrant than benzo[a]pyrene to detoxification processes leading to the accumulation of sulfone-fipronil especially in the ovaries. This phenomenon may explain reproductive influence of this contaminant described in other studies. Detoxification processes, including metabolism and the excretion of pollutants, are of importance when considering their persistence in aquatic organisms and trying to quantify their risks.Copyright © 2011 Elsevier Ltd. All rights reserved.  KEYWORDS:  MeSH Chemical: Hazardous Substances| Insecticides| Pyrazoles| Xenobiotics| Benzo(a)pyrene| fipronil MeSH: | Animals| Benzo(a)pyrene/majr/metabolism/toxicity| Female| Hazardous Substances/majr/metabolism/toxicity| Insecticides/majr/metabolism/toxicity| Pyrazoles/majr/metabolism/toxicity| Rana esculenta/majr/physiology| Xenobiotics/metabolism/toxicity</t>
  </si>
  <si>
    <t>Reynaud S, Worms IA, Veyrenc S, Portier J, Maitre A, Miaud C, Raveton M</t>
  </si>
  <si>
    <t>In vitro effect of pesticides on the germination, vegetative growth, and conidial production of two strains of Metarhizium anisopliae.</t>
  </si>
  <si>
    <t>Schumacher V, Poehling HM</t>
  </si>
  <si>
    <t>Fungal biology</t>
  </si>
  <si>
    <t>121-32</t>
  </si>
  <si>
    <t>Evaluation of a Localized Treatment Technique Using Three Ready-to-Use Products Against the Drywood Termite Incisitermes snyderi (Kalotermitidae) in Naturally Infested Lumber.</t>
  </si>
  <si>
    <t>Evaluation of a Localized Treatment Technique Using Three Ready-to-Use Products Against the Drywood Termite Incisitermes snyderi (Kalotermitidae) in Naturally Infested Lumber.    ABSTRACT:  Twenty-one boards infested with drywood termites were examined for activity using a Termatrac® motion detector. Termite galleries were identified using a Resistograph drill and treated with one of three ready-to-use (RTU) products. Results indicated that the Termatrac was excellent at locating termite activity but provided 9.5% false negatives. The Resistograph located termite galleries with an average of 4.6 ± 2.7 holes drilled to find at least one gallery in a board. Treatments included three formulations and two active ingredients; a foam (imidacloprid), a dry (fipronil) and an experimental formulation in a pressurized can (fipronil). All treatments provided evidence for a reduction in mean termite populations per board compared to the control. Two treatments provided evidence of elimination of infestation but no formulation eliminated infestations in every board that was treated. The concept of local treatment for drywood termite control is discussed relative to our results.  KEYWORDS:  Other:isoptera|management|termite detection device</t>
  </si>
  <si>
    <t>Hickman R, Forschler BT</t>
  </si>
  <si>
    <t>25-40</t>
  </si>
  <si>
    <t>Wash off of imidacloprid and fipronil from turf and concrete surfaces using simulated rainfall.</t>
  </si>
  <si>
    <t>Thuyet DQ, Jorgenson BC, Wissel-Tyson C, Watanabe H, Young TM</t>
  </si>
  <si>
    <t>414</t>
  </si>
  <si>
    <t>515-24</t>
  </si>
  <si>
    <t>[Determination of fipronil and its metabolites in tea by solid-phase microextraction coupled with gas chromatography and gas chromatography-mass spectrometry].</t>
  </si>
  <si>
    <t>[Determination of fipronil and its metabolites in tea by solid-phase microextraction coupled with gas chromatography and gas chromatography-mass spectrometry].    ABSTRACT:  An effective multi-residue method for the trace analysis of fipronil and four metabolites (fipronil-desulfinyl, fipronil-sulfide, fipronil-sulfone and fipronil-carboxamide) in tea was developed based on solid-phase microextraction coupled with gas chromatography (SPME-GC). The targets were extracted with a fused-silica fiber coated with 85 microm polyacrylate (PA). The extraction was performed in a pH 9 buffer (containing 0.1 mol/L boracic acid, 0.1 mol/L KCI and 0.1 mol/L NaOH) at 60 degrees C and under 2500 r/min for 30 min. With the concentration range of 2-10 microg/kg, the recoveries ranged from 71.2% to 109.3% and the relative standard deviations (RSDs) were lower than 10% (n = 6). The limits of detection (LODs) and limits of quantitation (LOQs) of the studied compounds ranged from 0.3 microg/kg to 1.2 microg/kg and 1.0 microg/kg to 4.0 microg/kg, respectively, with the values well below the residue limits set by Japan, European Union and China. By the proposed method, 1 positive samples of 30 tea samples were found with fipronil and fipronil-sulfone. The identification of the method was done by gas chromatography-mass spectrometry (GC-MS). The method can be applied as a monitoring tool for tea, in the investigation of food to fipronil and its metabolites.  KEYWORDS:  MeSH Chemical: Insecticides| Pyrazoles| Tea| fipronil MeSH: | Chromatography, Gas/majr/methods| Food Contamination/majr/analysis| Gas Chromatography-Mass Spectrometry/majr/methods| Insecticides/analysis/metabolism| Pyrazoles/majr/analysis/metabolism| Solid Phase Microextraction/methods| Tea/majr/chemistry</t>
  </si>
  <si>
    <t>Zhou Y, Xu D, Chen D, Zhang Z, Zheng X, Fang E</t>
  </si>
  <si>
    <t>656-61</t>
  </si>
  <si>
    <t>Comparative efficacy on dogs of a single topical treatment with the pioneer fipronil/(S)-methoprene and an oral treatment with spinosad against Ctenocephalides felis.</t>
  </si>
  <si>
    <t>Beugnet F, Doyle V, Murray M, Chalvet-Monfray K</t>
  </si>
  <si>
    <t>325-31</t>
  </si>
  <si>
    <t>Study of the sustained speed of kill of the combination of fipronil/amitraz/(S)-methoprene and the combination of imidacloprid/permethrin against Dermacentor reticulatus, the European dog tick.</t>
  </si>
  <si>
    <t>Fourie JJ, Beugnet F, Ollagnier C, Pollmeier MG</t>
  </si>
  <si>
    <t>319-23</t>
  </si>
  <si>
    <t>Effects of the commercial formulation containing fipronil on the non-target organism Cyprinus carpio: implications for rice-fish cultivation.</t>
  </si>
  <si>
    <t>Clasen B, Loro VL, Cattaneo R, Moraes B, Lópes T, de Avila LA, Zanella R, Reimche GB, Baldisserotto B</t>
  </si>
  <si>
    <t>45-51</t>
  </si>
  <si>
    <t>Toxicity and horizontal transfer of chlorantraniliprole against the Asian subterranean termite Coptotermes gestroi (Wasmann): effects of donor:recipient ratio, exposure duration and soil type.</t>
  </si>
  <si>
    <t>Toxicity and horizontal transfer of chlorantraniliprole against the Asian subterranean termite Coptotermes gestroi (Wasmann): effects of donor:recipient ratio, exposure duration and soil type.    ABSTRACT:  The effectiveness of chlorantraniliprole and other insecticides (bifenthrin, fipronil, indoxacarb, imidacloprid and chlorfenapyr) were tested against Coptotermes gestroi (Wasmann). Four experiments were conducted: a topical bioassay, a horizontal transfer study, an insecticide bioavailability test and a feeding bioassay.The topical bioassay showed that chlorantraniliprole was significantly less active to C. gestroi at 24 h post-treatment compared with the other insecticides tested. Nevertheless, it is likely that a lesser amount of chlorantraniliprole was required to cause 50% mortality of C. gestroi at 7 and 14 days post-treatment. The exposure duration and donor:recipient ratio affect the mortality of recipient termites. Mortality after exposure to chlorantraniliprole in sandy clay was significantly lower than in sand; however, by 14 days, &gt; 90% of donor and recipient termites died in both substrates, irrespective of concentration. Fipronil and imidacloprid showed faster action, and high to moderate toxicity to C. gestroi. Termite workers also ceased to feed after exposure for 1 h to 50 mg kg(-1) chlorantraniliprole-treated sandy clay.Chlorantraniliprole demonstrated delayed toxicity at the lowest label rate (50 mg kg(-1) ) in sandy clay. Its slow action will enable greater transfer of toxicant between nestmates, while feeding cessation will promote greater social interaction between healthy and exposed termites.Copyright © 2011 Society of Chemical Industry.  KEYWORDS:  MeSH Chemical: Insecticides| Soil| ortho-Aminobenzoates| chlorantranilipole MeSH: | Animals| Insecticides/majr/toxicity| Isoptera/majr/drug effects| Soil/majr/chemistry/parasitology| Time Factors| ortho-Aminobenzoates/majr/toxicity</t>
  </si>
  <si>
    <t>Neoh KB, Hu J, Yeoh BH, Lee CY</t>
  </si>
  <si>
    <t>749-56</t>
  </si>
  <si>
    <t>Pharmacological characterization of the Haemonchus contortus GABA-gated chloride channel, Hco-UNC-49: modulation by macrocyclic lactone anthelmintics and a receptor for piperazine.</t>
  </si>
  <si>
    <t>Brown DD, Siddiqui SZ, Kaji MD, Forrester SG</t>
  </si>
  <si>
    <t>2-4</t>
  </si>
  <si>
    <t>201-9</t>
  </si>
  <si>
    <t>Detection of pesticides in active and depopulated beehives in Uruguay.</t>
  </si>
  <si>
    <t>Detection of pesticides in active and depopulated beehives in Uruguay.    ABSTRACT:  The influence of insecticides commonly used for agricultural purposes on beehive depopulation in Uruguay was investigated. Honeycombs, bees, honey and propolis from depopulated hives were analyzed for pesticide residues, whereas from active beehives only honey and propolis were evaluated. A total of 37 samples were analyzed, representing 14,800 beehives. In depopulated beehives only imidacloprid and fipronil were detected and in active beehives endosulfan, coumaphos, cypermethrin, ethion and chlorpyrifos were found. Coumaphos was present in the highest concentrations, around 1,000 μg/kg, in all the propolis samples from active beehives. Regarding depopulated beehives, the mean levels of imidacloprid found in honeycomb (377 μg/kg, Standard Deviation: 118) and propolis (60 μg/kg, Standard Deviation: 57) are higher than those described to produce bee disorientation and fipronil levels detected in bees (150 and 170 μg/kg) are toxic per se. The other insecticides found can affect the global fitness of the bees causing weakness and a decrease in their overall productivity. These preliminary results suggest that bees exposed to pesticides or its residues can lead them in different ways to the beehive.  KEYWORDS:  MeSH Chemical: Insecticides| Pesticide Residues| Propolis MeSH: | Animals| Bees/majr| Chromatography, Gas| Chromatography, Gel| Chromatography, High Pressure Liquid| Colony Collapse/majr/chemically induced/epidemiology| Environmental Monitoring/majr/methods| Epidemiological Monitoring| Honey/analysis| Insecticides/majr/analysis/toxicity| Limit of Detection| Pesticide Residues/majr/analysis| Propolis/analysis| Uruguay/epidemiology Other:bee products|beehive depopulation|honeybees|insecticides</t>
  </si>
  <si>
    <t>Pareja L, Colazzo M, Pérez-Parada A, Niell S, Carrasco-Letelier L, Besil N, Cesio MV, Heinzen H</t>
  </si>
  <si>
    <t>3844-58</t>
  </si>
  <si>
    <t>Lethal and sublethal toxicity of fipronil and imidacloprid on Psyttalia concolor (Hymenoptera: Braconidae).</t>
  </si>
  <si>
    <t>Lethal and sublethal toxicity of fipronil and imidacloprid on Psyttalia concolor (Hymenoptera: Braconidae).    ABSTRACT:  Psyttalia concolor (Szèpligeti) (Hymenoptera: Braconidae) is a koinobiont endoparasitoid of several species of tephritid (Diptera) larvae, such as Bactrocera oleae (Gmelin) and Ceratitis capitata (Wiedemann). Here, we report on the effects of imidacloprid and fipronil on P. concolor females, when different routes of exposure were evaluated: residual contact (cover and bait sprays) and via treatment of host species. Moreover, the persistence of the bait formulated compound also was studied. For each experiment, lethal (mortality) and sublethal effects (parasitization rate or longevity) were studied. Fipronil produced 100% mortality irrespective of exposure route, and it was very persistent, because 34-d-old residues still produced this high mortality rate, being as toxic or even more toxic than the reference product dimethoate. Toxicity of imidacloprid depends on the mode of exposure, although always remained less toxic than dimethoate. Imidacloprid caused high mortality or sublethal effect to the progeny in cover sprays and when applied via treated host, being harmless in bait sprays application. In conclusion, our results suggest that fipronil should not be used in the field when the parasitoid is present. On the contrary, although imidacloprid is physiologically active against females of P. concolor, ecological selectivity may result through the use of bait treatment.  KEYWORDS:  MeSH Chemical: Imidazoles| Insecticides| Neonicotinoids| Nitro Compounds| Pyrazoles| imidacloprid| fipronil MeSH: | Animals| Female| Host-Parasite Interactions| Hymenoptera/majr/physiology| Imidazoles/majr/administration &amp; dosage/toxicity| Insecticides/majr/administration &amp; dosage/toxicity| Neonicotinoids| Nitro Compounds/majr/administration &amp; dosage/toxicity| Pyrazoles/majr/administration &amp; dosage/toxicity| Reproduction| Tephritidae/parasitology/physiology| Toxicity Tests, Acute/majr/methods</t>
  </si>
  <si>
    <t>Adán A, Viñuela E, Bengochea P, Budia F, Del Estal P, Aguado P, Medina P</t>
  </si>
  <si>
    <t>1541-9</t>
  </si>
  <si>
    <t>Adsorption, transport and degradation of fipronil termiticide in three Hawaii soils.</t>
  </si>
  <si>
    <t>Adsorption, transport and degradation of fipronil termiticide in three Hawaii soils.    ABSTRACT:  The behavior of the termiticide fipronil in soils was studied to assess its potential to contaminate ground and surface water. This study characterizes (1) adsorption of fipronil in three different soils, (2) transport of fipronil through leaching and runoff under simulated rainfall in these soils and (3) degradation of fipronil to fipronil sulfide and fipronil sulfone in these soils.The adsorption experiments showed a Freundlich isotherm for fipronil with K(oc) equal to 1184 L kg(-1) . In the leaching experiments, the concentration of fipronil and its metabolites in leachate and runoff decreased asymptotically with time. The concentration of fipronil in the leachate from the three soils correlated inversely with soil organic carbon content. The degradation experiment showed that the half-life of fipronil in the soils ranged from 28 to 34 days when soil moisture content was 75% of field capacities, and that 10.7-23.5% of the degraded fipronil was transformed into the two metabolites (fipronil sulfide and fipronil sulfone).Fipronil showed large losses through leaching but small losses via runoff owing to low volumes of runoff water generated and/or negligible particle-facilitated transport of fipronil. The half-life values of fipronil in all three soils were similar.Copyright © 2011 Society of Chemical Industry.  KEYWORDS:  MeSH Chemical: Insecticides| Pyrazoles| Soil| Soil Pollutants| fipronil MeSH: | Adsorption| Half-Life| Hawaii| Insecticides/majr/chemistry| Pyrazoles/majr/chemistry| Soil/chemistry| Soil Pollutants/majr/chemistry</t>
  </si>
  <si>
    <t>Shuai X, Chen J, Ray C</t>
  </si>
  <si>
    <t>731-9</t>
  </si>
  <si>
    <t>TBHP-mediated oxidative thiolation of an sp3 C-H bond adjacent to a nitrogen atom in an amide.</t>
  </si>
  <si>
    <t xml:space="preserve">TBHP-mediated oxidative thiolation of an sp3 C-H bond adjacent to a nitrogen atom in an amide.    ABSTRACT:  The first example of molecular sieve-promoted TBHP-mediated direct oxidative thiolation of an sp(3) C-H bond adjacent to a nitrogen atom with disulfides under metal-free conditions, which allows for preparation of numerous S,N-containing compounds, is presented. Moreover, diverse benzothiazoles and a fipronil analog can be synthesized through this strategy.This journal is © The Royal Society of Chemistry 2011  KEYWORDS: </t>
  </si>
  <si>
    <t>Tang RY, Xie YX, Xie YL, Xiang JN, Li JH</t>
  </si>
  <si>
    <t>12867-9</t>
  </si>
  <si>
    <t>Mechanism of action of the insecticides, lindane and fipronil, on glycine receptor chloride channels.</t>
  </si>
  <si>
    <t>Islam R, Lynch JW</t>
  </si>
  <si>
    <t>2707-20</t>
  </si>
  <si>
    <t>Synthesis of glucose-fipronil conjugate and its phloem mobility.</t>
  </si>
  <si>
    <t>Synthesis of glucose-fipronil conjugate and its phloem mobility.    ABSTRACT:  Phloem-mobile insecticides are preferred to achieve economically useful activity. However, only a few phloem-mobile synthetic insecticides are available. One approach to converting nonmobile insecticides into phloem-mobile types is introducing sugar to the parent compound. To test whether the addition of a glucose group to a non-phloem-mobile insecticide enables conversion into phloem-mobile, N-[3-cyano-1-[2,6-dichloro-4-(trifluoromethyl)phenyl]-4-[(trifluoromethyl)sulfinyl]-1H-pyrazol-5-yl]-1-(β-D-glucopyranosyl)-1H-1,2,3-triazole-4-methanamine (GTF) was prepared through click chemistry. A phloem-mobility test in Ricinus communis L. seedlings confirmed that GTF was mobile in the sieve tubes. Although GTF exhibited lower insecticidal activity against the third-instar larvae of Pzlutella xylostella than fipronil did, it can be reconverted into fipronil in adult plants of castor bean, thereby offsetting the decrease of insecticidal activity. Therefore, the presence of a glucose core confers phloem mobility to fipronil.  KEYWORDS:  MeSH Chemical: Glucosides| Insecticides| N-(3-cyano-1-(2,6-dichloro-4-(trifluoromethyl)phenyl)-4-((trifluoromethyl)sulfinyl)-1H-pyrazol-5-yl)-1-(beta-D-glucopyranosyl)-1H-1,2,3-triazole-4-methanamine| Pyrazoles| Triazoles| Glucose| fipronil MeSH: | Animals| Castor Bean| Glucose/majr/chemistry| Glucosides/majr/chemical synthesis/chemistry| Insecticides/majr/chemical synthesis/metabolism| Larva| Molecular Structure| Moths| Phloem/majr/metabolism| Pyrazoles/majr/chemical synthesis/chemistry| Triazoles/majr/chemical synthesis/chemistry</t>
  </si>
  <si>
    <t>Yang W, Wu HX, Xu HH, Hu AL, Lu ML</t>
  </si>
  <si>
    <t>12534-42</t>
  </si>
  <si>
    <t>Identification and expression of the ecdysone receptor in the harpacticoid copepod, Amphiascus tenuiremis, in response to fipronil.</t>
  </si>
  <si>
    <t>Gaertner K, Chandler GT, Quattro J, Ferguson PL, Sabo-Attwood T</t>
  </si>
  <si>
    <t>Evaluation of a modified QuEChERS extraction of multiple classes of pesticides from a rice paddy soil by LC-APCI-MS/MS.</t>
  </si>
  <si>
    <t>Evaluation of a modified QuEChERS extraction of multiple classes of pesticides from a rice paddy soil by LC-APCI-MS/MS.    ABSTRACT:  A new method for the determination of clomazone, fipronil, tebuconazole, propiconazole, and azoxystrobin in samples of rice paddy soil is presented. The extraction of the pesticides from soil samples was performed by using a modified quick, easy, cheap, effective, rugged, and safe (QuEChERS) method. Some extraction conditions such as salt addition, sample acidification, use of buffer, and cleanup step were evaluated. The optimized method dealt with a single extraction of the compounds under study with acidified acetonitrile, followed by the addition of MgSO(4) and NaCl prior to the final determination by liquid chromatography-atmospheric chemical pressure ionization-tandem mass spectrometry. Validation studies were carried out in soil samples. Recoveries of the spiked samples ranged between 70.3 and 120% with relative standard deviation lower than 18.2%. The limits of quantification were between 10 and 50 μg kg(-1). The method was applied to the analysis of real samples of soils where rice is cultivated.  KEYWORDS:  MeSH Chemical: Pesticide Residues| Soil Pollutants MeSH: | Chemical Fractionation/majr/methods| Chromatography, High Pressure Liquid| Oryza/growth &amp; development| Pesticide Residues/majr/analysis/isolation &amp; purification| Sensitivity and Specificity| Soil Pollutants/majr/analysis/isolation &amp; purification| Tandem Mass Spectrometry</t>
  </si>
  <si>
    <t>Caldas SS, Bolzan CM, Cerqueira MB, Tomasini D, Furlong EB, Fagundes C, Primel EG</t>
  </si>
  <si>
    <t>11918-26</t>
  </si>
  <si>
    <t>Differences in susceptibility of five cladoceran species to two systemic insecticides, imidacloprid and fipronil.</t>
  </si>
  <si>
    <t>Hayasaka D, Korenaga T, Suzuki K, Sánchez-Bayo F, Goka K</t>
  </si>
  <si>
    <t>421-7</t>
  </si>
  <si>
    <t>Insecticide resistance in bedbugs in Thailand and laboratory evaluation of insecticides for the control of Cimex hemipterus and Cimex lectularius (Hemiptera: Cimicidae).</t>
  </si>
  <si>
    <t>Tawatsin A, Thavara U, Chompoosri J, Phusup Y, Jonjang N, Khumsawads C, Bhakdeenuan P, Sawanpanyalert P, Asavadachanukorn P, Mulla MS, Siriyasatien P, Debboun M</t>
  </si>
  <si>
    <t>Differential resistance and cross-resistance to three phenylpyrazole insecticides in the planthopper Nilaparvata lugens (Hemiptera: Delphacidae).</t>
  </si>
  <si>
    <t>Differential resistance and cross-resistance to three phenylpyrazole insecticides in the planthopper Nilaparvata lugens (Hemiptera: Delphacidae).    ABSTRACT:  Cross-resistance to two fipronil analogs, butene-fipronil and ethiprole, was detected in fipronil-resistant field populations and a resistant laboratory strain of the planthopper Nilaparvata lugens (Stål) (Hemiptera: Delphacidae), although the two analogs have not been used widely in rice-growing areas in China. The results showed that six field populations with 23.8-43.3-fold resistance to fipronil had reached a higher level of cross-resistance to ethiprole (resistance ratio [RR] = 47.1-100.9-fold) and had a minor level of cross-resistance (RR = 3.4- 8.1-fold) to butene-fipronil. After 10 generations of selection, the RR to fipronil increased from 7.3-fold to 41.3-fold. At the same time, the insect increased cross-RR to ethiprole from 16.3-fold to 65.6-fold, whereas it had only minor increase in cross-resistance to butene-fipronil from 2.8-fold to 4.0-fold. These results confirmed that fipronil-resistant N. lugens could develop a higher level of cross-resistance to ethiprole, although it still maintained a lower level cross-resistance to butene-fipronil. Our data suggest that ethiprole is not a suitable alternative for controlling N. lugens, once the insect has developed a high level resistance to fipronil. Further investigation is necessary to understand the cross-resistance mechanisms in N. lugens.  KEYWORDS:  MeSH Chemical: 1-(2,6-dichloro-alpha,alpha,alpha-trifluoro-p-tolyl)-5-(2-methylamino)-4-(trifluoromethylsulfinyl)pyrazole-3-carbonitrile| Hydrocarbons, Halogenated| Insecticides| Pyrazoles| ethiprole| fipronil MeSH: | Animals| Hemiptera/majr| Hydrocarbons, Halogenated| Insecticide Resistance| Insecticides/majr| Molecular Structure| Pyrazoles</t>
  </si>
  <si>
    <t>Zhao X, Ning Z, He Y, Shen J, Su J, Gao C, Zhu YC</t>
  </si>
  <si>
    <t>1364-8</t>
  </si>
  <si>
    <t>Use of systemic fipronil and imidacloprid to control regeneration pests of loblolly pine.</t>
  </si>
  <si>
    <t>Use of systemic fipronil and imidacloprid to control regeneration pests of loblolly pine.    ABSTRACT:  Regeneration pests of loblolly pine (Pinus taeda L.) threaten growth and survival in intensively managed loblolly pine plantations throughout the southeastern United States. The Nantucket pine tip moth, Rhyacionia frustrana (Comstock), in particular, often reduces growth of loblolly pine but has been difficult to control with traditional insecticides due to multiple annual generations and multi-year infestations which are difficult to predict in timing and location. Relatively new systemic insecticide products offer a solution in that their efficacy persists through multiple generations and years after a single application. Efficacy of systemic imidacloprid and fipronil were evaluated side by side across multiple sites in Virginia. Significant reductions in Nantucket pine tip moth damage were noted in trees treated with either the imidacloprid or fipronil product compared with check trees. After 2 yr, growth improvement of treated trees relative to controls was modest and not significant at all sites, but per acre volume indices were significantly greater in treated blocks as a result of higher tree survival. Reduced seedling mortality was attributed primarily to prevention of damage by pales weevil, Hylobius pales Herbst (Coleoptera: Curculionidae), by both insecticide treatments. Control of pales weevil in addition to pine tip moth suggests that systemic insecticide products with a long window of efficacy might control additional nontargeted pests.  KEYWORDS:  MeSH Chemical: Imidazoles| Insecticides| Neonicotinoids| Nitro Compounds| Pyrazoles| imidacloprid| fipronil MeSH: | Animals| Imidazoles/majr| Insect Control/majr/methods| Insecticides/majr| Moths/majr| Neonicotinoids| Nitro Compounds/majr| Pinus taeda/majr/parasitology| Pyrazoles/majr| Weevils</t>
  </si>
  <si>
    <t>Asaro C, Creighton J</t>
  </si>
  <si>
    <t>1272-9</t>
  </si>
  <si>
    <t>Differences in ecological impacts of systemic insecticides with different physicochemical properties on biocenosis of experimental paddy fields.</t>
  </si>
  <si>
    <t>Hayasaka D, Korenaga T, Sánchez-Bayo F, Goka K</t>
  </si>
  <si>
    <t>191-201</t>
  </si>
  <si>
    <t>Susceptibility of sylvatic Triatoma infestans from Andeans valleys of Bolivia to deltamethrin and fipronil.</t>
  </si>
  <si>
    <t>Susceptibility of sylvatic Triatoma infestans from Andeans valleys of Bolivia to deltamethrin and fipronil.    ABSTRACT:  We describe the susceptibility to deltamethrin and fipronil of four sylvatic Triatoma infestans populations from the Andean valleys of Bolivia. Fifty percent lethal doses were determined from topical application of insecticide on first instars, and mortality was assessed after 24 h for deltamethrin and 48 h for fipronil. In comparison with a reference strain from Argentina, the Bolivian populations showed deltamethrin 50 percent lethal dose ratios ranging from 1.9 to 17.4. In the case of fipronil, an insecticide never used for control of T. infestans, the Bolivian populations showed even higher variation in toxic response, with relative susceptibilities ranging from 0.5 to 139.2. However, although the sylvatic T infestans toxicological profiles differ from each other and from those of the domiciliary population studied in this work, there were no significant differences in the activities of P450 mono-oxygenases and pyrethroid esterases between the reference strain and the studied populations.  KEYWORDS:  MeSH Chemical: Insecticides| Nitriles| Pyrazoles| Pyrethrins| decamethrin| Cytochrome P-450 Enzyme System| Esterases| fipronil MeSH: | Animals| Argentina| Bolivia| Cytochrome P-450 Enzyme System/metabolism| Environment| Esterases/metabolism| Insecticide Resistance/majr| Insecticides/majr/pharmacology| Lethal Dose 50| Nitriles/majr/pharmacology| Pyrazoles/majr/pharmacology| Pyrethrins/majr/pharmacology| Triatoma/majr/drug effects</t>
  </si>
  <si>
    <t>Roca Acevedo G, Cueto GM, Germano M, Orihuela PS, Cortez MR, Noireau F, Picollo MI, Vassena C</t>
  </si>
  <si>
    <t>828-35</t>
  </si>
  <si>
    <t>Fipronil (active ingredient of acaricide Frontline®) acting on the mice thyroid.</t>
  </si>
  <si>
    <t>Fipronil (active ingredient of acaricide Frontline®) acting on the mice thyroid.    ABSTRACT:  Fipronil, active ingredient of Frontline® acaricide, is a phenyl-pyrazolic derivative, and its efficacy in the elimination of several plagues, even in lower concentrations, has already been demonstrated; however, its effect on nontarget organisms has not been thoroughly explained. In this sense, the present study had the objective to evaluate the effects of different doses of fipronil in mice and determine its cytotoxic potential and possible compromises on nontarget organisms in artificial conditions. The results showed that animals exposed to fipronil presented significant alterations in the thyroidean tissue with evident follicular disorganization, decreased in the size of most follicles culminating with the rupture of smaller follicles and still with posterior fusion in a big and irregular "follicle" filled with colloid. The present study also revealed that the action of fipronil not only causes disorganization in the thyroidean tissue but alsoalters the chemical composition of the colloid itself (prehormone), modifying its proteic basis, which was confirmed by histochemical test for protein detection, making it clear that, in thyroids exposed to fipronil, the colloid was weakly positive or even negative for the presence of proteins in its constitution.Copyright © 2011 Wiley Periodicals, Inc.  KEYWORDS:  MeSH Chemical: Insecticides| Pyrazoles| fipronil MeSH: | Animals| Female| Insecticides/majr/toxicity| Mice| Pyrazoles/majr/toxicity| Thyroid Gland/majr/drug effects/metabolism/pathology</t>
  </si>
  <si>
    <t>Ferreira M, De Oliveira PR, Denardi SE, Bechara GH, Mathias MI</t>
  </si>
  <si>
    <t>Microscopy research and technique</t>
  </si>
  <si>
    <t>265-70</t>
  </si>
  <si>
    <t>Occurrence and toxicity of three classes of insecticides in water and sediment in two Southern California coastal watersheds.</t>
  </si>
  <si>
    <t>Occurrence and toxicity of three classes of insecticides in water and sediment in two Southern California coastal watersheds.    ABSTRACT:  The occurrence of chlorpyrifos, diazinon, pyrethroids, and fipronil was investigated in two watersheds along the southern California coast. Paired surface water and sediment samples were collected under dry and wet (after significant rain events) weather conditions. Insecticide concentrations in water and sediment were higher following rain events than during the dry season. Chlorpyrifos was the most frequently detected compound (&gt;88%). Pyrethroids were detected in 74 and 100% of the water and sediment samples, respectively, with bifenthrin detected most frequently. Trans-permethrin was detected at the highest concentration followed by bifenthrin. Bifenthrin and trans-permethrin water concentrations were significantly correlated (P &lt; 0.01) with the suspended solid level, suggesting transport facilitated by suspended particles. In 80% of the wet season samples with 100% of Ceriodaphnia dubia mortality, chlorpyrifos concentrations were &gt;100 ng L(-1). Sediment pyrethroid levels (0.5-1100 ng g(-1)) were frequently higher than the respective Hyalella azteca LC(50) values, with bifenthrin as the primary contributor of H. azteca toxicity.  KEYWORDS:  MeSH Chemical: Agrochemicals| Insecticides| Pyrazoles| Pyrethrins| Water Pollutants, Chemical| Chlorpyrifos| fipronil| Diazinon MeSH: | Agrochemicals| Animals| California| Chlorpyrifos/analysis/toxicity| Cladocera/drug effects| Diazinon/analysis/toxicity| Geologic Sediments/majr/chemistry| Insecticides/majr/analysis/toxicity| Pyrazoles/analysis/toxicity| Pyrethrins/analysis/toxicity| Rivers/chemistry| Seasons| Water Pollutants, Chemical/majr/analysis/toxicity</t>
  </si>
  <si>
    <t>Delgado-Moreno L, Lin K, Veiga-Nascimento R, Gan J</t>
  </si>
  <si>
    <t>9448-56</t>
  </si>
  <si>
    <t>Efficacy of fipronil, amitraz and (S)-methoprene combination spot-on for dogs against adult dog fleas (Ctenocephalides canis, Curtis, 1826).</t>
  </si>
  <si>
    <t>Efficacy of fipronil, amitraz and (S)-methoprene combination spot-on for dogs against adult dog fleas (Ctenocephalides canis, Curtis, 1826).    ABSTRACT:  A novel spot-on formulation combining fipronil, amitraz and (S)-methoprene (CERTIFECT™, Merial Limited, GA, USA) was evaluated in adult Beagle dogs in a study to determine its adulticidal efficacy against the dog flea (Ctenocephalides canis, Curtis, 1826). Sixteen dogs were randomly allocated to treatment groups: 8 dogs served as untreated controls, and 8 dogs were treated once. Treatment consisted of applying a new combination formulation to deliver at least 6.7mg fipronil/kg body weight (bw), 8.0mg amitraz/kg bw, and 6.0mg (S)-methoprene/kg bw. The combination was designed to enhance the efficacy against ticks of the original fipronil/(S)-methoprene combination. Each dog was infested with 100 adult unfed dog fleas within 24h prior to treatment and then at weekly intervals for 8 weeks after treatment. At 24h after treatment or after each subsequent infestation, each dog was combed thoroughly to remove live fleas to be counted. A single treatment with CERTIFECT provided excellent knock-down of fleas within 24h after treatment and controlled re-infestations for up to 7 weeks (efficacy ≥96.5%, p&lt;0.05).Copyright © 2011 Elsevier B.V. All rights reserved.  KEYWORDS:  MeSH Chemical: Drug Combinations| Insecticides| Pyrazoles| Toluidines| amitraz| Methoprene| fipronil MeSH: | Administration, Topical| Animals| Ctenocephalides/majr/drug effects/physiology| Dog Diseases/majr/drug therapy/parasitology/prevention &amp; control| Dogs| Drug Combinations| Female| Flea Infestations/majr/drug therapy/parasitology/prevention &amp; control/veterinary| Insecticides/majr/pharmacology/therapeutic use| Male| Methoprene/pharmacology/therapeutic use| Pyrazoles/pharmacology/therapeutic use| Tick Control/methods| Time Factors| Toluidines/pharmacology/therapeutic use| Treatment Outcome</t>
  </si>
  <si>
    <t>Bouhsira E, Yoon SS, Roques M, Manavella C, Vermot S, Cramer LG, Ollagnier C, Franc M</t>
  </si>
  <si>
    <t>351-3</t>
  </si>
  <si>
    <t>The prevention of transmission of Babesia canis canis by Dermacentor reticulatus ticks to dogs using a novel combination of fipronil, amitraz and (S)-methoprene.</t>
  </si>
  <si>
    <t>Jongejan F, Fourie JJ, Chester ST, Manavella C, Mallouk Y, Pollmeier MG, Baggott D</t>
  </si>
  <si>
    <t>343-50</t>
  </si>
  <si>
    <t>The ability of a topical novel combination of fipronil, amitraz and (S)-methoprene to protect dogs from Borrelia burgdorferi and Anaplasma phagocytophilum infections transmitted by Ixodes scapularis.</t>
  </si>
  <si>
    <t>McCall JW, Baker CF, Mather TN, Chester ST, McCall SD, Irwin JP, Young SL, Cramer LG, Pollmeier MG</t>
  </si>
  <si>
    <t>335-42</t>
  </si>
  <si>
    <t>Efficacy of a novel combination of fipronil, amitraz and (S)-methoprene for treatment and control of tick species infesting dogs in Europe.</t>
  </si>
  <si>
    <t>Baggott D, Ollagnier C, Yoon SS, Collidor N, Mallouk Y, Cramer LG</t>
  </si>
  <si>
    <t>330-4</t>
  </si>
  <si>
    <t>Efficacy of a novel topical combination of fipronil, amitraz and (S)-methoprene for treatment and control of induced infestations with four North American tick species (Dermacentor variabilis, Ixodes scapularis, Amblyomma americanum and Amblyomma maculatum) on dogs.</t>
  </si>
  <si>
    <t>Baker CF, Hunter JS, McCall JW, Young DR, Hair JA, Everett WR, Yoon SS, Irwin JP, Young SL, Cramer LG, Pollmeier MG, Prullage JB</t>
  </si>
  <si>
    <t>324-9</t>
  </si>
  <si>
    <t>Efficacy of a novel topical combination of fipronil, amitraz and (S)-methoprene for treatment and control of induced infestations of brown dog ticks (Rhipicephalus sanguineus) on dogs.</t>
  </si>
  <si>
    <t>Hunter JS, Baggott D, Everett WR, Fourie JJ, Cramer LG, Yoon SS, Collidor N, Mallouk Y, Lee L, Blair J, Prullage JB</t>
  </si>
  <si>
    <t>318-23</t>
  </si>
  <si>
    <t>The prevention of attachment and the detachment effects of a novel combination of fipronil, amitraz and (S)-methoprene for Rhipicephalus sanguineus and Dermacentor variabilis on dogs.</t>
  </si>
  <si>
    <t>Prullage JB, Hair JA, Everett WR, Yoon SS, Cramer LG, Franke S, Cornelison K, Hunter JS</t>
  </si>
  <si>
    <t>311-7</t>
  </si>
  <si>
    <t>The combined mode of action of fipronil and amitraz on the motility of Rhipicephalus sanguineus.</t>
  </si>
  <si>
    <t>Prullage JB, Tran HV, Timmons P, Harriman J, Chester ST, Powell K</t>
  </si>
  <si>
    <t>302-10</t>
  </si>
  <si>
    <t>Fipronil, amitraz and (S)-methoprene-a novel ectoparasiticide combination for dogs.</t>
  </si>
  <si>
    <t>Fipronil, amitraz and (S)-methoprene-a novel ectoparasiticide combination for dogs.    ABSTRACT:  NOABSTRACT. No abstract found.  KEYWORDS:  MeSH Chemical: Drug Combinations| Insecticides| Pyrazoles| Toluidines| amitraz| Methoprene| fipronil MeSH: | Animals| Dog Diseases/majr/parasitology/prevention &amp; control| Dogs| Drug Combinations| Ectoparasitic Infestations/majr/parasitology/prevention &amp; control/veterinary| Insecticides/majr/therapeutic use| Methoprene/therapeutic use| Pyrazoles/therapeutic use| Ticks| Toluidines/therapeutic use</t>
  </si>
  <si>
    <t>Pfister K</t>
  </si>
  <si>
    <t>Action of the chemical agent fipronil (active ingredient of acaricide Frontline®) on the liver of mice: an ultrastructural analysis.</t>
  </si>
  <si>
    <t>197-205</t>
  </si>
  <si>
    <t>Exposure to sublethal doses of fipronil and thiacloprid highly increases mortality of honeybees previously infected by Nosema ceranae.</t>
  </si>
  <si>
    <t>Vidau C, Diogon M, Aufauvre J, Fontbonne R, Viguès B, Brunet JL, Texier C, Biron DG, Blot N, El Alaoui H, Belzunces LP, Delbac F</t>
  </si>
  <si>
    <t>e21550</t>
  </si>
  <si>
    <t>Toxicity of seven termiticides on the formosan and eastern subterranean termites.</t>
  </si>
  <si>
    <t>Toxicity of seven termiticides on the formosan and eastern subterranean termites.    ABSTRACT:  Using both topical application and substrate (sand) treatments the toxicities of seven new generation soil termiticides were evaluated to determine the LD50 and LC50 against two economically important subterranean termite species, eastern subterranean termite, Reticulitermes flavipes (Kollar), and Formosan subterranean termite, Coptotermes formosanus Shiraki. The lethal dose toxicity (LD50) rankings for R. flavipes from highest to lowest were: fipronil &gt; bifenthrin &gt; chlorantraniliprole &gt; cyantraniliprole &gt; imidacloprid &gt; chlorfenapyr &gt; indoxacarb; the rankings for C. formosanus were fipronil &gt; imidacloprid &gt; chlorantraniliprole &gt; cyanthraniliprole&gt; bifenthrin &gt; chlorfenapyr &gt; indoxacarb. The respective lethal concentration toxicity (LC50) rankings were fipronil &gt; bifenthrin &gt; chlorfenapyr &gt; indoxacarb &gt; cyantraniliprole &gt; chlorantraniliprole &gt; imidacloprid for R. flavipes; and fipronil &gt; chlorfenapyr &gt; bifenthrin &gt;imidacloprid &gt; cyantraniliprole &gt; chlorantraniliprole &gt; indoxacarb for C. formosanus. The study provides an opportunity to directly compare toxicity, action speed, and bioavailability among this group of newer generation soil termiticides.  KEYWORDS:  MeSH Chemical: Heterocyclic Compounds| Insecticides| Organic Chemicals| Soil MeSH: | Animals| Biological Availability| Heterocyclic Compounds/majr/administration &amp; dosage/pharmacokinetics/toxicity| Insecticides/majr/administration &amp; dosage/pharmacokinetics/toxicity| Isoptera/majr/drug effects| Lethal Dose 50| Organic Chemicals/majr/administration &amp; dosage/pharmacokinetics/toxicity| Soil/chemistry| Species Specificity</t>
  </si>
  <si>
    <t>Mao L, Henderson G, Scherer CW</t>
  </si>
  <si>
    <t>1002-8</t>
  </si>
  <si>
    <t>Sowing simulation tests of a pneumatic drill equipped with systems aimed at reducing the emission of abrasion dust from maize dressed seed.</t>
  </si>
  <si>
    <t>Biocca M, Conte E, Pulcini P, Marinelli E, Pochi D</t>
  </si>
  <si>
    <t>438-48</t>
  </si>
  <si>
    <t>Efficacy of dinotefuran-pyriproxyfen, dinotefuran-pyriproxyfen-permethrin and fipronil-(S)-methoprene topical spot-on formulations to control flea populations in naturally infested pets and private residences in Tampa, FL.</t>
  </si>
  <si>
    <t>Dryden MW, Payne PA, Vicki S, Riggs B, Davenport J, Kobuszewski D</t>
  </si>
  <si>
    <t>281-6</t>
  </si>
  <si>
    <t>Copper clean-up procedure for ultrasonic extraction and analysis of pyrethroid and phenylpyrazole pesticides in sediments by gas chromatography-electron capture detection.</t>
  </si>
  <si>
    <t>Wu J, Lin Y, Lu J, Wilson C</t>
  </si>
  <si>
    <t>409</t>
  </si>
  <si>
    <t>3482-91</t>
  </si>
  <si>
    <t>Inhibition of protein kinase C decreases sensitivity of GABA receptor subtype to fipronil insecticide in insect neurosecretory cells.</t>
  </si>
  <si>
    <t>Murillo L, Hamon A, Es-Salah-Lamoureux Z, Itier V, Quinchard S, Lapied B</t>
  </si>
  <si>
    <t>Spinosad resistance in female Musca domestica L. from a field-derived population.</t>
  </si>
  <si>
    <t>Markussen MD, Kristensen M</t>
  </si>
  <si>
    <t>75-82</t>
  </si>
  <si>
    <t>Insecticide detoxification indicator strains as tools for enhancing chemical discovery screens.</t>
  </si>
  <si>
    <t>Shah S, Yarrow C, Dunning R, Cheek B, Vass S, Windass J, Hadfield S</t>
  </si>
  <si>
    <t>38-48</t>
  </si>
  <si>
    <t>Susceptibility of adult mosquitoes to insecticides in aqueous sucrose baits.</t>
  </si>
  <si>
    <t>Allan SA</t>
  </si>
  <si>
    <t>59-67</t>
  </si>
  <si>
    <t>Fipronil is a powerful uncoupler of oxidative phosphorylation that triggers apoptosis in human neuronal cell line SHSY5Y.</t>
  </si>
  <si>
    <t>Vidau C, González-Polo RA, Niso-Santano M, Gómez-Sánchez R, Bravo-San Pedro JM, Pizarro-Estrella E, Blasco R, Brunet JL, Belzunces LP, Fuentes JM</t>
  </si>
  <si>
    <t>935-43</t>
  </si>
  <si>
    <t>Cytotoxicity of fipronil on mice liver cells.</t>
  </si>
  <si>
    <t>Cytotoxicity of fipronil on mice liver cells.    ABSTRACT:  In the present study, mice livers were examined following exposure to different doses of fipronil (15, 25, and 50 mg/kg). Histological and histochemical techniques were used to determine the cytotoxic potential of this compound and to assess the damage it caused to livers. Mice were divided into four groups: control group and groups I, II, and III were exposed to 15, 25, and 50 mg/kg fipronil, respectively. Our findings revealed cytological, morphohistological, and histochemical alterations in liver cells of animals from groups I, II, and III compared to group control animals. These changes included Kupffer-cell proliferation, hepatocyte hypertrophy, accumulation and distribution of proteins, polysaccharides, lipids, and vacuoles in the cytoplasm of hepatocytes, and congestion of blood vessels. These phenotypes mainly characterize the following: (a) autophagic processes, (b) steatosis, and (c) cell death by necrosis, which demonstrate the damage caused by fipronil on nontarget organisms in artificial conditions.Copyright © 2011 Wiley Periodicals, Inc.  KEYWORDS:  MeSH Chemical: Pesticides| Pyrazoles| fipronil MeSH: | Animals| Autophagy/drug effects| Cell Proliferation/drug effects| Female| Hepatocytes/majr/cytology/drug effects| Liver/majr/cytology/drug effects| Mice| Pesticides/majr/toxicity| Pyrazoles/majr/toxicity</t>
  </si>
  <si>
    <t>De Oliveira PR, Bechara GH, Denardi SE, Oliveira RJ, Mathias MI</t>
  </si>
  <si>
    <t>28-35</t>
  </si>
  <si>
    <t>Thyroid function tests in persons with occupational exposure to fipronil.</t>
  </si>
  <si>
    <t>Herin F, Boutet-Robinet E, Levant A, Dulaurent S, Manika M, Galatry-Bouju F, Caron P, Soulat JM</t>
  </si>
  <si>
    <t>Thyroid : official journal of the American Thyroid Association</t>
  </si>
  <si>
    <t>701-6</t>
  </si>
  <si>
    <t>Effects of predator cues on pesticide toxicity: toward an understanding of the mechanism of the interaction.</t>
  </si>
  <si>
    <t>Qin G, Presley SM, Anderson TA, Gao W, Maul JD</t>
  </si>
  <si>
    <t>1926-34</t>
  </si>
  <si>
    <t>Evaluation of the risk of mixtures of paddy insecticides and their transformation products to aquatic organisms in the Sakura River, Japan.</t>
  </si>
  <si>
    <t>Iwafune T, Yokoyama A, Nagai T, Horio T</t>
  </si>
  <si>
    <t>1834-42</t>
  </si>
  <si>
    <t>An exposure study to assess the potential impact of fipronil in treated sunflower seeds on honey bee colony losses in Spain.</t>
  </si>
  <si>
    <t>An exposure study to assess the potential impact of fipronil in treated sunflower seeds on honey bee colony losses in Spain.    ABSTRACT:  There is great concern about the high losses and strong depopulation of honey bee colonies in some areas of Spain. Some beekeepers have suggested that sunflower seeds treated with the insecticide fipronil could be an important factor in causing those losses. Therefore, an in-depth field study has been carried out in two regions of Spain where sunflower production is intense (Cuenca and Andalucía) and where, for some crops and varieties, fipronil has been used as seed insecticide.Samples of adult bees and pollen were analysed for bee pathogens and pesticide residues respectively. Neither fipronil residues nor its metabolites were detected in any of the samples analysed, indicating that short-term or chronic exposure of bees to fipronil and/or its metabolites can be ruled out in the apiaries surveyed. Varroa destructor and Nosema ceranae were found to be very prevalent.The combination of the two pathogens could augment the risk of colony death in infected colonies, without fipronil residues exerting a significant effect in the given field conditions. Indeed, in this study the losses observed in apiaries located close to sunflower crops were similar to those in apiaries situated in forested areas with wild vegetation.Copyright © 2011 Society of Chemical Industry.  KEYWORDS:  MeSH Chemical: Insecticides| Pesticide Residues| Pyrazoles| fipronil MeSH: | Animals| Bees/majr/parasitology| Helianthus| Insecticides/majr/analysis| Pesticide Residues/majr/analysis| Pollen/majr/chemistry| Pyrazoles/majr/analysis| Seeds| Spain| Weather</t>
  </si>
  <si>
    <t>Bernal J, Martin-Hernandez R, Diego JC, Nozal MJ, Gozalez-Porto AV, Bernal JL, Higes M</t>
  </si>
  <si>
    <t>1320-31</t>
  </si>
  <si>
    <t>Chemical residence time and hydrological conditions influence treatment of fipronil in vegetated aquatic mesocosms.</t>
  </si>
  <si>
    <t>Chemical residence time and hydrological conditions influence treatment of fipronil in vegetated aquatic mesocosms.    ABSTRACT:  Fipronil, a phenyl-pyrazole insecticide, is often used in rice (Oryza sativa L.) production agriculture, with elevated runoff concentrations and loads having potential toxicological effects on downstream aquatic environments. This study evaluated two species of aquatic plants-broadleaf cattail (Typha latifolia L.) and powdery alligator-flag (Thalia dealbata Fraser ex Roscoe)-placed in series against a nonvegetated mesocosm in reducing concentrations and loads of fipronil, and associated metabolites. Vegetation type and hydrological condition (inundated vs. dry) were treatment effects used for comparison. The vegetated mesocosms significantly reduced higher loads and concentrations of fipronil, fipronil sulfone, and sulfide in both inundated and dry hydrological conditions over nonvegetated nesocosms. Under inundation conditions, vegetated mesocosms reduced &gt;50% of influent fipronil concentrations and betweeen 60 and 70% of fipronil loads, which was significantly higher than the dry conditions (10-32% concentration and load). These results show that agricultural management strategies usingephemeral aquatic zones, such as drainage ditches, can be optimized to couple chemical applications with vegetation presence and hydrology to facilitate the reduction in chemical waste loads entering downstream aquatic ecosystems. Such reduction is critical for use with fipronil, where negative impacts have been demonstrated with several nontarget species.  KEYWORDS:  MeSH Chemical: Insecticides| Pesticide Residues| Pyrazoles| Water Pollutants, Chemical| fipronil sulfone MeSH: | Agriculture/methods| Aquatic Organisms/majr/drug effects| Environment/majr| Insecticides/majr/toxicity| Pesticide Residues/toxicity| Pyrazoles/majr/toxicity| Typhaceae/majr/drug effects| Water Movements| Water Pollutants, Chemical/majr/toxicity| Water Supply/majr</t>
  </si>
  <si>
    <t>Kröger R, Moore MT</t>
  </si>
  <si>
    <t>559-65</t>
  </si>
  <si>
    <t>The A2'N mutation of the RDL gamma-aminobutyric acid receptor conferring fipronil resistance in Laodelphax striatellus (Hemiptera: Delphacidae).</t>
  </si>
  <si>
    <t>Nakao T, Kawase A, Kinoshita A, Abe R, Hama M, Kawahara N, Hirase K</t>
  </si>
  <si>
    <t>646-52</t>
  </si>
  <si>
    <t>Rapid analysis of neonicotinoid insecticides in guttation drops of corn seedlings obtained from coated seeds.</t>
  </si>
  <si>
    <t>Tapparo A, Giorio C, Marzaro M, Marton D, Soldà L, Girolami V</t>
  </si>
  <si>
    <t>Journal of environmental monitoring : JEM</t>
  </si>
  <si>
    <t>1564-8</t>
  </si>
  <si>
    <t>Determination of 40 currently used pesticides in airborne particulate matter (PM 10) by microwave-assisted extraction and gas chromatography coupled to triple quadrupole mass spectrometry.</t>
  </si>
  <si>
    <t xml:space="preserve">Determination of 40 currently used pesticides in airborne particulate matter (PM 10) by microwave-assisted extraction and gas chromatography coupled to triple quadrupole mass spectrometry.    ABSTRACT:  A confirmatory and sensitive procedure has been developed for the determination of 40 currently used pesticides (CUPs) in airborne particulate matter (PM 10) at trace level. The proposed method includes extraction of PM 10-bound pesticides by microwave-assisted extraction (MAE) followed by a gel permeation chromatography (GPC) clean-up and determination by GC-MS/MS. The injection mode and the main parameters in MS/MS were optimized. The matrix effect was also evaluated. Recoveries ranged from 70 to 120% except for pyrimethanil and pirimicarb. The limit of quantification (LOQ) ranged from 1.32 to 39.47 pg m(-3), when air volumes of 760 m(3) were collected. The method was applied to 38 samples collected from a rural station belonging to the atmospheric monitoring network of the Regional Valencia Government (Spain) during April-June 2010. Eighteen out of 40 pesticides investigated were found in at least one sample (bifenthrin, chlorothalonil, chlorpyriphos-e, chlorpyriphos-m, clorpropham, diazinon, dicofol, diphenylamine, fipronil, fludioxonil, folpet, malathion, metalaxyl, penconazole, quinoxyfen, triadimefon, trifluralin, and vinclozoline), with concentrations ranging from 1.32 to 625.80 pg m(-3).Copyright © 2011 Elsevier B.V. All rights reserved.  KEYWORDS: </t>
  </si>
  <si>
    <t>Coscollà C, Castillo M, Pastor A, Yusà V</t>
  </si>
  <si>
    <t>693</t>
  </si>
  <si>
    <t>Effect of fipronil on brain and muscle ultrastructure of Nilaparvata lugens (Stål) (Homoptera: Delphacidae).</t>
  </si>
  <si>
    <t>Effect of fipronil on brain and muscle ultrastructure of Nilaparvata lugens (Stål) (Homoptera: Delphacidae).    ABSTRACT:  The ultrastructure of Nilaparvata lugens brain cells was damaged by treatment at different fipronil concentrations. The cell showed swollen mitochondria and vacuolization, but no mitochondrial cristae. Rough endoplasmic reticulum (RER) fragmentation and degranulation were seen. The dilatation of endoplasmic reticulum cisterns was very prominent, and the predominant lamellar RERs were arranged chaotically. The Golgi apparatus demonstrated obvious changes in configuration, as dilated with closed cisternae and atypical vesicles. The mitochondria mainly showed large vacuolization in muscles. Nuclear degeneration and condensation and increased numbers of large hydropic vacuoles and lysosomes were observed. It was concluded that the effect on cellular components was fipronil-specific. Changes in cellular ultrastructure seem to be an appropriate ecotoxicological indicator of the insecticide's efficacy.Copyright © 2011 Elsevier Inc. All rights reserved.  KEYWORDS:  MeSH Chemical: Insecticides| Pyrazoles| fipronil MeSH: | Animals| Brain/majr/drug effects/pathology/ultrastructure| Endoplasmic Reticulum/drug effects/ultrastructure| Golgi Apparatus/drug effects/ultrastructure| Hemiptera/majr/drug effects/ultrastructure| Insecticides/majr/toxicity| Microscopy, Electron, Transmission| Mitochondria/drug effects/ultrastructure| Muscles/majr/drug effects/pathology/ultrastructure| Pyrazoles/majr/toxicity| Vacuoles/drug effects/ultrastructure</t>
  </si>
  <si>
    <t>Ling S, Zhang R</t>
  </si>
  <si>
    <t>1348-54</t>
  </si>
  <si>
    <t>Multi-walled carbon nanotubes-dispersive solid-phase extraction combined with nano-liquid chromatography for the analysis of pesticides in water samples.</t>
  </si>
  <si>
    <t xml:space="preserve">Multi-walled carbon nanotubes-dispersive solid-phase extraction combined with nano-liquid chromatography for the analysis of pesticides in water samples.    ABSTRACT:  In this work, the simultaneous separation of a group of 12 pesticides (carbaryl, fensulfothion, mecoprop, fenamiphos, haloxyfop, diclofop, fipronil, profenofos, fonofos, disulfoton, nitrofen, and terbufos) by nano-liquid chromatography with UV detection is described. For the analyses, a 100 μm internal diameter capillary column packed with silica modified with phenyl groups was used. Experimental parameters, including the use of a trapping column for increasing the sensitivity, were optimized and validated. A preliminary study of the applicability of a rapid and practical dispersive solid-phase extraction (DSPE) procedure was developed for the extraction of some of these pesticides (carbaryl, fensulfothion, fenamiphos, fipronil, profenofos, fonofos, disulfoton, nitrofen, and terbufos) from Milli-Q water samples using multi-walled carbon nanotubes (MWCNTs). The method was validated through a recovery study at three different levels of concentration, obtaining limits of detection in the range 0.016-0.067 μg/L (below European Union maximum residue limits) for the majority of the pesticides. In this work, MWCNTs were reused up to five times, representing an important reduction of the waste of stationary phase. Furthermore, DSPE permitted a clear diminution of the total sample treatment time with respect to conventional SPE.  KEYWORDS: </t>
  </si>
  <si>
    <t>Asensio-Ramos M, D'Orazio G, Hernandez-Borges J, Rocco A, Fanali S</t>
  </si>
  <si>
    <t>400</t>
  </si>
  <si>
    <t>1113-23</t>
  </si>
  <si>
    <t>Selective control of Rhipicephalus (Boophilus) microplus in fipronil-treated cattle raised on natural pastures in Lages, State of Santa Catarina, Brazil.</t>
  </si>
  <si>
    <t>Selective control of Rhipicephalus (Boophilus) microplus in fipronil-treated cattle raised on natural pastures in Lages, State of Santa Catarina, Brazil.    ABSTRACT:  An examination of a selective control of Rhipicephalus (Boophilus) microplus and consequent cost reduction was carried out in two areas of native pasture in the municipality of Lages, State of Santa Catarina, Southern Brazil, from May 2007 to April 2009. Forty cattle were divided into two groups of 20 animals each (conventional and selective control groups). At 14-day intervals female ticks larger than 4.5 mm found on the right flank of cattle bodies were counted, and these results multiplied by two. Fipronil 1 mg.kg(-1) pour on was then administered for tick control. In the conventional group all the cattle were treated when tick count averaged more than 40 female ticks per animal while in the selective group only animals parasitized by more than 40 ticks were treated with acaricide. Every 28 days the cattle's weight was checked for cost-effective analysis. The conventional group required an additional 20 doses of fipronil compared with the selective one. There was no statistically significant differences regarding weight gain in both groups.  KEYWORDS:  MeSH Chemical: Acaricides| Antiparasitic Agents| Pyrazoles| fipronil MeSH: | Acaricides/majr/therapeutic use| Animals| Antiparasitic Agents/majr/therapeutic use| Brazil| Cattle| Cattle Diseases/majr/prevention &amp; control| Pyrazoles/majr/therapeutic use| Rhipicephalus/majr| Tick Control/methods| Tick Infestations/majr/prevention &amp; control/veterinary</t>
  </si>
  <si>
    <t>Paim F, Souza AP, Bellato V, Sartor AA</t>
  </si>
  <si>
    <t>13-6</t>
  </si>
  <si>
    <t>Isotopic fingerprinting for the authenticity control of crop protection active compounds using the representative insecticide Fipronil.</t>
  </si>
  <si>
    <t>Isotopic fingerprinting for the authenticity control of crop protection active compounds using the representative insecticide Fipronil.    ABSTRACT:  Isotopic fingerprinting was evaluated for its potential to generate characteristic fingerprints of crop protection products in an extensive survey, using the insecticide Fipronil. One hundred and twenty batches of Fipronil from the BASF production site in France were analyzed for the isotope ratios of δ(13)C, δ(15)N, and δ(34)S. Samples spanned a production time of four years and were analyzed by elemental analysis, coupled to isotope ratio mass spectrometry (EA/IRMS). A number of Fipronil samples from other sources were analyzed in the same manner and were compared to the samples from BASF by means of multivariate data analysis. The isotopic fingerprint was sufficiently specific to differentiate between Fipronil from BASF production and Fipronil from other producers. This suggests that isotopic fingerprinting is suitable for the authenticity control of active compounds in crop protection products. It is anticipated that this technique will deliver great benefit in the defense against counterfeits and illegal parallel imports.  KEYWORDS:  MeSH Chemical: Carbon Isotopes| Insecticides| Nitrogen Isotopes| Pyrazoles| Sulfur Isotopes| fipronil MeSH: | Carbon Isotopes/analysis| Insecticides/majr/chemistry/standards| Mass Spectrometry/methods| Molecular Structure| Nitrogen Isotopes/analysis| Pyrazoles/majr/chemistry/standards| Quality Control| Sulfur Isotopes/analysis</t>
  </si>
  <si>
    <t>Weller P, Boner M, Foerstel H, Becker H, Peikert B, Dreher W</t>
  </si>
  <si>
    <t>4365-70</t>
  </si>
  <si>
    <t>Photodegradation of imidacloprid and fipronil in rice-paddy water.</t>
  </si>
  <si>
    <t>Photodegradation of imidacloprid and fipronil in rice-paddy water.    ABSTRACT:  Photodegradation of insecticides, imidacloprid and fipronil, in rice-paddy water under the ambient temperature was investigated. The initial concentrations were set at 58.8 and 3.1 μg/L for imidacloprid and fipronil, respectively, according to their reported initial concentrations in the rice-paddy field. The half-lives (DT(50)) of imidacloprid and fipronil were 24.2 and 36.7 h, respectively. Fipronil desulfinyl was detected as a major metabolite and fipronil sulfone was found to be a minor metabolite of fipronil in the photodegradation process. Detected mass of fipronil, fipronil desulfinyl, and fipronil sulfone at 79 h were 12.9%, 45.8%, and 5.2% of initial fipronil mass, respectively.© Springer Science+Business Media, LLC 2011  KEYWORDS:  MeSH Chemical: Imidazoles| Insecticides| Neonicotinoids| Nitro Compounds| Pyrazoles| Water Pollutants, Chemical| imidacloprid| fipronil MeSH: | Agriculture| Environmental Monitoring| Half-Life| Imidazoles/majr/analysis/chemistry| Insecticides/majr/analysis/chemistry| Neonicotinoids| Nitro Compounds/majr/analysis/chemistry| Oryza| Photochemical Processes| Pyrazoles/majr/analysis/chemistry| Water Pollutants, Chemical/majr/analysis/chemistry</t>
  </si>
  <si>
    <t>Thuyet DQ, Watanabe H, Yamazaki K, Takagi K</t>
  </si>
  <si>
    <t>548-53</t>
  </si>
  <si>
    <t>Cross-resistance of bisultap resistant strain of Nilaparvata lugens and its biochemical mechanism.</t>
  </si>
  <si>
    <t>Cross-resistance of bisultap resistant strain of Nilaparvata lugens and its biochemical mechanism.    ABSTRACT:  The resistant (R) strain of the planthopper Nilaparvata lugens (Stål) selected for bisultap resistance displayed 7.7-fold resistance to bisultap and also had cross-resistance to nereistoxin (monosultap, thiocyclam, and cartap), chlorpyrifos, dimethoate, and malathion but no cross-resistance to buprofezin, imidacloprid, and fipronil. To find out the biochemical mechanism of resistance to bisultap, biochemical assay was done. The results showed that cytochrome P450 monooxygenases (P450) activity in R strain was 2.71-fold that in susceptible strain (S strain), in which the changed activity for general esterase (EST) was 1.91 and for glutathione S-transferases only 1.32. Piperonyl butoxide (PBO) could significantly inhibit P450 activity (percentage of inhibition [PI]: 37.31%) in the R strain, with ESTs PI = 16.04% by triphenyl phosphate (TPP). The results also demonstrated that diethyl maleate had no synergism with bisultap. However, PBO displayed significant synergism in three different strains, and the synergism increased with resistance (S strain 1.42, Lab strain, 2.24 and R strain, 3.23). TPP also showed synergism for three strains, especially in R strain (synergistic ratio = 2.47). An in vitro biochemical study and in vivo synergistic study indicated that P450 might be play important role in the biochemical mechanism of bisultap resistance and that esterase might be the important factor of bisultap resistance. Acetylcholinesterase (AChE) insensitivity play important role in bisultap resistance. We suggest that buprofezin, imidacloprid, and fipronil could be used in resistance management programs for N. lugens via alternation and rotation with bisultap.  KEYWORDS:  MeSH Chemical: Insecticides MeSH: | Animals| Hemiptera/majr/drug effects| Insecticide Resistance| Insecticides/majr/pharmacology</t>
  </si>
  <si>
    <t>243-9</t>
  </si>
  <si>
    <t>Insecticide-tolerant and plant-growth-promoting Rhizobium improves the growth of lentil (Lens esculentus) in insecticide-stressed soils.</t>
  </si>
  <si>
    <t>Insecticide-tolerant and plant-growth-promoting Rhizobium improves the growth of lentil (Lens esculentus) in insecticide-stressed soils.    ABSTRACT:  Application of insecticides in modern agriculture in order to enhance legume production has led to their accumulation in soils to levels that adversely affect soil microflora such as rhizobia and exert a negative impact on the physiological activities associated with them. This study was therefore designed to identify rhizobial strains expressing higher tolerance to insecticides fipronil and pyriproxyfen and synthesising plant growth regulators even amid insecticide stress.The fipronil- and pyriproxyfen-tolerant Rhizobium sp. strain MRL3 produced plant-growth-promoting substances in substantial amounts, both in the presence and in the absence of the insecticides. In general, both insecticides at recommended and higher rates reduced plant dry biomass, symbiotic properties, nutrient uptake and seed yield of lentil plants. Interestingly, when applied with any concentration of the two insecticides, Rhizobium sp. strain MRL3 significantly increased the measured parameters compared with plants grown in soils treated solely with the same concentration of each insecticide but without inoculant.This study suggests that Rhizobium strain MRL3 may be exploited as a bioinoculant to augment the efficiency of lentil exposed to insecticide-stressed soils.Copyright © 2010 Society of Chemical Industry.  KEYWORDS:  MeSH Chemical: Insecticides| Soil| Soil Pollutants MeSH: | Insecticides/majr/pharmacology| Lens Plant/majr/growth &amp; development/microbiology| Rhizobium/majr/drug effects/physiology| Soil/analysis| Soil Microbiology/majr| Soil Pollutants/majr/pharmacology</t>
  </si>
  <si>
    <t>Ahemad M, Khan MS</t>
  </si>
  <si>
    <t>423-9</t>
  </si>
  <si>
    <t>Occurrence of emerging organic contaminants in a tropical urban catchment in Singapore.</t>
  </si>
  <si>
    <t>Xu Y, Luo F, Pal A, Gin KY, Reinhard M</t>
  </si>
  <si>
    <t>963-9</t>
  </si>
  <si>
    <t>Surface contact toxicity and synergism of several insecticides against different stages of the tropical bed bug, Cimex hemipterus (Hemiptera: Cimicidae).</t>
  </si>
  <si>
    <t>How YF, Lee CY</t>
  </si>
  <si>
    <t>734-40</t>
  </si>
  <si>
    <t>Assay of two 10% (w/v) fipronil spot-on formulations against feline infestations with Ctenocephalides felis.</t>
  </si>
  <si>
    <t>Assay of two 10% (w/v) fipronil spot-on formulations against feline infestations with Ctenocephalides felis.    ABSTRACT:  A new fipronil-based spot-on formulation was evaluated against experimental flea infestations in cats in two studies. In both studies, eight cats served as negative controls (groups 1 and 4); on day 0, eight cats were treated with a 10% w/v fipronil-based spot-on solution (Effipro Spot-on, 0.5ml per cat, groups 2 and 5) and eight cats served as positive controls (Frontline Spot-on, 0.5ml per cat, groups 3 and 6). Each cat was infested on day - 1 with 50 fleas (study 1) and weekly (day 7-day 56) with 100 fleas (study 2). Geometric mean flea counts obtained 48h after the treatment or each re-infestation were reduced by 99.0 and 98.3% in groups 2 and 3, respectively, on day 2, compared to the negative control group. Cats were protected from re-infestations with an efficacy &gt;99% for 58 days in group 5 and for 37 days in group 6.Copyright © 2011 ISFM and AAFP. Published by Elsevier Ltd. All rights reserved.  KEYWORDS:  MeSH Chemical: Insecticides| Pyrazoles| fipronil MeSH: | Animals| Cat Diseases/majr/drug therapy| Cats| Ctenocephalides/majr/drug effects| Female| Flea Infestations/majr/drug therapy/veterinary| Insecticides/majr/therapeutic use| Male| Pyrazoles/majr/therapeutic use| Treatment Outcome</t>
  </si>
  <si>
    <t>Cadiergues MC, Bonneau SG, Fourier JJ</t>
  </si>
  <si>
    <t>304-8</t>
  </si>
  <si>
    <t>A photoreactive probe that differentiates the binding sites of noncompetitive GABA receptor antagonists.</t>
  </si>
  <si>
    <t>A photoreactive probe that differentiates the binding sites of noncompetitive GABA receptor antagonists.    ABSTRACT:  γ-Aminobutyric acid (GABA) receptors are postsynaptic membrane protein complexes that are important not only in the regulation of the nervous system but also as targets of drugs and insecticides. We synthesized a photoreactive straight-chain noncompetitive antagonist (NCA), 2-nitro-4-[3-(trifluoromethyl)-3H-diazirin-3-yl]phenyl 4-(4-methoxycarbonyl-1-butynyl)benzoate (NMB), to probe the NCA binding site. Our data show that this probe labels the NCA site and demonstrate that the NCA insecticide fipronil binds at a site distinct from that of other NCAs, such as picrotoxinin and 4'-ethynyl-4-n-propylbicycloorthobenzoate. The unique molecule NMB will be useful in identifying the cross-linking site of straight-chain NCAs in GABA receptors and mapping allosteric binding sites. Such studies should provide invaluable information in designing novel NCAs.Copyright © 2011 Elsevier Ltd. All rights reserved.  KEYWORDS:  MeSH Chemical: GABA Antagonists| Molecular Probes MeSH: | Binding Sites| GABA Antagonists/majr/chemistry/metabolism| Molecular Probes/majr| Photochemistry/majr</t>
  </si>
  <si>
    <t>Shimotahira H, Fusazaki S, Ikeda I, Ozoe Y</t>
  </si>
  <si>
    <t>1598-600</t>
  </si>
  <si>
    <t>Adverse effects of fipronil on avian reproduction and development: maternal transfer of fipronil to eggs in zebra finch Taeniopygia guttata and in ovo exposure in chickens Gallus domesticus.</t>
  </si>
  <si>
    <t>Kitulagodage M, Buttemer WA, Astheimer LB</t>
  </si>
  <si>
    <t>653-60</t>
  </si>
  <si>
    <t>An overview of German cockroach, Blattella germanica, studies conducted in Iran.</t>
  </si>
  <si>
    <t>An overview of German cockroach, Blattella germanica, studies conducted in Iran.    ABSTRACT:  The control and elimination of German cockroach, the most important worldwide pest species, has been an economic and public health success. Too many studies have been conducted in Iran, whereas these researches was scattered in form of national and international articles that has needed to add up of them in an overview article. With doing of this work the way is smooth to future studies and the strategies of these studies will be distinguished. This article is outlook in direction of above aims. The susceptibility level and insecticide resistance mechanisms of German cockroach to organochlorated, organophosphate, carbamate and pyrethroid insecticide groups have been studied. The new insecticidal compounds include fipronil and avermectins acting at GABA and glutamate receptors in proximity to chloride channels, diacylhydrazines mimicking the action of ecdysone, indoxacarb acting at a novel site in sodium channels and imidacloprid, thiamethoxam and spinosad acting at novel sites on the nicotinic acetylcholine receptor, several promising products acting at new target sites, which are currently not affected by resistance that will be used for pest control specially Blattella germanica. Attentive to resistance of B. germanica to current consuming insecticides and ever-increasing add to intensity of it, the researchers have been considering the susceptibility level of B. germanica and efficiency estimation of them to above-mentioned insecticides for control of this pest. The strategies of future researches are study of the susceptibility level of B. germanica and efficiency estimation of them to above-mentioned insecticides for control of this pest in Iran.  KEYWORDS:  MeSH: | Animals| Cockroaches/majr| Insecticide Resistance| Iran</t>
  </si>
  <si>
    <t>Nasirian H</t>
  </si>
  <si>
    <t>1077-84</t>
  </si>
  <si>
    <t>Control of subterranean termites (Isoptera: Rhinotermitidae) infesting power poles.</t>
  </si>
  <si>
    <t>Control of subterranean termites (Isoptera: Rhinotermitidae) infesting power poles.    ABSTRACT:  A trial was conducted to determine the efficacy of termiticidal dusts (arsenic trioxide, triflumuron, and Metarhizium anisopliae), a timber fumigant (dazomet) and liquid termiticides (bifenthrin, chlorfenapyr, chlorpyrifos, fipronil, and imidacloprid) for controlling subterranean termites (Isoptera: Rhinotermitidae) infesting in-service power poles in New South Wales, Australia. Dusts were applied to parts of the pole where termites were present. Fumigant was inserted into holes drilled into the base of the pole. Liquid termiticides were mixed with soil around the base of the pole and injected into internal voids if present. Poles were inspected for up to 5 yr, and the time taken for reinfestation to occur was recorded. Before the start of the trial, the major Australian pole owners were surveyed to obtain an estimate of the annual national cost of termite infestation to the power supply industry. The annual costs of termite treatment and replacing damaged poles were estimated at AU$2 million and AU$13 million, respectively. Infestation rates were lower for all treatments compared with controls within the first 12 mo of the study. Dazomet, arsenic trioxide, fipronil, and chlorpyrifos were the most efficacious treatments. Efficacy was positively related to the amount of termiticide applied and negatively related to the infestation severity but was unaffected by geographical location. Survival curves were calculated of the time elapsed before the recurrence of termite infestations (survival absence of reinfestation). Survival was highest for poles treated with liquid termiticides.  KEYWORDS:  MeSH: | Animals| Insect Control/majr| Isoptera/majr| Population Density| Wood/parasitology</t>
  </si>
  <si>
    <t>Horwood MA, Westlake T, Kathuria A</t>
  </si>
  <si>
    <t>2140-6</t>
  </si>
  <si>
    <t>Overview of pesticide residues in stored pollen and their potential effect on bee colony (Apis mellifera) losses in Spain.</t>
  </si>
  <si>
    <t>Overview of pesticide residues in stored pollen and their potential effect on bee colony (Apis mellifera) losses in Spain.    ABSTRACT:  In the last decade, an increase in honey bee (Apis mellifera L.) colony losses has been reported in several countries. The causes of this decline are still not clear. This study was set out to evaluate the pesticide residues in stored pollen from honey bee colonies and their possible impact on honey bee losses in Spain. In total, 1,021 professional apiaries were randomly selected. All pollen samples were subjected to multiresidue analysis by gas chromatography-mass spectrometry (MS) and liquid chromatography-MS; moreover, specific methods were applied for neonicotinoids and fipronil. A palynological analysis also was carried out to confirm the type of foraging crop. Pesticide residues were detected in 42% of samples collected in spring, and only in 31% of samples collected in autumn. Fluvalinate and chlorfenvinphos were the most frequently detected pesticides in the analyzed samples. Fipronil was detected in 3.7% of all the spring samples but never in autumn samples, and neonicotinoid residues were not detected. More than 47.8% of stored pollen samples belonged to wild vegetation, and sunflower (Heliantus spp.) pollen was only detected in 10.4% of the samples. A direct relation between pesticide residues found in stored pollen samples and colony losses was not evident accordingly to the obtained results. Further studies are necessary to determine the possible role of the most frequent and abundant pesticides (such as acaricides) and the synergism among them and with other pathogens more prevalent in Spain.  KEYWORDS:  MeSH Chemical: Insecticides| Pesticide Residues MeSH: | Animals| Beekeeping| Bees/majr| Insecticides/majr/analysis| Pesticide Residues/majr/analysis| Pollen/majr/chemistry| Spain</t>
  </si>
  <si>
    <t>Bernal J, Garrido-Bailón E, Del Nozal MJ, González-Porto AV, Martín-Hernández R, Diego JC, Jiménez JJ, Bernal JL, Higes M</t>
  </si>
  <si>
    <t>1964-71</t>
  </si>
  <si>
    <t>Akt/GSK3β signaling is involved in fipronil-induced apoptotic cell death of human neuroblastoma SH-SY5Y cells.</t>
  </si>
  <si>
    <t>Lee JE, Kang JS, Ki YW, Lee SH, Lee SJ, Lee KS, Koh HC</t>
  </si>
  <si>
    <t>133-41</t>
  </si>
  <si>
    <t>Determination of the susceptibility of Rhipicephalus (Boophilus) microplus (Acari: Ixodidae) to ivermectin and fipronil by Larval Immersion Test (LIT) in Uruguay.</t>
  </si>
  <si>
    <t>Castro-Janer E, Rifran L, González P, Niell C, Piaggio J, Gil A, Schumaker TT</t>
  </si>
  <si>
    <t>178</t>
  </si>
  <si>
    <t>148-55</t>
  </si>
  <si>
    <t>Comparative acaricidal efficacy of the topically applied combinations fipronil/(S)-methoprene, permethrin/imidacloprid and metaflumizone/ amitraz against Dermacentor reticulatus, the European dog tick (ornate dog tick, Fabricius, 1794) in dogs.</t>
  </si>
  <si>
    <t>Comparative acaricidal efficacy of the topically applied combinations fipronil/(S)-methoprene, permethrin/imidacloprid and metaflumizone/ amitraz against Dermacentor reticulatus, the European dog tick (ornate dog tick, Fabricius, 1794) in dogs.    ABSTRACT:  The acaricidal efficacy against Dermacentor reticulatus in dogs of the commercial topical combinations fipronil/(S)-methoprene (FRONTLINE Combo spot-on dog), imidacloprid/permethrin (Advantix) and metaflumizone/amitraz (ProMeris Duo) was evaluated and compared. Three treatment groups and one untreated control group of six adult Beagle dogs each were randomly formed. Each treatment was administered topically once on Day-0, according to the recommended label dose and instructions for use. All dogs were infested weekly with approximately 50 adult unfed D. reticulatus over a period of seven weeks. Ticks were removed and counted approximately 48 hours after each infestation. The percent reduction in numbers of ticks for fipronil/(S)-methoprene was &gt; or = 97% compared to untreated controls for all seven weekly infestations. The percent reductions for imidacloprid/permethrin and metaflumizone/amitraz were satisfactory initially but fell and stayed below 90 % after three weeks. From the third week onwards, fipronil/(S)-methoprene treated dogs had significantly fewer ticks than imidacloprid/permethrin or metaflumizone/amitraz treated dogs (p &lt; 0.05).  KEYWORDS:  MeSH Chemical: Imidazoles| Insecticides| Neonicotinoids| Nitro Compounds| Pyrazoles| imidacloprid| Permethrin| Methoprene| fipronil MeSH: | Animals| Dog Diseases/majr/parasitology| Dogs| Drug Therapy, Combination| Imidazoles/majr/therapeutic use| Insecticides/majr/therapeutic use| Methoprene/majr/therapeutic use| Neonicotinoids| Nitro Compounds/majr/therapeutic use| Permethrin/majr/therapeutic use| Pyrazoles/majr/therapeutic use| Tick Infestations/majr/drug therapy/veterinary| Treatment Outcome</t>
  </si>
  <si>
    <t>Tielemans E, Manavella C, Pollmeier M, Chester T, Murphy M, Gale B</t>
  </si>
  <si>
    <t>343-8</t>
  </si>
  <si>
    <t>Results of a European multicentric field efficacy study of fipronil-(S) methoprene combination on flea infestation of dogs and cats during 2009 summer.</t>
  </si>
  <si>
    <t>Beugnet F, Franc M</t>
  </si>
  <si>
    <t>337-42</t>
  </si>
  <si>
    <t>Honeybee tracking with microchips: a new methodology to measure the effects of pesticides.</t>
  </si>
  <si>
    <t>Decourtye A, Devillers J, Aupinel P, Brun F, Bagnis C, Fourrier J, Gauthier M</t>
  </si>
  <si>
    <t>429-37</t>
  </si>
  <si>
    <t>Sarcoptic mange in alpacas.</t>
  </si>
  <si>
    <t>Sarcoptic mange in alpacas.    ABSTRACT:  NOABSTRACT. No abstract found.  KEYWORDS:  MeSH Chemical: Antiparasitic Agents| Pyrazoles| Ivermectin| fipronil MeSH: | Animals| Antiparasitic Agents/majr/therapeutic use| Camelids, New World/majr/parasitology| Female| Ivermectin/majr/therapeutic use| Pyrazoles/majr/chemistry/therapeutic use| Scabies/majr/diagnosis/drug therapy/veterinary| Treatment Outcome| United Kingdom</t>
  </si>
  <si>
    <t>Vine NJ, Keevill G, Foster AP</t>
  </si>
  <si>
    <t>The Veterinary record</t>
  </si>
  <si>
    <t>946-7</t>
  </si>
  <si>
    <t>Synergy between fipronil and amitraz in a Rhipicephalus sanguineus tick residual contact test.</t>
  </si>
  <si>
    <t>Synergy between fipronil and amitraz in a Rhipicephalus sanguineus tick residual contact test.    ABSTRACT:  Amitraz, a formamidine acaricide, has been reported to act as a synergist of contact insecticides and acaricides in both agriculture and animal health. A laboratory contact test was therefore conducted to determine whether amitraz at 12.5 ppm could improve the contact potency of fipronil on ticks. A controlled glass vial bioassay was used to assess the efficacy of fipronil alone, amitraz alone, and fipronil plus amitraz on unfed adult Rhipicephalus sanguineus. Assessments of lethality were made at 6, 24, and 48 h after the introduction of the ticks to the vials. No significant mortality was observed in the control treatment or in the amitraz alone treatment. Concentration and time dependent mortality rates were observed in ticks exposed to fipronil alone or fipronil plus amitraz, with higher mortality observed in the latter group. Results from this study gave synergistic EC50 ratios between fipronil alone and fipronil plus amitraz of &gt;7.3, 137 and 97 at 6, 24, and 48 h, respectively. A similar response was seen at the EC90 level. These results indicate that fipronil was synergized by amitraz in this adult tick residual contact study. The addition of amitraz to fipronil also provided a significant improvement in the speed of kill.  KEYWORDS:  MeSH Chemical: Acaricides| Pesticide Residues| Pyrazoles| Toluidines| amitraz| fipronil MeSH: | Acaricides/majr| Animals| Drug Synergism| Pesticide Residues/majr| Pyrazoles/majr| Rhipicephalus sanguineus/majr| Toluidines/majr</t>
  </si>
  <si>
    <t>Prullage JB, Cawthorne WG, Le Hir de Fallois LP, Timmons PR</t>
  </si>
  <si>
    <t>173-6</t>
  </si>
  <si>
    <t>Fate of fipronil in cotton and soil under tropical climatic conditions.</t>
  </si>
  <si>
    <t>Fate of fipronil in cotton and soil under tropical climatic conditions.    ABSTRACT:  Field study was carried out to investigate fate of fipronil (Regent 0.3G) in cotton and soil applied at the time of sowing of cotton crop (Variety: H-1117)@56 (T₁) and 112 g a.i.ha⁻¹ (T₂) during kharif season (summer season, from April to November) 2006-07. The residues of fipronil in both the doses dissipated almost completely with in 90 days. Kinetic studies revealed that dissipation of fipronil followed first order kinetics with half-life period of 23.35 days in single dose and 24.31 days in double dose. At the time of harvest, residues in soil, cotton lint and seed were below the quantifiable limit of 0.01 mg kg⁻¹.  KEYWORDS:  MeSH Chemical: Insecticides| Pesticide Residues| Pyrazoles| Soil| Soil Pollutants| fipronil MeSH: | Cotton Fiber| Gossypium/majr/chemistry| Half-Life| Insecticides/majr/analysis/chemistry| Kinetics| Pesticide Residues/analysis/chemistry| Pyrazoles/majr/analysis/chemistry| Seeds/chemistry| Soil/majr/chemistry| Soil Pollutants/analysis| Tropical Climate</t>
  </si>
  <si>
    <t>Chopra I, Chauhan R, Kumari B, Dahiya KK</t>
  </si>
  <si>
    <t>242-5</t>
  </si>
  <si>
    <t>Fipronil toxicity in northern bobwhite quail Colinus virginianus: reduced feeding behaviour and sulfone metabolite formation.</t>
  </si>
  <si>
    <t>Kitulagodage M, Isanhart J, Buttemer WA, Hooper MJ, Astheimer LB</t>
  </si>
  <si>
    <t>524-30</t>
  </si>
  <si>
    <t>Evaluation of genotoxicity in Rhamdia quelen (Pisces, Siluriformes) after sub-chronic contamination with Fipronil.</t>
  </si>
  <si>
    <t>Ghisi Nde C, Ramsdorf WA, Ferraro MV, de Almeida MI, Ribeiro CA, Cestari MM</t>
  </si>
  <si>
    <t>1-4</t>
  </si>
  <si>
    <t>589-99</t>
  </si>
  <si>
    <t>New findings of insecticide resistance in Triatoma infestans (Heteroptera: Reduviidae) from the Gran Chaco.</t>
  </si>
  <si>
    <t>New findings of insecticide resistance in Triatoma infestans (Heteroptera: Reduviidae) from the Gran Chaco.    ABSTRACT:  Chagas disease is a major health concern in Latin America, and Triatoma infestans (Klug, 1834) is responsible for the majority of cases of Chagas disease in the continent. After the discovery of deltamethrin highly resistant populations in the neighboring areas to Yacuiba (Bolivia) and Salvador Mazza (Argentina), we studied T. infestans populations north and southward, with the aim of describing the range of the resistant area. In addition, tests were conducted to describe the susceptibility to fipronil in deltamethrin-resistant populations. Tarija populations were highly resistant to deltamethrin, showing that the resistant area is greater than previously reported. Argentinean and Paraguayan populations were susceptible or presented moderate to low levels of deltamethrin resistance. Resistance to fipronil was found in Bolivian populations, although this insecticide was effective against Argentinean populations. This study shows that the Argentinean and Paraguayan populations are currently under successful control with deltamethrin. However, continuous resistance monitoring is necessary. We found that fipronil is a viable option for Argentina, whereas the resistance found in Bolivia implies that new formulations are needed to control T. infestans in Bolivia. Further research is required to find new alternatives of control in those areas that are currently suffering from high infestation rates.  KEYWORDS:  MeSH Chemical: Insecticides MeSH: | Animals| Insecticide Resistance/majr| Insecticides/majr/pharmacology| Triatoma/majr/drug effects</t>
  </si>
  <si>
    <t>Germano MD, Roca Acevedo G, Mougabure Cueto GA, Toloza AC, Vassena CV, Picollo MI</t>
  </si>
  <si>
    <t>1077-81</t>
  </si>
  <si>
    <t>Fipronil interferes with the differentiation of mouse N2a neuroblastoma cells.</t>
  </si>
  <si>
    <t>Fipronil interferes with the differentiation of mouse N2a neuroblastoma cells.    ABSTRACT:  The purpose of this study was to evaluate the neurotoxic potential of the pesticide fipronil (FIP) towards the differentiation of mouse N2a neuroblastoma cells. At concentrations of 1, 5 and 10 μM that were not cytotoxic, as shown by two different cell viability assays, FIP impaired potently after 24h the development of axon-like processes, with a concentration of 1 μM causing 50% inhibition. Densitometric analysis of immunoblots of extracts of N2a cells exposed to FIP demonstrated that the axon-inhibitory action of the pesticide was not accompanied by significant changes in the levels of total and phosphorylated neurofilament heavy chain (NFH). FIP also induced no alteration in the levels of total and tyrosinated α-tubulin. On the other hand, this pesticide caused severe disruption of the developmentally important ERK 1/2-MAP kinase signal transduction pathway, as evidenced by significant reductions in the activation state of MAPK kinase (MEK 1/2) and, particularly, ERK 1/2. The above data seem to justify very recent concerns that FIP has the capacity to induce developmental neurotoxicity in mammals.Copyright © 2010 Elsevier Ireland Ltd. All rights reserved.  KEYWORDS:  MeSH Chemical: Insecticides| Neurofilament Proteins| Pyrazoles| Tubulin| Extracellular Signal-Regulated MAP Kinases| fipronil MeSH: | Animals| Axons/drug effects| Cell Differentiation/drug effects| Extracellular Signal-Regulated MAP Kinases/metabolism| Insecticides/majr/toxicity| MAP Kinase Signaling System/drug effects| Mice| Neoplastic Stem Cells| Neurites/drug effects| Neuroblastoma/majr/pathology| Neurofilament Proteins/metabolism| Pyrazoles/majr/toxicity| Tubulin/metabolism</t>
  </si>
  <si>
    <t>Sidiropoulou E, Sachana M, Flaskos J, Harris W, Hargreaves AJ, Woldehiwet Z</t>
  </si>
  <si>
    <t>86-91</t>
  </si>
  <si>
    <t>Evaluation of the QuEChERS method and gas chromatography-mass spectrometry for the analysis pesticide residues in water and sediment.</t>
  </si>
  <si>
    <t>Evaluation of the QuEChERS method and gas chromatography-mass spectrometry for the analysis pesticide residues in water and sediment.    ABSTRACT:  A method for the determination of pesticide residues in water and sediment was developed using the QuEChERS method followed by gas chromatography--mass spectrometry. The method was validated in terms of accuracy, specificity, linearity, detection and quantification limits. The recovery percentages obtained for the pesticides in water at different concentrations ranged from 63 to 116%, with relative standard deviations below 12%. The corresponding results from the sediment ranged from 48 to 115% with relative standard deviations below 16%. The limits of detection for the pesticides in water and sediment were below 0.003 mg L⁻¹ and 0.02 mg kg⁻¹, respectively.  KEYWORDS:  MeSH Chemical: Pesticide Residues| Pyrazoles| Water Pollutants, Chemical| Water| Endosulfan| fipronil| Atrazine MeSH: | Atrazine/analysis/chemistry| Chemistry Techniques, Analytical/majr/methods| Endosulfan/analysis/chemistry| Fresh Water/chemistry| Gas Chromatography-Mass Spectrometry/majr/methods| Geologic Sediments/majr/chemistry| Pesticide Residues/majr/analysis/chemistry| Pyrazoles/analysis/chemistry| Seawater/chemistry| Water| Water Pollutants, Chemical/majr/analysis/chemistry</t>
  </si>
  <si>
    <t>Brondi SH, de Macedo AN, Vicente GH, Nogueira AR</t>
  </si>
  <si>
    <t>Induction effects of host plants on insecticide susceptibility and detoxification enzymes of Bemisia tabaci (Hemiptera: Aleyrodidae).</t>
  </si>
  <si>
    <t>Xie W, Wang S, Wu Q, Feng Y, Pan H, Jiao X, Zhou L, Yang X, Fu W, Teng H, Xu B, Zhang Y</t>
  </si>
  <si>
    <t>87-93</t>
  </si>
  <si>
    <t>Genotoxic and mutagenic effects of fipronil on mice.</t>
  </si>
  <si>
    <t>Genotoxic and mutagenic effects of fipronil on mice.    ABSTRACT:  The toxic effects of several compounds on ecosystems are not restricted to ecological disturbances, and may also affect long-term human health. Fipronil is highly efficient in the control of pests, including those resistant to pyrethroid, organophosphate, and carbamate insecticides. Relatively little is known about the action of fipronil in vertebrates. This study was aimed to evaluate the genotoxic and mutagenic potential of this compound in mice exposed to different doses and demonstrates the damage caused by fipronil on non-target organisms in artificial conditions. Mice were divided into five groups: group I=30% of DL(50) (15 mg/kg), group II=50% of the DL(50) (25 mg/kg), group III=DL(50) (50 mg/kg), group IV=negative control, and group V=positive control. Peripheral blood was collected for the comet assay (24 h after exposure) and the micronucleus test (24, 48 and 72 h after exposure). Our findings revealed that doses of 15 mg/kg (group I) and 25 mg/kg (group II) of fipronil did not have genotoxic or mutagenic effects. Only the highest dose tested (50 mg/kg) induced DNA damage 24 h after exposure, indicating the mutagenic potential of fipronil. Therefore, this or higher doses are not recommended, as they may be toxic to non-target organisms.Copyright © 2010 Elsevier GmbH. All rights reserved.  KEYWORDS:  MeSH Chemical: Insecticides| Pyrazoles| fipronil MeSH: | Animals| Comet Assay| DNA Damage/majr/drug effects| Female| Insecticides/majr/administration &amp; dosage/toxicity| Mice| Micronuclei, Chromosome-Defective/majr/chemically induced| Micronucleus Tests| Mutation| Pyrazoles/majr/administration &amp; dosage/toxicity</t>
  </si>
  <si>
    <t>de Oliveira PR, Bechara GH, Denardi SE, Oliveira RJ, Mathias MI</t>
  </si>
  <si>
    <t>Experimental and toxicologic pathology : official journal of the Gesellschaft fur Toxikologische Pathologie</t>
  </si>
  <si>
    <t>569-73</t>
  </si>
  <si>
    <t>Pesticide adsorption in relation to soil properties and soil type distribution in regional scale.</t>
  </si>
  <si>
    <t>Pesticide adsorption in relation to soil properties and soil type distribution in regional scale.    ABSTRACT:  Study was focused on the evaluation of pesticide adsorption in soils, as one of the parameters, which are necessary to know when assessing possible groundwater contamination caused by pesticides commonly used in agriculture. Batch sorption tests were performed for 11 selected pesticides and 13 representative soils. The Freundlich equations were used to describe adsorption isotherms. Multiple-linear regressions were used to predict the Freundlich adsorption coefficients from measured soil properties. Resulting functions and a soil map of the Czech Republic were used to generate maps of the coefficient distribution. The multiple linear regressions showed that the K(F) coefficient depended on: (a) combination of OM (organic matter content), pH(KCl) and CEC (cation exchange capacity), or OM, SCS (sorption complex saturation) and salinity (terbuthylazine), (b) combination of OM and pH(KCl), or OM, SCS and salinity (prometryne), (c) combination of OM and pH(KCl), or OM and ρ(z) (metribuzin), (d) combination of OM, CEC and clay content, or clay content, CEC and salinity (hexazinone), (e) combination of OM and pH(KCl), or OM and SCS (metolachlor), (f) OM or combination of OM and CaCO(3) (chlorotoluron), (g) OM (azoxystrobin), (h) combination of OM and pH(KCl) (trifluralin), (i) combination of OM and clay content (fipronil), (j) combination of OM and pH(KCl), or OM, pH(KCl) and CaCO(3) (thiacloprid), (k) combination of OM, pH(KCl) and CEC, or sand content, pH(KCl) and salinity (chlormequat chloride).Copyright © 2010 Elsevier B.V. All rights reserved.  KEYWORDS:  MeSH Chemical: Pesticides| Soil| Soil Pollutants MeSH: | Adsorption| Pesticides/majr/chemistry| Soil/majr/chemistry| Soil Pollutants/majr/chemistry| Thermodynamics</t>
  </si>
  <si>
    <t>Kodešová R, Kočárek M, Kodeš V, Drábek O, Kozák J, Hejtmánková K</t>
  </si>
  <si>
    <t>540-50</t>
  </si>
  <si>
    <t>The acute toxicity of fipronil to two non-target invertebrates associated with mosquito breeding sites in Australia.</t>
  </si>
  <si>
    <t>Stevens MM, Burdett AS, Mudford EM, Helliwell S, Doran G</t>
  </si>
  <si>
    <t>125-30</t>
  </si>
  <si>
    <t>Synergistic and antagonistic effects of piperonyl butoxide in fipronil-susceptible and resistant rice stem borrers, Chilo suppressalis.</t>
  </si>
  <si>
    <t>Synergistic and antagonistic effects of piperonyl butoxide in fipronil-susceptible and resistant rice stem borrers, Chilo suppressalis.    ABSTRACT:  Using the phenylpyrazole insecticide, fipronil for selection in the laboratory, a resistant Wenzhou strain of the rice stem borer, Chilo suppressalis (Walker) (Lepidoptera: Crambidae) had an LD(50) at least 45.3 times greater than the susceptible Anhui strain. The realized resistant heritability (h(2)) of 0.213 showed that the tolerant phenotype was moderately heritable and had potential to develop higher tolerance to fipronil. Piperonyl butoxide decreased the effects of fipronil on the mortality of the susceptible larvae with 0.27-0.44 times synergistic rates, but increased the toxicity of fipronil on the resistant larvae with 1.85-2.53 times synergistic rates as compared to that of fipronil alone. The inhibitory effect of piperonyl butoxide on the activity of microsomal O-demethylase was greater in susceptible larvae than in the resistant larvae. The differential synergism of fipronil by piperonyl butoxide in the susceptible and resistant C. suppressalis may be caused by the reduced penetration of fipronil in the lab-selected Wenzhou strain.  KEYWORDS:  MeSH Chemical: Insecticides| Pyrazoles| Oxidoreductases, O-Demethylating| Piperonyl Butoxide| fipronil MeSH: | Analysis of Variance| Animals| Biological Assay| China| Insecticide Resistance| Insecticides/majr/antagonists &amp; inhibitors/toxicity| Larva/metabolism| Lepidoptera/majr/metabolism| Lethal Dose 50| Oxidoreductases, O-Demethylating/antagonists &amp; inhibitors| Piperonyl Butoxide/majr/metabolism/pharmacology| Pyrazoles/majr/antagonists &amp; inhibitors/toxicity| Species Specificity</t>
  </si>
  <si>
    <t>Huang Q, Deng Y, Zhan T, He Y</t>
  </si>
  <si>
    <t>Development of virtual bait stations to control Argentine ants (Hymenoptera: Formicidae) in environmentally sensitive habitats.</t>
  </si>
  <si>
    <t>Choe DH, Vetter RS, Rust MK</t>
  </si>
  <si>
    <t>1761-9</t>
  </si>
  <si>
    <t>Developing a systems approach for Sternochetus mangiferae (Coleoptera: Curculionidae) in South Africa.</t>
  </si>
  <si>
    <t>Developing a systems approach for Sternochetus mangiferae (Coleoptera: Curculionidae) in South Africa.    ABSTRACT:  Sternochetus mangiferae (F.) (Coleoptera: Curculionidae) is a quarantine pest of mango, Mangifera indica L., in South Africa. The aim of the study was to test cultural and chemical control measures in a systems approach for risk mitigation of S. mangiferae in South Africa. A large-scale experiment, using a randomized block design with three replicates, was undertaken on 'Tommy Atkins' mangoes in South Africa. Five treatment combinations were applied over two seasons: (1) untreated control; (2) sanitation and physical removal of egg-infested fruit (P+S); (3) thiamethoxam, P+S; (4) thiamethoxam, fipronil, P+S; and 5) thiamethoxam, two fenthion applications, P+S. A weekly random sample of eight fruit from 40 trees per orchard was taken from 5 wk to harvest over two harvest periods. In total, 57,600 fruit were sampled. In a separate experiment, the same variety was used to test the efficacy of covering fruit with paper bags over one season in a completely randomized design. In both trials, all the pests were recorded from internal and external fruit inspections. In trial 1, results after the first season showed &gt;98% control in the three chemical combination treatments. In the second season, treatment 2 provided 19% and treatment 3 99.9% control, whereas no fruit were infested with S. mangiferae in treatments 4 and 5. Trial two showed that fruit bagging significantly reduced S. mangiferae infestation. The data showed that a systems approach for S. mangiferae control in South Africa can be effective and that bagging can be an effective organic control option.  KEYWORDS:  MeSH Chemical: Insecticides| Fenthion MeSH: | Animals| Fenthion/pharmacology| Fruit/parasitology| Insecticides/majr/pharmacology| Mangifera/majr/parasitology| Pest Control/majr/methods| Risk Management/methods| Sanitation/standards| Seasons| South Africa| Weevils/majr/drug effects</t>
  </si>
  <si>
    <t>De Graaf J</t>
  </si>
  <si>
    <t>1577-85</t>
  </si>
  <si>
    <t>Fipronil-induced cell death in salivary glands of Rhipicephalus sanguineus (Latreille, 1806) (Acari: Ixodidae) semi-engorged females.</t>
  </si>
  <si>
    <t>Fipronil-induced cell death in salivary glands of Rhipicephalus sanguineus (Latreille, 1806) (Acari: Ixodidae) semi-engorged females.    ABSTRACT:  The tick Rhipicephalus sanguineus is currently considered an urban plague. For this reason many studies are intended to find methods to control these ectoparasites. Thus, the present study analyzed the ultrastructural modifications of the salivary glands cells of semi-engorged females of R. sanguineus resulting from their exposition to Fipronil (active ingredient of Frontline®). The studied individuals were divided into four groups. Group 1 was exposed to distilled water (control) and groups 2, 3 and 4 were exposed to 1, 5 and 10 ppm of Fipronil, respectively. The salivary gland of ticks subjected to the acaricide showed accelerated process of cell death by atypical apoptosis, as well as augmented cell damages as the concentration of the chemical compound was increased. The acaricide toxicity at cellular level was demonstrated by remarkable changes of elements of the cytoskeleton and spherocrystals (extremely hard inorganic structures). However, tick defense mechanisms, such as the observed autofagic vacuoles proved the cells attempt to preserve their integrity and minimize the devastating action of this chemical compound on the salivary glands.Copyright © 2010 Elsevier Inc. All rights reserved.  KEYWORDS:  MeSH Chemical: Acaricides| Pyrazoles| fipronil MeSH: | Acaricides/majr/pharmacology| Animals| Apoptosis| Female| Microscopy, Electron, Scanning| Microscopy, Electron, Transmission| Pyrazoles/majr/pharmacology| Rhipicephalus sanguineus/majr/cytology/drug effects/ultrastructure| Salivary Glands/cytology/drug effects/ultrastructure</t>
  </si>
  <si>
    <t>Pereira CP, de Oliveira PR, Furquim KC, Bechara GH, Camargo-Mathias MI</t>
  </si>
  <si>
    <t>Experimental parasitology</t>
  </si>
  <si>
    <t>481-9</t>
  </si>
  <si>
    <t>Toxicity effect of the acaricide fipronil in semi-engorged females of the tick Rhipicephalus sanguineus (Latreille, 1806) (Acari: Ixodidae): preliminary determination of the minimum lethal concentration and LC(50).</t>
  </si>
  <si>
    <t>Toxicity effect of the acaricide fipronil in semi-engorged females of the tick Rhipicephalus sanguineus (Latreille, 1806) (Acari: Ixodidae): preliminary determination of the minimum lethal concentration and LC(50).    ABSTRACT:  Chemical acaricides, especially fipronil (active ingredient of Frontline®), are still the most effective method to control tick populations. In this study, the effectiveness of fipronil was assessed in semi-engorged females of the tick Rhipicephalus sanguineus. A protocol for an in vitro bioassay (AIT) was developed, and the LC(50) (lethal concentration 50%) and 95% confidence interval were determined. Ticks were immersed in Petri dishes with different concentrations of fipronil or distilled water for 2 min, dried, and placed in an incubator for 7 days. Dead R. sanguineus females treated with the 14 concentrations of fipronil were counted daily. Mortality results were compared with the Probit analysis, and the LC(50) and 95% confidence interval were calculated, g (95): LC(50) = 9.647 (4.711 to 13.470). This study was aimed at developing a more appropriate and updated protocol for an in vitro bioassay (AIT--adult immersion test), and providing information on the toxic potential of fipronil (elimination of ectoparasites with lower concentrations) and sensitivity of ticks, especially R. sanguineus, a pest of great interest, due to its occurrence in urban environments.Copyright © 2010 Elsevier Inc. All rights reserved.  KEYWORDS:  MeSH Chemical: Acaricides| Pyrazoles| fipronil MeSH: | Acaricides/majr| Animals| Biological Assay| Confidence Intervals| Female| Lethal Dose 50| Pyrazoles/majr| Rhipicephalus sanguineus/majr| Tick Control/methods</t>
  </si>
  <si>
    <t>de Oliveira PR, Bechara GH, Denardi SE, Pizano MA, Mathias MI</t>
  </si>
  <si>
    <t>418-22</t>
  </si>
  <si>
    <t>Sarcoptes scabiei var. canis refractory to ivermectin treatment in two dogs.</t>
  </si>
  <si>
    <t>Sarcoptes scabiei var. canis refractory to ivermectin treatment in two dogs.    ABSTRACT:  A 10-year-old castrated male Shih Tzu presented with severe generalized pruritus. Skin scrapings revealed the presence of Sarcoptes scabiei var. canis. A Yorkshire terrier in the same household simultaneously developed pruritus due to scabies. Both dogs were treated with 300 μg/kg ivermectin, at first orally and then subcutaneously at 14 day intervals. However, live mites were still found on day 35, and the skin condition deteriorated in both dogs. These findings suggested that the S. scabiei in these dogs was clinically refractory to ivermectin. The pruritus in both dogs rapidly and completely disappeared following topical fipronil administration. This appears to be the first report of canine scabies refractory to ivermectin treatment.© 2010 The Authors. Journal compilation © 2010 ESVD and ACVD.  KEYWORDS:  MeSH Chemical: Antiparasitic Agents| Pyrazoles| Ivermectin| fipronil MeSH: | Animals| Antiparasitic Agents/majr/therapeutic use| Dog Diseases/majr/drug therapy/parasitology| Dogs| Drug Resistance| Ivermectin/majr/therapeutic use| Male| Pyrazoles/therapeutic use| Sarcoptes scabiei/majr/drug effects| Scabies/majr/drug therapy/parasitology/veterinary</t>
  </si>
  <si>
    <t>Terada Y, Murayama N, Ikemura H, Morita T, Nagata M</t>
  </si>
  <si>
    <t>608-12</t>
  </si>
  <si>
    <t>Interaction between Short-Term Heat Pretreatment and Fipronil on 2 Instar Larvae of Diamondback Moth, Plutella Xylostella (Linn).</t>
  </si>
  <si>
    <t>Interaction between Short-Term Heat Pretreatment and Fipronil on 2 Instar Larvae of Diamondback Moth, Plutella Xylostella (Linn).    ABSTRACT:  Based on the cooperative virulence index (c.f.) and LC(50) of fipronil, the interaction effect between short-term heat pretreatment and fipronil on 2(nd) instar larvae of diamondback moth (DBM), Plutella xylostella (Linnaeus), was assessed. The results suggested that pretreatment of the tested insects at 30 °C for 2, 4 and 8h could somewhat decrease the toxicity of fipronil at all set concentrations. The LC(50) values of fipronil increased after heat pretreatment and c.f. values in all these treatments were below zero. These results indicated that real mortalities were less than theoretical ones and antagonism was found in the treatments of fipronil at 0.39 and 0.78 mg/L after heat pretreatment at 30 °C at 2, 4 and 8 h. However, pretreatment at 30 °C for 12h could increase the toxicity of fipronil at all set concentrations, the LC(50) of fipronil decreased after heat pretreatment and c.f. values in all these treatments were above zero, which indicated real mortalities were higher than theoretical ones. Pretreatment of the tested insects at 35 °C for 2, 4, 8 and 12h was found to increase the toxicity of fipronil at all set concentrations which resulted in the decrease of LC(50) values of fipronil and c.f. above zero in all treatments with only one exception. Most interactions were assessed as synergism. The results indicated that cooperative virulence index (c.f.) may be adopted in hormetic effect assessment.  KEYWORDS:  Other:LC50|Plutella xylostella (Linn)|cooperative virulence index (c.f.)|diamondback moth (DBM)|fipronil|hormetic|short-term heat pretreatment</t>
  </si>
  <si>
    <t>Gu X, Tian S, Wang D, Gao F, Wei H</t>
  </si>
  <si>
    <t>Dose-response : a publication of International Hormesis Society</t>
  </si>
  <si>
    <t>331-46</t>
  </si>
  <si>
    <t>An assessment of honeybee colony matrices, Apis mellifera (Hymenoptera: Apidae) to monitor pesticide presence in continental France.</t>
  </si>
  <si>
    <t>An assessment of honeybee colony matrices, Apis mellifera (Hymenoptera: Apidae) to monitor pesticide presence in continental France.    ABSTRACT:  The frequency of occurrence and relative concentration of 44 pesticides in apicultural (Apis mellifera) matrices collected from five French locations (24 apiaries) were assessed from 2002 to 2005. The number and nature of the pesticides investigated varied with the matrices examined-living honeybees, pollen loads, honey, and beeswax. Pollen loads and beeswax had the highest frequency of pesticide occurrence among the apiary matrices examined in the present study, whereas honey samples had the lowest. The imidacloprid group and the fipronil group were detected in sufficient amounts in all matrices to allow statistical comparisons. Some seasonal variation was shown when residues were identified in pollen loads. Given the results (highest frequency of presence) and practical aspects (easy to collect; matrix with no turnover, unlike with bees that are naturally renewed), pollen loads were the best matrix for assessing the presence of pesticide residues in the environment in our given conditions.© 2010 SETAC.  KEYWORDS:  MeSH Chemical: Environmental Pollutants| Pesticides| Waxes| beeswax MeSH: | Animals| Bees/majr/metabolism| Environmental Monitoring/majr/methods| Environmental Pollutants/majr/analysis/metabolism| Environmental Pollution/statistics &amp; numerical data| France| Honey/analysis| Models, Biological| Pesticides/majr/analysis/metabolism| Pollen/chemistry| Waxes/chemistry</t>
  </si>
  <si>
    <t>Chauzat MP, Martel AC, Cougoule N, Porta P, Lachaize J, Zeggane S, Aubert M, Carpentier P, Faucon JP</t>
  </si>
  <si>
    <t>103-11</t>
  </si>
  <si>
    <t>Acute illnesses associated with exposure to fipronil--surveillance data from 11 states in the United States, 2001-2007.</t>
  </si>
  <si>
    <t>Acute illnesses associated with exposure to fipronil--surveillance data from 11 states in the United States, 2001-2007.    ABSTRACT:  Fipronil is a broad-spectrum phenylpyrazole insecticide widely used to control residential pests and is also commonly used for flea and tick treatment on pets. It is a relatively new insecticide and few human toxicity data exist on fipronil.This paper describes the magnitude and characteristics of acute illnesses associated with fipronil exposure.Illness cases associated with exposure to fipronil-containing products from 2001 to 2007 were identified from the Sentinel Event Notification System for Occupational Risks (SENSOR)-Pesticides Program and the California Department of Pesticide Regulation.A total of 103 cases were identified in 11 states. Annual case counts increased from 5 in 2001 to 30 in 2007. Of the cases, 55% were female, the median age was 37 years, and 11% were &lt;15 years old. The majority (76%) had exposure in a private residence, 37% involved the use of pet-care products, and 26% had work-related exposures. Most cases (89%) had mild, temporary health effects. Neurological symptoms (50%) such as headache, dizziness, and paresthesia were the most common, followed by ocular (44%), gastrointestinal (28%), respiratory (27%), and dermal (21%) symptoms/signs. Exposures usually occurred from inadvertent spray/splash/spill of products or inadequate ventilation of the treated area before re-entry.Our findings indicate that exposure to fipronil can pose a risk for mild, temporary health effects in various body systems. Precautionary actions should be reinforced to prevent fipronil exposure to product users.  KEYWORDS:  MeSH Chemical: Insecticides| Pyrazoles| fipronil MeSH: | Acute Disease| Adolescent| Adult| Aged| Aged, 80 and over| Child| Child, Preschool| Female| Humans| Infant| Insecticides/majr/poisoning| Male| Middle Aged| Occupational Exposure/prevention &amp; control| Protective Devices| Pyrazoles/majr/poisoning| Time Factors| United States</t>
  </si>
  <si>
    <t>Lee SJ, Mulay P, Diebolt-Brown B, Lackovic MJ, Mehler LN, Beckman J, Waltz J, Prado JB, Mitchell YA, Higgins SA, Schwartz A, Calvert GM</t>
  </si>
  <si>
    <t>Clinical toxicology (Philadelphia, Pa.)</t>
  </si>
  <si>
    <t>737-44</t>
  </si>
  <si>
    <t>Binding modes of noncompetitive GABA-channel blockers revisited using engineered affinity-labeling reactions combined with new docking studies.</t>
  </si>
  <si>
    <t>Binding modes of noncompetitive GABA-channel blockers revisited using engineered affinity-labeling reactions combined with new docking studies.    ABSTRACT:  The binding modes of noncompetitive GABA(A)-channel blockers were re-examined taking into account the recent description of the 3D structure of prokaryotic pentameric ligand-gated ion channels, which provided access to new mammalian or insect GABA receptor models, emphasizing their transmembrane portion. Two putative binding modes were deciphered for this class of compounds, including the insecticide fipronil, located nearby either the intra- or the extracellular part of the membrane, respectively. These results are in full agreement with previously described affinity-labeling reactions performed with GABA(A) noncompetitive blockers (Perret et al. J. Biol. Chem.1999, 274, 25350-25354).  KEYWORDS:  MeSH Chemical: Affinity Labels| GABA-A Receptor Antagonists| Insecticides| Pyrazoles| Receptors, GABA-A| fipronil MeSH: | Affinity Labels/majr| Amino Acid Sequence| Animals| Binding Sites| GABA-A Receptor Antagonists/majr/chemistry/metabolism| Insecticides/majr/chemistry/metabolism| Models, Molecular| Molecular Sequence Data| Mutagenesis, Site-Directed| Protein Binding| Protein Engineering| Pyrazoles/metabolism| Rats| Receptors, GABA-A/majr/chemistry/genetics/metabolism</t>
  </si>
  <si>
    <t>Charon S, Taly A, Rodrigo J, Perret P, Goeldner M</t>
  </si>
  <si>
    <t>2803-7</t>
  </si>
  <si>
    <t>Biotype and insecticide resistance status of the whitefly Bemisia tabaci from China.</t>
  </si>
  <si>
    <t>Biotype and insecticide resistance status of the whitefly Bemisia tabaci from China.    ABSTRACT:  Resistance to numerous insecticide classes in Bemisia tabaci Gennadius has impaired field control efficacy in south-eastern China. The biotype and resistance status of B. tabaci collected from these areas was investigated.Two different biotypes of B. tabaci (B-biotype and Q-biotype) were detected in south-eastern China, and the samples collected from geographical regions showed a prevalence of the Q-biotype and the coexistence of B- and Q-biotypes in some regions. Moderate to high levels of resistance to two neonicotinoids were established in both biotypes (28-1900-fold to imidacloprid, 29-1200-fold to thiamethoxam). Medium to high levels of resistance to alpha-cypermethrin (22-610-fold) were also detected in both biotypes. Four out of 12 populations had low to medium levels of resistance to fipronil (10-25-fold). Four out of 12 populations showed low levels of resistance to spinosad (5.7-6.4-fold). All populations tested were susceptible to abamectin.The Q-biotype B. tabaci is supplanting the B-biotype which used to be ubiquitous in China. Field populations of both B- and Q-biotypes of B. tabaci have developed high levels of resistance to imidacloprid and thiamethoxam. Abamectin is the most effective insecticide against adult B. tabaci from all populations.Copyright © 2010 Society of Chemical Industry.  KEYWORDS:  MeSH Chemical: Imidazoles| Insect Proteins| Insecticides| Neonicotinoids| Nitro Compounds| Pyrethrins| cypermethrin| imidacloprid| abamectin| Ivermectin| Electron Transport Complex IV MeSH: | Animals| China| Electron Transport Complex IV/genetics| Hemiptera/majr/classification/drug effects/enzymology/genetics| Imidazoles/pharmacology| Insect Control| Insect Proteins/genetics| Insecticide Resistance/majr| Insecticides/pharmacology| Ivermectin/analogs &amp; derivatives| Molecular Sequence Data| Neonicotinoids| Nitro Compounds/pharmacology| Phylogeny| Plants/parasitology| Pyrethrins/pharmacology</t>
  </si>
  <si>
    <t>Wang Z, Yan H, Yang Y, Wu Y</t>
  </si>
  <si>
    <t>1360-6</t>
  </si>
  <si>
    <t>Wash-off potential of urban use insecticides on concrete surfaces.</t>
  </si>
  <si>
    <t>Jiang W, Lin K, Haver D, Qin S, Ayre G, Spurlock F, Gan J</t>
  </si>
  <si>
    <t>1203-8</t>
  </si>
  <si>
    <t>Analysis, occurrence, and toxic potential of pyrethroids, and fipronil in sediments from an urban estuary.</t>
  </si>
  <si>
    <t>Analysis, occurrence, and toxic potential of pyrethroids, and fipronil in sediments from an urban estuary.    ABSTRACT:  Eight pyrethroids and fipronil and its three major degradates were analyzed in urban estuarine sediments that exhibited a range of toxic effects to an amphipod test species. Sediments from Ballona Creek, an urban estuary in Southern California (USA), collected during three dry season events were analyzed by gas chromatography with electron capture and negative chemical ionization mass spectrometric detection (GC-ECD and GC-NCI-MS). The two detection methods were in agreement for intermediate levels of pyrethroid contamination (10-50 ng/g dry wt) but deviated for both low and high concentrations (&lt; 5 and &gt; 50 ng/g). Sediments contained total pyrethroids as high as 473 ng/g with permethrin, bifenthrin, and cypermethrin as the most abundant compounds. In contrast, fipronil and its desulfinyl, sulfide, and sulfone degradates were detected at much lower levels (&lt;or= 0.18-16 ng/g). Toxic units estimated for these compounds revealed that bifenthrin and cypermethrin were likely contributors to the mortality observed in tests with the estuarine amphipod Eohaustorius estuarius. Although fipronil was not a likely contributor to the observed mortality, the concentrations detected may be of concern for more sensitive crustacean species. Furthermore, the spatial pattern of pyrethroid contamination and potential toxicity was highly correlated with fine-grained substrate, which shifted to downstream stations within a three-month period during the dry season.(c) 2010 SETAC.  KEYWORDS:  MeSH Chemical: Insecticides| Pyrazoles| Pyrethrins| Water Pollutants, Chemical| fipronil MeSH: | Amphipoda/drug effects| Animals| Gas Chromatography-Mass Spectrometry| Geologic Sediments/majr/analysis| Insecticides/majr/analysis/toxicity| Pyrazoles/majr/analysis/toxicity| Pyrethrins/majr/analysis/toxicity| Water Pollutants, Chemical/majr/analysis</t>
  </si>
  <si>
    <t>Lao W, Tsukada D, Greenstein DJ, Bay SM, Maruya KA</t>
  </si>
  <si>
    <t>843-51</t>
  </si>
  <si>
    <t>Toxicities of fipronil enantiomers to the honeybee Apis mellifera L. and enantiomeric compositions of fipronil in honey plant flowers.</t>
  </si>
  <si>
    <t>Toxicities of fipronil enantiomers to the honeybee Apis mellifera L. and enantiomeric compositions of fipronil in honey plant flowers.    ABSTRACT:  Fipronil is a chiral phenylpyrazole insecticide that is effective for control of a wide range of agricultural and domestic pests at low application rates. Wide application of fipronil also causes poisoning of some nontarget insects, such as honeybees. In the present study, toxicities of fipronil enantiomers and racemate to the honeybee Apis mellifera L. were determined to examine whether using formulations of single or enriched fipronil enantiomer is a possible option to reduce risks to bees. Contact toxicity tests yielded median lethal doses (LD50) of 3.45, 3.38, and 3.86 ng/bee for the R(-)-enantiomer, S(+)-enantiomer, and racemate, respectively. Analysis of variance indicates that the LD50 values are not statistically different (p = 0.41). Oral toxicities of the R-enantiomer, S-enantiomer, and racemate (nominal median lethal concentration = 0.037, 0.045, 0.053 mg/L, respectively) were also demonstrated to be not statistically different (p = 0.20). In addition, enantiomeric fractions of fipronil in the flowers of three honey plants (Brassica campestris, Cucumis sativus, and Chrysanthemum indicum L.) were examined after treatment with fipronil. It was found that degradation of fipronil in all three plants is not enantioselective. These results indicate that it is unlikely that use of formulations with single or enriched fipronil enantiomer would reduce the risk that fipronil poses to honeybees. Improved fipronil application practices (based on safest timing and bloom conditions) and reduction of overall fipronil usage seem to be more realistic options.  KEYWORDS:  MeSH Chemical: Insecticides| Pyrazoles| fipronil MeSH: | Animals| Bees/majr/drug effects| Flowers/majr/chemistry| Insecticides/majr/toxicity| Lethal Dose 50| Pyrazoles/majr/analysis/chemistry/toxicity| Stereoisomerism</t>
  </si>
  <si>
    <t>Li X, Bao C, Yang D, Zheng M, Li X, Tao S</t>
  </si>
  <si>
    <t>127-32</t>
  </si>
  <si>
    <t>Effect of triazophos, fipronil and their mixture on miRNA expression in adult zebrafish.</t>
  </si>
  <si>
    <t>Effect of triazophos, fipronil and their mixture on miRNA expression in adult zebrafish.    ABSTRACT:  MicroRNA (miRNA) plays a crucial role in gene expression regulation. However, no data are available on change of miRNA expression of zebrafish (Danio rerio) after treatment with pesticides. We evaluated the effect of fipronil (5-amino-1-[2, 6-dichloro-4-(trifluoromethyl) phenyl]-4-[(trifluoromethyl) sulfinyl]-1H-pyrazole-3-carbonitrile) and triazophos (3-(O, O-diethyl)-1-phenyl thiophosphoryl-1, 2, 4-triazol) and their mixture on miRNA expression in zebrafish.MiRNA expression profiles in zebrafish were altered after treatment with these chemicals. An association between these chemicals and the expression of 21 miRNAs was found 96 h after treatment. Among them, 14 miRNAs were differentially expressed due to the treatments with fipronil, triazophos and their mixture; 5 miRNAs showed altered expression level after treatment with formulations of these chemicals; miR-29b and miR-738 were differentially expressed after treatment with adjuvants. MiRNAs might present a novel toxicological response that could be used as a toxicological biomarker and have a different direction for future investigations of their association with miRNAs involved in chemical related diseases.  KEYWORDS:  MeSH Chemical: MicroRNAs| Organothiophosphates| Pesticides| Pyrazoles| Triazoles| triazophos| fipronil MeSH: | Animals| Environmental Monitoring| Gene Expression Regulation/majr/drug effects| MicroRNAs/majr/genetics/metabolism| Organothiophosphates/majr/pharmacology| Pesticides/majr/pharmacology| Pyrazoles/majr/pharmacology| Triazoles/majr/pharmacology| Zebrafish/majr/genetics/metabolism</t>
  </si>
  <si>
    <t>Wang X, Zhou S, Ding X, Zhu G, Guo J</t>
  </si>
  <si>
    <t>648-57</t>
  </si>
  <si>
    <t>Anti-androgenic activities of environmental pesticides in the MDA-kb2 reporter cell line.</t>
  </si>
  <si>
    <t>Anti-androgenic activities of environmental pesticides in the MDA-kb2 reporter cell line.    ABSTRACT:  Pesticides have been suspected to act as endocrine disruptive compounds (EDCs) through several mechanisms of action, however data are still needed for a number of currently used pesticides. In the present study, 30 environmental pesticides selected from different chemical classes (azole, carbamate, dicarboximide, organochlorine, organophosphorus, oxadiazole, phenylureas, pyrazole, pyrimidine, pyrethroid and sulfonylureas) were tested for their ability to alter in vitro the transcriptional activity of the androgen receptor in the MDA-kb2 reporter cell line. The responsiveness of the system was checked by using a panel of reference ligands of androgen and glucocorticoid receptors. When tested alone at concentrations up to 10 μM, none of the studied pesticides were able to induce the reporter gene after a 18 h exposure. Conversely, co-exposure experiments with 0.1 nM dihydrotestosterone (DHT) allowed identifying 15 active pesticides with IC(50) ranging from 0.2 μM for vinclozolin to 12 μM for fenarimol. Fipronil and bupirimate were here newly described for their AR antagonistic activity.Copyright © 2010 Elsevier Ltd. All rights reserved.  KEYWORDS:  MeSH Chemical: Androgen Receptor Antagonists| Endocrine Disruptors| Pesticides| Dihydrotestosterone MeSH: | Androgen Receptor Antagonists/majr/administration &amp; dosage/toxicity| Cell Line, Tumor| Dihydrotestosterone/toxicity| Endocrine Disruptors/majr/administration &amp; dosage/toxicity| Genes, Reporter/drug effects| Humans| Inhibitory Concentration 50| Pesticides/majr/toxicity| Time Factors| Transcription, Genetic/drug effects</t>
  </si>
  <si>
    <t>Aït-Aïssa S, Laskowski S, Laville N, Porcher JM, Brion F</t>
  </si>
  <si>
    <t>Toxicology in vitro : an international journal published in association with BIBRA</t>
  </si>
  <si>
    <t>1979-85</t>
  </si>
  <si>
    <t>Impact of ant control technologies on insecticide runoff and efficacy.</t>
  </si>
  <si>
    <t>Greenberg L, Rust MK, Klotz JH, Haver D, Kabashima JN, Bondarenko S, Gan J</t>
  </si>
  <si>
    <t>980-7</t>
  </si>
  <si>
    <t>Effect of vegetation on the longevity, mobility and activity of fipronil applied at the termiticidal rate in laboratory soil columns.</t>
  </si>
  <si>
    <t>Effect of vegetation on the longevity, mobility and activity of fipronil applied at the termiticidal rate in laboratory soil columns.    ABSTRACT:  Termiticides are applied at concentrations much higher than those used in agricultural settings. The longevity of fipronil has not yet been examined at the rates used for termite control, nor has the compound's movement in the soil been addressed.Fipronil was detected in the eluates of treated soil cones, increasing initially and then decreasing to a steady concentration of about 1 microg mL(-1). In larger PVC pipe plots, fipronil in the top treated soil depth (0-7.5 cm) dissipated more rapidly (half-life of 11-13 months) than in treated soil at the next treated depth (7.5-15 cm; half-life of 20-29 months). The presence of vegetation had no significant effect on the mobility, longevity or movement into untreated depths. Treated soil remained toxic to termites throughout the duration of the study. Fipronil moved into the 15-22.5 cm soil depth in sufficient concentration to cause 100% mortality to eastern subterranean termites in 3 day bioassays.Fipronil remains in treated soil at levels toxic to termites for at least 30 months. Movement of the active ingredient was observed in sufficient amounts to kill termites in non-treated soil directly below the treated soil.Published 2010 by John Wiley &amp; Sons, Ltd.  KEYWORDS:  MeSH Chemical: Insecticides| Pyrazoles| Soil| Polyvinyl Chloride| fipronil MeSH: | Animals| Biological Assay| Chemistry, Pharmaceutical| Drug Residues/chemistry| Insecticides/majr/analysis/chemistry| Isoptera/majr| Laboratories/majr| Motion/majr| Plants/majr| Polyvinyl Chloride| Pyrazoles/majr/analysis/chemistry| Soil/majr/chemistry| Time Factors</t>
  </si>
  <si>
    <t>Peterson CJ</t>
  </si>
  <si>
    <t>944-8</t>
  </si>
  <si>
    <t>Diagnoses of fipronil resistance in Brazilian cattle ticks (Rhipicephalus (Boophilus) microplus) using in vitro larval bioassays.</t>
  </si>
  <si>
    <t>Castro-Janer E, Martins JR, Mendes MC, Namindome A, Klafke GM, Schumaker TT</t>
  </si>
  <si>
    <t>300-6</t>
  </si>
  <si>
    <t>Fipronil mobility and transformation in undisturbed soil columns.</t>
  </si>
  <si>
    <t>Fipronil mobility and transformation in undisturbed soil columns.    ABSTRACT:  The downward movement of fipronil and its two toxic metabolites i.e. sulfone and desulfinyl were studied in undisturbed soil columns. Mobility behavior of two different formulations of fipronil viz granular and suspension concentrate were also studied. The undisturbed columns containing sandy loam soil were leached with water equivalent to 400 mm rainfall. Results revealed that although majority of the fipronil (approximately 80%) remained in top 0-5 cm layer, substantial amount (approximately 15%) moved to 5-10 cm depth. In case of metabolites sulfone and desulfinyl &gt;90% of the residues remained in 0-5 cm core indicating low mobility of these metabolites in comparison to fipronil. Results of mobility behavior of fipronil in granular and SC formulations revealed low mobility in granular formulation. Sulfide was detected as the major degradation product in both the formulations and was found to be distributed throughout the column. A little amount of sulfone (0.1% of the total recovered) was also detected upto 10 cm depth.  KEYWORDS:  MeSH Chemical: Insecticides| Pyrazoles| Soil| Soil Pollutants| Sulfones| Water| fipronil MeSH: | Gas Chromatography-Mass Spectrometry/methods| Insecticides/majr/chemistry/metabolism| Pyrazoles/majr/chemistry/metabolism| Soil/majr/analysis| Soil Pollutants/majr/chemistry| Sulfones/chemistry| Water/chemistry| Water Movements| Water Pollution/analysis</t>
  </si>
  <si>
    <t>Chatterjee NS, Gupta S</t>
  </si>
  <si>
    <t>152-6</t>
  </si>
  <si>
    <t>Quantification of fipronil and its metabolite fipronil sulfone in rat plasma over a wide range of concentrations by LC/UV/MS.</t>
  </si>
  <si>
    <t>Quantification of fipronil and its metabolite fipronil sulfone in rat plasma over a wide range of concentrations by LC/UV/MS.    ABSTRACT:  Fipronil is an insecticide extensively used to treat pets, which has been identified as a potential thyroid disruptor in the rat. In this species, fipronil is mainly metabolized to fipronil sulfone and plasma concentrations of fipronil sulfone can be at least 20-fold higher than those of fipronil. Investigations of fipronil and fipronil sulfone exposure in blood remain sparse because of the lack of convenient and suitable analytical methods. We have developed and validated an LC/UV/MS/MS method to quantify both fipronil and fipronil sulfone within a wide range of concentrations in rat plasma. The double detection UV and MS coupled on-line enabled the concentrations to be measured over a 3 Log range (2.5-2500 ng/mL). The volume of sample required for the extraction by solid phase extraction was reduced to 75 microL with a recovery higher than 70%. The two-detection method agreement, evaluated with a Bland-Altman plot, was good for concentrations between 50 and 150 ng/mL. The method was applied to monitor plasma concentrations following a commonly used dosage regimen for the toxicological evaluation of fipronil in rats.2010 Elsevier B.V. All rights reserved.  KEYWORDS:  MeSH Chemical: Insecticides| Pyrazoles| fipronil sulfone| fipronil MeSH: | Animals| Chromatography, High Pressure Liquid/majr/instrumentation/methods| Female| Insecticides/majr/blood/metabolism| Pyrazoles/majr/blood/metabolism| Rats| Rats, Wistar| Sensitivity and Specificity| Tandem Mass Spectrometry/majr/instrumentation/methods</t>
  </si>
  <si>
    <t>Lacroix MZ, Puel S, Toutain PL, Viguié C</t>
  </si>
  <si>
    <t>878</t>
  </si>
  <si>
    <t>1934-8</t>
  </si>
  <si>
    <t>Validation of an off line solid phase extraction liquid chromatography-tandem mass spectrometry method for the determination of systemic insecticide residues in honey and pollen samples collected in apiaries from NW Spain.</t>
  </si>
  <si>
    <t>García-Chao M, Agruña MJ, Flores Calvete G, Sakkas V, Llompart M, Dagnac T</t>
  </si>
  <si>
    <t>107-13</t>
  </si>
  <si>
    <t>Activity of bifenthrin, chlorfenapyr, fipronil, and thiamethoxam against red imported fire ants (Hymenoptera: Formicidae).</t>
  </si>
  <si>
    <t>Activity of bifenthrin, chlorfenapyr, fipronil, and thiamethoxam against red imported fire ants (Hymenoptera: Formicidae).    ABSTRACT:  Bifenthrin, chlorfenapyr, fipronil, and thiamethoxam were evaluated for activity against the red imported fire ant, Solenopsis invicta Buren (Hymenoptera: Formicidae). Mobility impairment and lethal times were determined after topical treatments. Both immobilization and mortality occurred most quickly with bifenthrin, followed by thiamethoxam, chlorfenapyr, and fipronil. Mortality due to horizontal exposure was evaluated at 10, 20, or 30 degrees C, with three ratios of topically treated donor ant corpses to live recipients (5, 10, or 20% donors). Bifenthrin had the greatest horizontal activity of the chemicals tested. For chlorfenapyr, the only treatments having higher mortality than controls were the highest percentage donors at either 10 or 30 degrees C. Horizontal activity of fipronil was temperature dependent only with the highest proportion of donors and was lower than that ofbifenthrin but higher than that of chlorfenapyr or thiamethoxam. Mean mortality due to thiamethoxam was similar to that with chlorfenapyr. Significant mortality occurred in all of the 20 and 30 degrees C thiamethoxam treatments, but none of the 10 degrees C treatments. Effectiveness as a barrier was evaluated by providing a choice between bridges treated with insecticide or water. Although bifenthrin did not provide an impenetrable barrier, it was the only treatment having fewer ants than its paired control bridge. Mortality data suggest that a reduction in recruitment rather than repellency account for this result.  KEYWORDS:  MeSH Chemical: Insecticides| Neonicotinoids| Nitro Compounds| Oxazines| Pyrazoles| Pyrethrins| Thiazoles| bifenthrin| Thiamethoxam| chlorfenapyr| fipronil MeSH: | Animals| Ants/majr| Insecticides/majr| Neonicotinoids| Nitro Compounds| Oxazines| Pyrazoles| Pyrethrins| Thiamethoxam| Thiazoles| Toxicity Tests</t>
  </si>
  <si>
    <t>Wiltz BA, Suiter DR, Gardner WA</t>
  </si>
  <si>
    <t>754-61</t>
  </si>
  <si>
    <t>Glutamate-activated chloride channels: Unique fipronil targets present in insects but not in mammals.</t>
  </si>
  <si>
    <t xml:space="preserve">Glutamate-activated chloride channels: Unique fipronil targets present in insects but not in mammals.    ABSTRACT:  Selectivity to insects over mammals is one of the important characteristics for a chemical to become a useful insecticide. Fipronil was found to block cockroach GABA receptors more potently than rat GABA(A) receptors. Furthermore, glutamate-activated chloride channels (GluCls), which are present in cockroaches but not in mammals, were very sensitive to the blocking action of fipronil. The IC(50)s of fipronil block were 30 nM in cockroach GABA receptors and 1600 nM in rat GABA(A) receptors. Moreover, GluCls of cockroach neurons had low IC(50)s for fipronil. Two types of glutamate-induced chloride current were obswerved: desensitizing and non-desensitizing, with fipronil IC(50)s of 800 and 10 nM, respectively. We have developed methods to separately record these two types of GluCls. The non-desensitizing and desensitizing currents were selectively inhibited by trypsin and polyvinylpyrrolidone, respectively. In conclusion, in addition to GABA receptors, GluCls play a crucial role in selectivity of fipronil to insects over mammals. GluCls form the basis for development of selective and safe insecticides.  KEYWORDS: </t>
  </si>
  <si>
    <t>Narahashi T, Zhao X, Ikeda T, Salgado VL, Yeh JZ</t>
  </si>
  <si>
    <t>149-152</t>
  </si>
  <si>
    <t>Comparative efficacy of two fipronil spot-on formulations against experimental tick infestations (Ixodes ricinus) in dogs.</t>
  </si>
  <si>
    <t>Bonneau S, Gupta S, Cadiergues MC</t>
  </si>
  <si>
    <t>735-9</t>
  </si>
  <si>
    <t>Characterization of residential pest control products used in inner city communities in New York City.</t>
  </si>
  <si>
    <t>Horton MK, Jacobson JB, McKelvey W, Holmes D, Fincher B, Quantano A, Diaz BP, Shabbazz F, Shepard P, Rundle A, Whyatt RM</t>
  </si>
  <si>
    <t>Journal of exposure science &amp; environmental epidemiology</t>
  </si>
  <si>
    <t>291-301</t>
  </si>
  <si>
    <t>Influence of biochars on plant uptake and dissipation of two pesticides in an agricultural soil.</t>
  </si>
  <si>
    <t>Yang XB, Ying GG, Peng PA, Wang L, Zhao JL, Zhang LJ, Yuan P, He HP</t>
  </si>
  <si>
    <t>7915-21</t>
  </si>
  <si>
    <t>[Effect of fipronil on apoptosis rate and Bcl-2 of PC12 cells].</t>
  </si>
  <si>
    <t>[Effect of fipronil on apoptosis rate and Bcl-2 of PC12 cells].    ABSTRACT:  To study the apoptosis and mechanism of Fipronil on PC12 Cells.The effect of fipronil on the apoptosis and necrosis of PC12 cells of 3.13 x 10(-6), 1.25 x 10(-5) and 5.00 x 10(-5) mol/L three dose groups after 24 h treatment was detected by morphology and the apoptosis rate was detected by flow cytometer (FCM). The expression of Bcl-2 protein in PC12 cells of 3.13 x 10(-6), 1.25 x 10(-5) and 5.00 x 10(-5) mol/L three dose groups after 24 h treatment was measured by immunofluorescence.The number of apoptotic cells of 3.13 x 10(-6) mol/L group was more than the control group examined by fluorescence microscope, and the number of dead cells of 5.00 x 10(-5) mol/L group was more than the control group. The apoptotic rates of PC12 cells was higher in the 3.13 x 10(-6) mol/L group than the control group measured by FCM, and the dead rates of PC12 cells was higher in the 5.00 x 10(-5) mol/L group than the control group (P &lt; 0.05). Immunofluorescence cytochemistry experiment demonstrated that the level of Bcl-2 expression was significantly lower in the 3.13 x 10(-6) mol/L group than the control group.At low dosage, fipronil increases the apoptotic rates of PC12 cells possibly by decreasing the expression of Bcl-2 protein while at high dosage, fipronil only increases the amount of necrotic cells.  KEYWORDS:  MeSH Chemical: Proto-Oncogene Proteins c-bcl-2| Pyrazoles| fipronil MeSH: | Animals| Apoptosis/majr/drug effects| PC12 Cells| Proto-Oncogene Proteins c-bcl-2/majr/metabolism| Pyrazoles/majr/toxicity| Rats</t>
  </si>
  <si>
    <t>Hu XF, Li J, Zhuang W, Li L</t>
  </si>
  <si>
    <t>Zhonghua lao dong wei sheng zhi ye bing za zhi = Zhonghua laodong weisheng zhiyebing zazhi = Chinese journal of industrial hygiene and occupational diseases</t>
  </si>
  <si>
    <t>264-7</t>
  </si>
  <si>
    <t>Oxidative removal and kinetics of fipronil in various oxidation systems for drinking water treatment.</t>
  </si>
  <si>
    <t>Oxidative removal and kinetics of fipronil in various oxidation systems for drinking water treatment.    ABSTRACT:  Fipronil, a pesticide gaining wide usage, was oxidized with common drinking water treatment disinfectants and oxidants; with a degradate identified using liquid chromatography-mass spectrometry. Oxidants investigated were free chlorine (HOCl/OCl(-)), monochloramine (ClNH(2)), chlorine dioxide (ClO(2)), and permanganate (MnO(4)(-)) at pH 6.6 and 8.6. Free chlorine, chlorine dioxide, and permanganate were reactive with fipronil to various degrees, whereas monochloramine was only marginally reactive. No oxidation products were observed for free chlorine, monochloramine, or chlorine dioxide. Oxidation by permanganate produced an identifiable degradate, fipronil sulfone, which was recalcitrant to further oxidation by permanganate. Fipronil sulfone could, however, be further degraded by free chlorine. Under typical conditions of water treatment, free chlorine was an effective oxidant for fipronil and fipronil sulfone, achieving partial removal at typical conditions. pH effects were observed for free chlorine, chlorine dioxide, and permanganate with more rapid oxidation occurring at pH 8.6 than at pH 6.6.  KEYWORDS:  MeSH Chemical: Pesticides| Pyrazoles| Water Pollutants, Chemical| fipronil MeSH: | Hydrogen-Ion Concentration| Kinetics| Oxidation-Reduction| Pesticides/majr/chemistry| Pyrazoles/majr/chemistry| Water Pollutants, Chemical/majr/chemistry| Water Purification/majr/methods| Water Supply/majr/analysis</t>
  </si>
  <si>
    <t>Chamberlain EF, Wang C, Shi H, Adams CD, Ma Y</t>
  </si>
  <si>
    <t>6895-9</t>
  </si>
  <si>
    <t>Sublethal toxicity of commercial insecticide formulations and their active ingredients to larval fathead minnow (Pimephales promelas).</t>
  </si>
  <si>
    <t>Sublethal toxicity of commercial insecticide formulations and their active ingredients to larval fathead minnow (Pimephales promelas).    ABSTRACT:  Toxic effect concentrations of insecticides are generally determined using the technical grade or pure active ingredient. Commercial insecticide formulations, however, contain a significant proportion (&gt;90%) of so-called inert ingredients, which may alter the toxicity of the active ingredient(s). This study compares the sublethal toxicity of two insecticides, the pyrethroid bifenthrin, and the phenylpyrazole fipronil, to their commercial formulations, Talstar and Termidor. Both insecticides are used for landscape treatment and structural pest control, and can be transported into surface water bodies via stormwater and irrigation runoff. We used larval fathead minnow (Pimephales promelas), to determine effects on growth and swimming performance after short-term (24h) exposure to sublethal concentrations of pure insecticides and the respective formulations. Significantly enhanced 7d growth was observed at 10% of the 24h LC(10) (53 microg L(-)(1)) fipronil. Swimming performance was significantly impaired at 20% of the 24h LC(10) (0.14 microg L(-)(1)) of bifenthrin and 10% of the 24h LC(10) of Talstar (0.03 microgL(-)(1)). Fipronil and Termidor led to a significant impairment of swimming performance at 142 microgL(-)(1) and 148 microgL(-)(1) respectively, with more pronounced effects for the formulation. Our data shows that based on dissolved concentrations both formulations were more toxic than the pure active ingredients, suggesting that increased toxicity due to inert ingredients should be considered in risk assessments and regulation of insecticides.Copyright 2010 Elsevier B.V. All rights reserved.  KEYWORDS:  MeSH Chemical: Insecticides MeSH: | Animals| Cyprinidae/majr/growth &amp; development/physiology| Insecticides/majr/chemistry/toxicity| Larva/majr/drug effects| Swimming</t>
  </si>
  <si>
    <t>408</t>
  </si>
  <si>
    <t>3169-75</t>
  </si>
  <si>
    <t>Measurement of pyrethroid, organophosphorus, and carbamate insecticides in human plasma using isotope dilution gas chromatography-high resolution mass spectrometry.</t>
  </si>
  <si>
    <t>Measurement of pyrethroid, organophosphorus, and carbamate insecticides in human plasma using isotope dilution gas chromatography-high resolution mass spectrometry.    ABSTRACT:  We have developed a gas chromatography-high resolution mass spectrometry method for measuring pyrethroid, organophosphorus, carbamate and fipronil pesticides and the synergist piperonyl butoxide in human plasma. Plasma samples were extracted using solid phase extraction and were then concentrated for injection and analysis using isotope dilution gas chromatography-high resolution mass spectrometry. The limits of detection ranged from 10 to 158 pg/mL with relative recoveries at concentrations near the LODs (e.g., 25 or 250 pg/mL) ranging from 87% to 156% (9 of the 16 compounds were within ±15% of 100%). The extraction recoveries ranged from 20% to 98% and the overall method relative standard deviations were typically less than 20% with some exceptions. Analytical characteristics were determined at 25, 250, and 1000 pg/mL.Copyright © 2010 Elsevier B.V. All rights reserved.  KEYWORDS:  MeSH Chemical: Carbamates| Insecticides| Organophosphorus Compounds| Pyrethrins MeSH: | Carbamates/majr/blood| Gas Chromatography-Mass Spectrometry/majr/methods| Humans| Insecticides/majr/blood| Limit of Detection| Organophosphorus Compounds/majr/blood| Pyrethrins/majr/blood| Reproducibility of Results</t>
  </si>
  <si>
    <t>Pérez JJ, Williams MK, Weerasekera G, Smith K, Whyatt RM, Needham LL, Barr DB</t>
  </si>
  <si>
    <t>2554-62</t>
  </si>
  <si>
    <t>Insecticide resistance profiles and synergism in field populations of the German cockroach (Dictyoptera: Blattellidae) from Singapore.</t>
  </si>
  <si>
    <t>Chai RY, Lee CY</t>
  </si>
  <si>
    <t>460-71</t>
  </si>
  <si>
    <t>Varying termiticide application rate and volume affect initial soil penetration.</t>
  </si>
  <si>
    <t>Varying termiticide application rate and volume affect initial soil penetration.    ABSTRACT:  The initial soil penetration of Premise 75 and Termidor SC, containing imidacloprid and fipronil, respectively, were tested in laboratory columns of five different soils. Three combinations of application concentration and volume were used: double the recommended active ingredient concentration at one half the recommended volume (DR), the full concentration and volume (FR), and one half the concentration and twice the volume (HR). In all three cases, the same total amount of active ingredient (0.01 g of imidacloprid for Premise and 0.012 g of fipronil for Termidor) was applied to the same soil surface area (45.36 cm2). Regardless of soil or application method, the concentration of active ingredient was highest in the top 1 cm of soil. Within each soil, the concentration in the top 1 cm was highest in the DR treatment and lowest in the HR treatment. At each depth below 1 cm, active ingredient concentration was highest in the HR treatment and lowest in the DR treatment. The DR treatment therefore results in a thinner barrier of higher initial concentration in the top 1 cm, whereas the HR treatment results in a thicker barrier but of lower initial concentration in the top 1 cm.  KEYWORDS:  MeSH Chemical: Imidazoles| Insecticides| Neonicotinoids| Nitro Compounds| Pyrazoles| Soil| imidacloprid| fipronil MeSH: | Animals| Imidazoles/majr/administration &amp; dosage/pharmacology| Insect Control/methods| Insecticides/majr/administration &amp; dosage/pharmacology| Isoptera/majr/drug effects| Neonicotinoids| Nitro Compounds/majr/administration &amp; dosage/pharmacology| Pyrazoles/majr/administration &amp; dosage/pharmacology| Soil/majr</t>
  </si>
  <si>
    <t>433-6</t>
  </si>
  <si>
    <t>Rapid multiresidue determination for currently used pesticides in agricultural drainage waters and soils using gas chromatography-mass spectrometry.</t>
  </si>
  <si>
    <t>Rapid multiresidue determination for currently used pesticides in agricultural drainage waters and soils using gas chromatography-mass spectrometry.    ABSTRACT:  An efficient and sensitive method for simultaneous determination of 38 pesticides in agricultural drainage waters and soils has been developed and validated. Water samples were extracted using solid-phase extraction with C18 cartridges while solid samples (suspended particle matter and soil) were extracted by using the quick, easy, cheap, effective, rugged and safe (QuEChERS) extraction method. The target pesticides were analyzed by using gas chromatography-mass spectrometry with electron impact ionization. The proposed method allowed a simultaneous determination and confirmation of a large number of pesticides in agricultural drainage waters, suspended particle matters and soils/sediments with a good reproducibility and low detection limits. The developed method was applied to a survey of pesticides in a vegetable growing area of Guangzhou, China. The pesticides commonly found in the area were butachlor, carbofuran, dichlorvos, fipronil, isocarbophos and pyridaben.  KEYWORDS:  MeSH Chemical: Herbicides| Insecticides| Pesticide Residues| Soil| Soil Pollutants| Water Pollutants, Chemical| Water MeSH: | Agriculture| Gas Chromatography-Mass Spectrometry/majr/methods| Herbicides/majr/analysis| Insecticides/majr/analysis| Limit of Detection| Pesticide Residues/majr/analysis| Reproducibility of Results| Soil/majr/analysis| Soil Pollutants/analysis| Solid Phase Extraction| Water/majr/chemistry| Water Pollutants, Chemical/analysis</t>
  </si>
  <si>
    <t>Yang XB, Ying GG, Kookana RS</t>
  </si>
  <si>
    <t>152-61</t>
  </si>
  <si>
    <t>Effect of three insecticides and two herbicides on rice (Oryza sativa) seedling germination and growth.</t>
  </si>
  <si>
    <t>Effect of three insecticides and two herbicides on rice (Oryza sativa) seedling germination and growth.    ABSTRACT:  Rice (Oryza sativa L.) is one of the most important food crops worldwide. However, it is also a valuable tool in assessing toxicity of organic and inorganic compounds. For more than 20 years, it has been an approved species for standardized phytotoxicity experiments. The objective of this study is to determine germination and radicle (root) and coleoptile (shoot) growth of rice seeds exposed to three insecticides and two herbicides, commonly used in the agricultural production landscape. Although no germination effects of pesticide exposure were observed, significant growth effects were noted between pesticide treatments. Coleoptile growth was significantly (p ≤ 0.05) lowered in metolachlor/atrazine mixture, diazinon, and lambda-cyhalothrin exposures when compared with controls. Radicles of fipronil-exposed seeds were significantly larger (p ≤ 0.05) when compared with controls. This research contributes to the phytotoxicity assessment database, in addition to laying the foundation for the use of rice as a phytoremediation tool for agricultural pesticide runoff.  KEYWORDS:  MeSH Chemical: Acetamides| Herbicides| Insecticides| Nitriles| Pyrazoles| Pyrethrins| Soil Pollutants| fipronil| Atrazine| cyhalothrin| metolachlor| Diazinon MeSH: | Acetamides/toxicity| Atrazine/toxicity| Diazinon/toxicity| Germination/majr/drug effects| Growth and Development/drug effects| Herbicides/majr/toxicity| Insecticides/majr/toxicity| Nitriles/toxicity| Oryza/majr/drug effects/growth &amp; development/physiology| Plant Roots/drug effects/growth &amp; development| Plant Shoots/drug effects/growth &amp; development| Pyrazoles/toxicity| Pyrethrins/toxicity| Seedlings/drug effects/growth &amp; development/physiology| Soil Pollutants/majr/toxicity</t>
  </si>
  <si>
    <t>Moore MT, Kröger R</t>
  </si>
  <si>
    <t>574-81</t>
  </si>
  <si>
    <t>Fate of fipronil and its metabolites in/on grape leaves, berries and soil under semi arid tropical climatic conditions.</t>
  </si>
  <si>
    <t>Fate of fipronil and its metabolites in/on grape leaves, berries and soil under semi arid tropical climatic conditions.    ABSTRACT:  Fate of fipronil and its major metabolites fipronil sulfide (MB 45950), fipronil-desulfinyl (MB 46513) and fipronil sulfone (MB 46136) were studied in/on grape leaves, berries and soil. As initial residue deposits on the leaves the major component was that of fipronil, while all the 3 metabolites were also present. Among metabolites residues of MB 46513 was highest followed by MB 46136 and MB 45950. In leaves fipronil degraded faster than its metabolites. The residues of fipronil in leaves degraded at the half-life of 9.6 and 18.3 days and that of total fipronil (sum of fipronil and its metabolites) at 13.6 and 20 days, from treatment at recommended and double the recommended dose, respectively. At the time of harvest in leaves, grape berries and soil residues of fipronil and all its metabolites were below the quantifiable limit of 0.01 mg kg(-1).  KEYWORDS:  MeSH Chemical: Insecticides| Pyrazoles| Soil| Soil Pollutants| fipronil MeSH: | Chromatography, Gas| Desert Climate| Insecticides/majr/analysis/metabolism| Plant Leaves/majr/chemistry/metabolism| Pyrazoles/majr/analysis/metabolism| Soil/analysis| Soil Pollutants/majr/analysis/metabolism| Tropical Climate| Vitis/majr/physiology</t>
  </si>
  <si>
    <t>Mohapatra S, Deepa M, Jagdish GK, Rashmi N, Kumar S, Prakash GS</t>
  </si>
  <si>
    <t>84</t>
  </si>
  <si>
    <t>587-91</t>
  </si>
  <si>
    <t>A transcriptomics-based biological framework for studying mechanisms of endocrine disruption in small fish species.</t>
  </si>
  <si>
    <t>Wang RL, Bencic D, Villeneuve DL, Ankley GT, Lazorchak J, Edwards S</t>
  </si>
  <si>
    <t>230-244</t>
  </si>
  <si>
    <t>A preliminary study of the epidemiological factors related to honey bee colony loss in Spain.</t>
  </si>
  <si>
    <t xml:space="preserve">A preliminary study of the epidemiological factors related to honey bee colony loss in Spain.    ABSTRACT:  In recent years, a worldwide decline in the Apis mellifera populations has been detected in many regions, including Spain. This decline is thought to be related to the effects of pathogens or pesticides, although to what extent these factors are implicated is still not clear. In this study, we estimated the prevalence of honey bee colony depopulation symptoms in a random selected sample (n = 61) and we explored the implication of different pathogens, pesticides and the flora visited in the area under study. The prevalence of colony depopulation symptoms in the professional apiaries studied was 67.2% [95% confidence interval (CI) = 54.6-79.8; P &lt; 0.0001]. The most prevalent pathogen found in the worker honey bee samples was Nosema ceranae[65.6%; 95% CI = 52.8-78.3; P &lt; 0.0001], followed by Varroa destructor[32.7%; 95% CI = 20.2-45.4; P &lt; 0.0001] and 97.5% of the colonies infected by N. ceranae were unhealthy (depopulated). Co-infection by V. destructor and N. ceranae was evident in 22.9% (95% CI = 11.6-34.3; P &lt; 0.0001) of the samples and only in unhealthy colonies. Of the 40 pesticides studied, only nine were detected in 49% of the stored pollen samples analysed. Fipronil was detected in only three of 61 stored pollen samples and imidacloprid was not detected in any. Acaricides like fluvalinate, and chlorfenvinphos used to control Varroa mite were the most predominant residues in the stored pollen, probably as a result of their application in homemade formulae. None of the pesticides identified were statistically associated to colony depopulated. This preliminary study of epidemiological factors suggests that N. ceranae is a key factor in the colony losses detected over recent years in Spain. However, more detailed studies that permit subgroup analyses will be necessary to contrast these findings.© 2009 Society for Applied Microbiology and Blackwell Publishing Ltd.  KEYWORDS: </t>
  </si>
  <si>
    <t>Higes M, Martín-Hernández R, Martínez-Salvador A, Garrido-Bailón E, González-Porto AV, Meana A, Bernal JL, Del Nozal MJ, Bernal J</t>
  </si>
  <si>
    <t>Environmental microbiology reports</t>
  </si>
  <si>
    <t>243-50</t>
  </si>
  <si>
    <t>High levels of miticides and agrochemicals in North American apiaries: implications for honey bee health.</t>
  </si>
  <si>
    <t>Mullin CA, Frazier M, Frazier JL, Ashcraft S, Simonds R, Vanengelsdorp D, Pettis JS</t>
  </si>
  <si>
    <t>e9754</t>
  </si>
  <si>
    <t>Responses of striped stem borer, Chilo suppressalis (Lepidoptera: Pyralidae), from Taiwan to a range of insecticides.</t>
  </si>
  <si>
    <t>Responses of striped stem borer, Chilo suppressalis (Lepidoptera: Pyralidae), from Taiwan to a range of insecticides.    ABSTRACT:  Information on the insecticide susceptibility of striped stem borer, Chilo suppressalis (Walker), is essential for an effective pest management programme. An early detection of resistance development can prompt the modification of current control methods and increase the lifespan of insecticides through the rotation of chemicals with different modes of action. In this study, the susceptibility of this pest in Taiwan to four classes of insecticides has been examined.Over 1000-fold resistance to carbofuran was detected in C. suppressalis collected from Chiayi and Changhua prefectures, with estimated LC(50) values of &gt; 3 mg cm(-2). In addition, 61-fold resistance to cartap was found in the Chiayi population. On the other hand, all tested populations of rice stem borer were still relatively susceptible to chlorpyrifos, fipronil and permethrin, with LC(50) values ranging from 30 to 553 ng cm(-2). Chilo suppressalis populations collected from the central parts of Taiwan have a higher degree of resistance to the tested insecticides than those from northern areas.The occurrence of high resistance to carbofuran in the Chiayi and Changhua areas suggests that this compound should be replaced with chemicals having a different mode of action, such as chlorpyrifos, fipronil and permethrin, to which low cross-resistance has been detected.Copyright (c) 2010 Society of Chemical Industry.  KEYWORDS:  MeSH Chemical: Insecticides MeSH: | Animals| Drug Resistance| Insect Control/majr/methods| Insecticides/majr| Lepidoptera/majr| Taiwan| Time Factors</t>
  </si>
  <si>
    <t>Cheng X, Chang C, Dai SM</t>
  </si>
  <si>
    <t>762-6</t>
  </si>
  <si>
    <t>Efficacy of imidacloprid and fipronil gels over synthetic pyrethroid and propoxur aerosols in control of German cockroaches (Dictyoptera: Blatellidae).</t>
  </si>
  <si>
    <t>Agrawal VK, Agarwal A, Choudhary V, Singh R, Ahmed N, Sharma M, Narula K, Agrawal P</t>
  </si>
  <si>
    <t>Journal of vector borne diseases</t>
  </si>
  <si>
    <t>39-44</t>
  </si>
  <si>
    <t>Insecticidal efficacy of fipronil against four stored-product insect pests: influence of commodity, dose, exposure interval, relative humidity and temperature.</t>
  </si>
  <si>
    <t>Kavallieratos NG, Athanassiou CG, Vayias BJ, Betsi PC</t>
  </si>
  <si>
    <t>640-9</t>
  </si>
  <si>
    <t>Cys-loop ligand-gated chloride channels in dorsal unpaired median neurons of Locusta migratoria.</t>
  </si>
  <si>
    <t>Janssen D, Derst C, Rigo JM, Van Kerkhove E</t>
  </si>
  <si>
    <t>Journal of neurophysiology</t>
  </si>
  <si>
    <t>2587-98</t>
  </si>
  <si>
    <t>Efficacy of the fipronil 10%+(S)-methoprene 9% combination against Rhipicephalus sanguineus in naturally infested dogs: speed of kill, persistent efficacy on immature and adult stages and effect of water.</t>
  </si>
  <si>
    <t>Brianti E, Pennisi MG, Brucato G, Risitano AL, Gaglio G, Lombardo G, Malara D, Fogliazza A, Giannetto S</t>
  </si>
  <si>
    <t>96-103</t>
  </si>
  <si>
    <t>Flea and tick control in the 21st century: challenges and opportunities.</t>
  </si>
  <si>
    <t>Flea and tick control in the 21st century: challenges and opportunities.    ABSTRACT:  Historically, veterinarians have told their clients that one flea is all that is necessary to produce and maintain the clinical signs of flea allergy dermatitis (FAD). Newer adulticides, such as fipronil, imidacloprid, nitenpyram and selamectin, have had a positive clinical effect on dogs and cats with FAD. However, data on flea feeding and the effect of these products on flea feeding bring into question the once perceived dogma of the single flea bite concept. Current data would indicate that the primary role of these insecticides in managing FAD is in rapidly reducing flea numbers and reducing flea feeding rather than preventing flea bites. Controlling tick infestations is important not only because ticks are nuisance parasites of dogs and cats, but also because they are vectors of a variety of bacterial and protozoal diseases. Achieving satisfactory tick control is often difficult due to unrealistic expectations of pet owners, to residual acaricidal properties of products that are often less than 100% and because of constant re-infestation pressure. Some of the most important factors veterinarians must be aware of are regional changes in tick distributions, our inability to control wildlife tick hosts and expectation differences between flea and tick control. These factors probably cause most real and perceived product failures.  KEYWORDS:  MeSH Chemical: Insecticides MeSH: | Animals| Cat Diseases/majr/prevention &amp; control| Cats| Dermatitis, Allergic Contact/prevention &amp; control| Dog Diseases/majr/prevention &amp; control| Dogs| Ectoparasitic Infestations/majr/prevention &amp; control/veterinary| Insecticides/majr/pharmacology| Oviposition/drug effects| Siphonaptera/majr/drug effects/physiology| Ticks/majr/drug effects</t>
  </si>
  <si>
    <t>Dryden MW</t>
  </si>
  <si>
    <t>5-6</t>
  </si>
  <si>
    <t>435-40</t>
  </si>
  <si>
    <t>Is the mechanisms of fipronil-induced thyroid disruption specific of the rat: Re-evaluation of fipronil thyroid toxicity in sheep?</t>
  </si>
  <si>
    <t>Is the mechanisms of fipronil-induced thyroid disruption specific of the rat: Re-evaluation of fipronil thyroid toxicity in sheep?    ABSTRACT:  In rat, fipronil treatment increases the elimination of thyroid hormones (TH). Relevance of this mechanism for the risk of fipronil for human health is subject to controversy because of the specificities of adult rat for TH plasma binding properties which often lead to the assumption that rats are more sensitive than human to thyroid disruption. This study aimed at determining if the mechanism of fipronil-induced thyroid disruption is altered in sheep a species more relevant to human from the standpoint of TH plasma binding. TSH, total triiodothyronine and free and total tetra-iodothyronine 24 h secretory profiles were not modified by fipronil treatment (5 mg/kg every 4 days per os) in rams. In euthyroid-like thyroidectomised ewes, the effect of this treatment was limited to a moderate increase in free T4 clearance. In contrast with the rat, fipronil treatment (0.5 mg/kg/day, IV for 14 days) had no effect on antipyrine clearance, a marker for hepatic cytochrome activity, in ewes. The differences between rat and sheep for the potential of fipronil as a thyroid disruptor might be related to the difference in the exposure to the toxicant, the actual exposure to the sulfone metabolite of fipronil being lower in sheep than in rat.Copyright 2010 Elsevier Ireland Ltd. All rights reserved.  KEYWORDS:  MeSH Chemical: Insecticides| Pyrazoles| Triiodothyronine| Thyrotropin| fipronil sulfone| Thyroxine| fipronil MeSH: | Animals| Area Under Curve| Disease Models, Animal/majr| Female| Insecticides/majr/pharmacokinetics/toxicity| Male| Pyrazoles/majr/metabolism/pharmacokinetics/toxicity| Random Allocation| Rats| Sheep| Thyroid Diseases/majr/chemically induced| Thyroid Gland/majr/drug effects/metabolism| Thyrotropin/blood| Thyroxine/blood| Triiodothyronine/blood</t>
  </si>
  <si>
    <t>Leghait J, Gayrard V, Toutain PL, Picard-Hagen N, Viguié C</t>
  </si>
  <si>
    <t>194</t>
  </si>
  <si>
    <t>51-7</t>
  </si>
  <si>
    <t>Dynamics of fipronil in Oleo Lagoon in Jataí Ecological Station, São Paulo-Brazil.</t>
  </si>
  <si>
    <t>Dynamics of fipronil in Oleo Lagoon in Jataí Ecological Station, São Paulo-Brazil.    ABSTRACT:  Fipronil is a phenylpyrazole pesticide widely used to protect sugar-cane crops from insect pests. After reaching the environment, this insecticide may have several fates. This research aimed to propose a kinetic model to describe the fate of commercial fipronil Regent 800WG in the sediment-water interface of the Oleo Lagoon in the Mogi-Guaçu river floodplain, situated within the Jataí Ecological Station, by means of a microcosm scale experiment. Results showed that a small fraction of the pesticide is quickly dragged to the sediment while most of it remains in the water column. Biodegradation proves to be an important fipronil degradation route, especially when microorganisms capable of using fipronil as sole carbon source increase their population, as a function of exposure time. Biodegradation rates were higher in the sediment than in the water column.Copyright (c) 2009 Elsevier Ltd. All rights reserved.  KEYWORDS:  MeSH Chemical: Insecticides| Pyrazoles| Water Pollutants, Chemical| Phosphorus| Nitrogen| fipronil| Oxygen MeSH: | Biodegradation, Environmental| Brazil| Environmental Monitoring| Geologic Sediments/chemistry/microbiology| Hydrogen-Ion Concentration| Insecticides/majr/analysis| Kinetics| Models, Chemical| Nitrogen/analysis| Oxygen/analysis| Phosphorus/analysis| Pyrazoles/majr/analysis| Seawater/majr/chemistry/microbiology| Water Pollutants, Chemical/majr/analysis</t>
  </si>
  <si>
    <t>Peret AM, Oliveira LF, Bianchini I, Seleghim MH, Peret AC, Mozeto AA</t>
  </si>
  <si>
    <t>1225-9</t>
  </si>
  <si>
    <t>Activity of bifenthrin, chlorfenapyr, fipronil, and thiamethoxam against Argentine ants (Hymenoptera: Formicidae).</t>
  </si>
  <si>
    <t>Activity of bifenthrin, chlorfenapyr, fipronil, and thiamethoxam against Argentine ants (Hymenoptera: Formicidae).    ABSTRACT:  Bifenthrin, chlorfenapyr, fipronil, and thiamethoxam were evaluated for activity against the Argentine ant, Linepithema humile (Mayr) (Hymenoptera: Formicidae). Mobility impairment and lethal times were determined after topical treatments. Ants were immobilized most quickly by bifenthrin, followed by chlorfenapyr and thiamethoxam. After 2 h, the number of fipronil-treated ants unable to walk out of test arenas did not differ from control ants. Median lethal time (LT50) after topical treatment was lowest in the bifenthrin treatment, followed by thiamethoxam, chlorfenapyr, and then fipronil. Mortality due to horizontal exposure was evaluated at 10, 20, or 30 degrees C, with topically treated ant corpses serving as donors. There was low to moderate horizontal activity in bifenthrin and chlorfenapyr treatments, with no temperature effect in bifenthrin treatments and a positive temperature effect in chlorfenapyr treatments. Mortality in the fipronil treatments was highest and was positively correlated with temperature. Thiamethoxam treatments did not differ from controls at 10 degrees C, but mortality increased with temperature. To evaluate contact activity, either all of 20% of the ants in a cohort were exposed to insecticide-treated pine needles. In both tests, mortality was highest in fipronil and bifenthrin treatments, followed by thiamethoxam, with lowest mortality in chlorfenapyr treatments. Effectiveness as a barrier was evaluated by providing a choice between bridges treated with insecticide or water. Although bifenthrin did not provide an impenetrable barrier, it was the only treatment having fewer ants than its paired control. Mortality data suggest that lack of recruitment rather than repellency account for this result.  KEYWORDS:  MeSH Chemical: Insecticides MeSH: | Animals| Ants/majr| Hot Temperature| Insecticides/majr| Toxicity Tests</t>
  </si>
  <si>
    <t>102</t>
  </si>
  <si>
    <t>2279-88</t>
  </si>
  <si>
    <t>Wireworm management I: stand protection versus wireworm mortality with wheat seed treatments.</t>
  </si>
  <si>
    <t>Vernon RS, van Herk WG, Clodius M, Harding C</t>
  </si>
  <si>
    <t>2126-36</t>
  </si>
  <si>
    <t>Rhipicephalus (Boophilus) microplus (Acari: Ixodidae) resistance to fipronil in Uruguay evaluated by in vitro bioassays.</t>
  </si>
  <si>
    <t>Rhipicephalus (Boophilus) microplus (Acari: Ixodidae) resistance to fipronil in Uruguay evaluated by in vitro bioassays.    ABSTRACT:  Rhipicephalus (Boophilus) microplus obtained from four local populations in Uruguay (2007-2008) were subjected to various bioassay techniques to determine the presence of fipronil resistance within the country. Resistance ratios (RRs) obtained by larval immersion test varied between 3.3 and 3635 for tick populations subjected to treatment with fipronil for the last 3-7 years. The highest RR was observed in the population which received fewer treatments. Using discriminating concentration (8ppm) for larval immersion test, all field strains were correctly diagnosed as fipronil-resistant. This study presents the first diagnoses of cattle tick resistance to fipronil in Uruguay's field populations. It also highlights the importance of the possible conflict between programs to control agricultural pests and cattle ticks. The findings provide valuable information for selection and adoption of new control alternatives to manage drug resistance exhibited by cattle ticks.  KEYWORDS:  MeSH Chemical: Insecticides| Pyrazoles| fipronil MeSH: | Animals| Biological Assay/methods| Female| Insecticide Resistance| Insecticides/majr| Larva| Parasitic Sensitivity Tests| Pyrazoles/majr| Rhipicephalus/majr| Uruguay</t>
  </si>
  <si>
    <t>Castro-Janer E, Rifran L, González P, Piaggio J, Gil A, Schumaker TT</t>
  </si>
  <si>
    <t>169</t>
  </si>
  <si>
    <t>172-7</t>
  </si>
  <si>
    <t>Effects of Two Temperature Storage Regimes on the Efficacy of 3 Commercial Gel Baits against the German Cockroach, Blattella germanica L. (Dictyoptera: Blattellidae).</t>
  </si>
  <si>
    <t>Effects of Two Temperature Storage Regimes on the Efficacy of 3 Commercial Gel Baits against the German Cockroach, Blattella germanica L. (Dictyoptera: Blattellidae).    ABSTRACT:  To compare the effectiveness of 3 commercial gel bait formulations containing fipronil (Goliath(©) Cockroach Gel 0.05% AI), chlorpyrifos-A (Clean Bait(©) Gel, 2% AI), and chloropyrifos-B (Serpa(©) Gel 2% AI) against German cockroaches (Blattella germanica) when stored at 23(°)C and 30(°) C after treatment.Laboratory bioassays consisted of placing groups of fifteen cockroaches (a random combination of adult, mixed sex and large nymphs-stage 6) into a 5 L cylindrical plastic container with one drop of product (avg 0.10 g ± 0.01 g) applied to a 76 mm x 26 mm glass microscope slide affixed to the bottom of each container (one product tested per container). Cumulative mortality was assessed at 6 h, 1, 2, 3, 4, and 5 d after application. To determine the further effects of storage temperature after treatment on residual activity of the gels, a drop of each product was applied to separate glass microscope slides and stored at either 23(°) C (warm) or 30(°) C (hot) under dark conditions for 0, 1, 7, 14, 30, 45, 60 and 90 d after application.Freshly applied baits (day 0) containing fipronil provided complete cockroach mortality (100%) within 5 d whereas chloryrifos-A and chlorpyrifos-B provided ≈72% and 88% mortality, respectively. Generally, cockroach mortality was greater when gels were stored at 30(°)C compared with 23(°) C.The fipronil gel formulation proved to be as efficacious as the chlorpyrifos gels and in some instances surpased the latter formulations depending on storage time and temperature by providing ≈90% mortality at 90 d post treatment.  KEYWORDS:  Other:Blattella germanica|Chlorpyrifos|Fipronil|cockroach control|temperature</t>
  </si>
  <si>
    <t>Oz E, Cetin H, Cilek JE, Deveci O, Yanikoglu A</t>
  </si>
  <si>
    <t>Iranian journal of public health</t>
  </si>
  <si>
    <t>102-8</t>
  </si>
  <si>
    <t>[Comparative efficacy of two topical formulations containing 10% fipronil on the control of Ctenocephalides felis felis on cats].</t>
  </si>
  <si>
    <t>[Comparative efficacy of two topical formulations containing 10% fipronil on the control of Ctenocephalides felis felis on cats].    ABSTRACT:  The goal of the present study was to evaluate the comparative efficacy of two topical formulations containing 10% fipronil on the control of Ctenocephalides felis felis on cats. The trial was performed at the Laboratory of Experimental Chemotherapy in Veterinary Parasitology from the Department of Animal Parasitology of the Institute of Veterinary of the Universidade Federal Rural do Rio de Janeiro. Eighteen mixed-breed cats were divided in three groups of six animals each. One group remained without treatment (control). The other groups received as treatment the two topical formulations, a commercial reference and the novel one, both containing 10% fipronil. Treated animals received 0.5 mL of product along their cervical region. Cats were infested on days - 2, +5, +12, +19, +26 and +33. Evaluations were made using the "comb test". The first one was undertaken 4 days after the initial infestation (day +2), and others 48 hours after following infestations (days +7, +14, +21, +28 and + 35). Both tested formulations had satisfactory efficacy until day + 35. No differences were observed comparing the efficacy levels between both formulations throughout the experimental period. The novel topical 10% fipronil formulation presented desirable efficacy on the control of C. f. felis on cats.  KEYWORDS:  MeSH Chemical: Insecticides| Pyrazoles| fipronil MeSH: | Administration, Topical| Animals| Cat Diseases/majr/prevention &amp; control| Cats| Ectoparasitic Infestations/majr/prevention &amp; control/veterinary| Insecticides/majr/administration &amp; dosage| Pyrazoles/majr/administration &amp; dosage| Siphonaptera/majr</t>
  </si>
  <si>
    <t>Tancredi MG, Correia TR, Ribeiro Fde A, Botelho MC, Tavares PV, Scott FB, Verocai GG, Coumendouros K</t>
  </si>
  <si>
    <t>74-7</t>
  </si>
  <si>
    <t>[Grazing systems, rotenone and parasites control in crossbred calves: effect on live weight gain and on parasites burdens].</t>
  </si>
  <si>
    <t>[Grazing systems, rotenone and parasites control in crossbred calves: effect on live weight gain and on parasites burdens].    ABSTRACT:  Practices for endo and ectoparasite control in beef cattle were evaluated in two independent experiments. First, the effects of rotenone on Rhipicephalus (Boophilus) microplus ticks were evaluated in vitro and in experimentally infected calves. In the second trial, the effects of grazing systems associated with endo and ectoparasite treatments on parasite burden and weight gain of naturally parasited animals were evaluated. Rotenone showed acaricide action on larvae and engorged ticks during in vitro tests and on larvae in experimentally infected calves. Three treatments with endectocide decreased (P &lt; .05) the number of EPG and ticks and increased (P &lt; .05) the weight gain in the dry season. Animals treated with only one application of levamisole showed EPG intermediate and different (P &lt; .05) from the groups treated with endectocide (lower) and control (higher) in the dry season, but the weight gain obtained with this treatment did not differ from the control group. During the raining season the animals treated with fipronil were significantly less parasited by horn fly, tick and larvae of Dermatobia hominis and the group treated with rotenone were significantly less parasited by horn fly in relation to control. Animals under rotational grazing showed significantly higher EPG than those under continuous grazing. Three treatments with endectocide in the dry season plus three acaricide treatments with fipronil in the raining season reduced EPG, tick, and screw worm larva counts, and provided a significant increase (23 kg) of live weight gain in relation to untreated animals.  KEYWORDS:  MeSH Chemical: Acaricides| Insecticides| Rotenone MeSH: | Acaricides/majr| Animals| Cattle/majr/parasitology/physiology| Feeding Behavior/majr| Insecticides/majr| Rhipicephalus/majr| Rotenone/majr| Tick Infestations/majr/prevention &amp; control/veterinary| Weight Gain/majr</t>
  </si>
  <si>
    <t>Catto JB, Bianchin I, Santurio JM, Feijó GL, Kichel AN, Silva JM</t>
  </si>
  <si>
    <t>37-43</t>
  </si>
  <si>
    <t>Fate of organohalogens in US wastewater treatment plants and estimated chemical releases to soils nationwide from biosolids recycling.</t>
  </si>
  <si>
    <t>Heidler J, Halden RU</t>
  </si>
  <si>
    <t>2207-15</t>
  </si>
  <si>
    <t>Oxidative stress from diverse developmental neurotoxicants: antioxidants protect against lipid peroxidation without preventing cell loss.</t>
  </si>
  <si>
    <t>Slotkin TA, Seidler FJ</t>
  </si>
  <si>
    <t>124-31</t>
  </si>
  <si>
    <t>The antiparasitic isoxazoline A1443 is a potent blocker of insect ligand-gated chloride channels.</t>
  </si>
  <si>
    <t>Ozoe Y, Asahi M, Ozoe F, Nakahira K, Mita T</t>
  </si>
  <si>
    <t>744-9</t>
  </si>
  <si>
    <t>Sorption and desorption of fipronil in midwestern soils.</t>
  </si>
  <si>
    <t>Sorption and desorption of fipronil in midwestern soils.    ABSTRACT:  Fipronil, {5-amino-1-[2,6-dichloro-4-(trifluoromethyl)phenyl]-4-[(trifluoromethyl)sulfinyl]-1H-pyrazole-3-carbonitrile} is commonly applied to soil to protect structures against termite infestations. The fate and bioavailability of fipronil in soil is dependent upon the variability of sorption processes and will differ from soil to soil. Adsorption of fipronil to three Nebraska soils with varying organic matter (OM) content was determined. At the concentrations tested (0.025, 0.1, 0.25, 0.5, 1.0, 1.5, and 2.0 mg L(-1)), adsorption curves showed constant partitioning of fipronil to the soil matrices (r (2) = 0.998 - 0.999). Calculated organic carbon partitioning coefficients (K (oc)) ranged from 244 to 628 with an average K(oc) of 396. Reported K(d) and K(f) values increased with increasing organic matter content. Desorption hysteresis was observed as fipronil has a propensity to stay in the adsorbed state. After five soil washes with 0.003 M CaCl2, approximately 30% of adsorbed fipronil residues were desorbed. Reported K (oc) values for fipronil suggests that it has intermediate mobility in the field collected soils utilized in this study.  KEYWORDS:  MeSH Chemical: Insecticides| Pesticide Residues| Pyrazoles| Soil| Soil Pollutants| fipronil MeSH: | Adsorption| Environmental Monitoring| Insecticides/majr/chemistry| Kinetics| Midwestern United States| Nebraska| Particle Size| Pesticide Residues/analysis| Pyrazoles/majr/chemistry| Soil/majr/analysis| Soil Pollutants/majr/analysis/chemistry| Thermodynamics</t>
  </si>
  <si>
    <t>Spomer NA, Kamble ST</t>
  </si>
  <si>
    <t>264-8</t>
  </si>
  <si>
    <t>Cross-resistance study and biochemical mechanisms of thiamethoxam resistance in B-biotype Bemisia tabaci (Hemiptera: Aleyrodidae).</t>
  </si>
  <si>
    <t>Feng Y, Wu Q, Wang S, Chang X, Xie W, Xu B, Zhang Y</t>
  </si>
  <si>
    <t>313-8</t>
  </si>
  <si>
    <t>Characterisation of abamectin resistance in a field-evolved multiresistant population of Plutella xylostella.</t>
  </si>
  <si>
    <t>Characterisation of abamectin resistance in a field-evolved multiresistant population of Plutella xylostella.    ABSTRACT:  Plutella xylostella (L.) has evolved resistance to various kinds of insecticide in the field. Reversion and selection, cross-resistance, inheritance and mechanisms of abamectin resistance were characterised in a field-derived multiresistant population of P. xylostella from China.Compared with a susceptible Roth strain, the field-derived TH population showed approximately 5000-fold resistance to abamectin. Rapid reversion of abamectin resistance was observed in the TH population when kept without insecticide selection. The TH-Abm strain, selected from the TH population with abamectin, developed 23 670-fold resistance to abamectin, a high level of cross-resistance to emamectin benzoate and low levels of cross-resistance to spinosad and fipronil. Genetic analyses indicated that abamectin resistance in the TH-Abm strain was autosomal, incompletely dominant and polygenic. P450 monooxygenase activities in the TH-Abm strain were significantly elevated compared with the TH strain. Piperonyl butoxide (PBO) inhibited a small part of abamectin resistance in the TH-Abm strain.Field-evolved high-level resistance to abamectin in the TH population was not stable. Selection of the TH population with abamectin resulted in an extremely high level of cross-resistance to emamectin benzoate and low levels of cross-resistance to spinosad and fipronil. Enhanced oxidative metabolism was involved in, but may not be the major mechanism of, polygenic abamectin resistance in the TH-Abm strain.  KEYWORDS:  MeSH Chemical: Insecticides| abamectin| Ivermectin MeSH: | Animals| Drug Resistance, Multiple/majr/drug effects/genetics| Drug Synergism| Evolution, Molecular/majr| Female| Insecticide Resistance/majr/drug effects/genetics| Insecticides/majr/pharmacology| Ivermectin/majr/analogs &amp; derivatives/pharmacology| Lepidoptera/majr/drug effects/enzymology/genetics/physiology| Male</t>
  </si>
  <si>
    <t>Pu X, Yang Y, Wu S, Wu Y</t>
  </si>
  <si>
    <t>371-8</t>
  </si>
  <si>
    <t>Homomeric RDL and heteromeric RDL/LCCH3 GABA receptors in the honeybee antennal lobes: two candidates for inhibitory transmission in olfactory processing.</t>
  </si>
  <si>
    <t>Dupuis JP, Bazelot M, Barbara GS, Paute S, Gauthier M, Raymond-Delpech V</t>
  </si>
  <si>
    <t>458-68</t>
  </si>
  <si>
    <t>Effects of the essential oil constituent thymol and other neuroactive chemicals on flight motor activity and wing beat frequency in the blowfly Phaenicia sericata.</t>
  </si>
  <si>
    <t>Effects of the essential oil constituent thymol and other neuroactive chemicals on flight motor activity and wing beat frequency in the blowfly Phaenicia sericata.    ABSTRACT:  The effects were evaluated of the plant terpenoid thymol and eight other neuroactive compounds on flight muscle impulses (FMIs) and wing beat frequency (WBF) of tethered blowflies (Phaenicia sericata Meig.).The electrical activity of the dorsolongitudinal flight muscles was closely linked to the WBF of control insects. Topically applied thymol inhibited WBF within 15-30 min and reduced FMI frequency. Octopamine and chlordimeform caused a similar, early-onset bursting pattern that decreased in amplitude with time. Desmethylchlordimeform blocked wing beating within 60 min and generated a profile of continuous but lower-frequency FMIs. Fipronil suppressed wing beating and induced a pattern of continuous, variable-frequency spiking that diminished gradually over 6 h. Cypermethrin- and rotenone-treated flies had initial strong FMIs that declined with time. In flies injected with GABA, the FMIs were generally unidirectional and frequency was reduced, as was seen with thymol.Thymol readily penetrates the cuticle and interferes with flight muscle and central nervous function in the blowfly. The similarity of the action of thymol and GABA suggests that this terpenoid acts centrally in blowflies by mimicking or facilitating GABA action.  KEYWORDS:  MeSH Chemical: Insecticides| Neurotoxins| Oils, Volatile| Thymol| gamma-Aminobutyric Acid MeSH: | Animals| Diptera/majr/drug effects/physiology| Electricity| Female| Flight, Animal/majr/drug effects/physiology| Insecticides/toxicity| Motor Activity/majr/drug effects| Muscles/drug effects/physiology| Neurotoxins/toxicity| Oils, Volatile/majr/chemistry| Thymol/majr/toxicity| Wings, Animal/majr/drug effects/physiology| gamma-Aminobutyric Acid/toxicity</t>
  </si>
  <si>
    <t>Waliwitiya R, Belton P, Nicholson RA, Lowenberger CA</t>
  </si>
  <si>
    <t>277-89</t>
  </si>
  <si>
    <t>Sorption and degradation of fipronil in flooded anaerobic rice soils.</t>
  </si>
  <si>
    <t>Sorption and degradation of fipronil in flooded anaerobic rice soils.    ABSTRACT:  The fate of fipronil in flooded, reductive rice soils was modeled using a conceptual model. Rate constants for the various sorption and degradation processes were calculated from experimental studies involving intact soil cores, and the reductive degradation constant was used to calculate half-lives for fipronil on each soil. The data predicted that fipronil was subject to rapid, reductive degradation or immediate sorption to the soil and any sorbed fipronil desorbed was reductively degraded. The reductive metabolite, fipronil sulfide, accumulated over the 184 day duration of the experiment and sorbed rapidly to the soil, where it accumulated and did not appear to degrade. Neither fipronil nor fipronil sulfide was found beyond the top 1 cm of soil in Yanco soil, while a small amount of each chemical was found up to 4 cm deep in the Coleambally soil profile.  KEYWORDS:  MeSH Chemical: Insecticides| Pyrazoles| Soil Pollutants| fipronil MeSH: | Adsorption| Anaerobiosis| Floods| Insecticides/majr/chemistry| Oryza| Pyrazoles/majr/chemistry| Soil Pollutants/majr/chemistry</t>
  </si>
  <si>
    <t>Doran G, Eberbach P, Helliwell S</t>
  </si>
  <si>
    <t>10296-301</t>
  </si>
  <si>
    <t>Glutamatergic and GABAergic effects of fipronil on olfactory learning and memory in the honeybee.</t>
  </si>
  <si>
    <t>El Hassani AK, Dupuis JP, Gauthier M, Armengaud C</t>
  </si>
  <si>
    <t>Invertebrate neuroscience : IN</t>
  </si>
  <si>
    <t>91-100</t>
  </si>
  <si>
    <t>Fipronil resistance in the whitebacked planthopper (Sogatella furcifera): possible resistance mechanisms and cross-resistance.</t>
  </si>
  <si>
    <t>Fipronil resistance in the whitebacked planthopper (Sogatella furcifera): possible resistance mechanisms and cross-resistance.    ABSTRACT:  The whitebacked planthopper (WBPH), Sogatella furcifera (Horváth), is a major rice pest in many parts of Asia. Fipronil has been widely used to control rice pests, and resistance to fipronil has been reported in some important species.A field population (F) of WBPH was collected, with 50.5-fold resistance to fipronil, which increased to 137.5-fold (F-se) after continuous selection for 11 generations. The F-se population did not show significant cross-resistance to the insecticides examined by comparison with the F population. TPP (synergism ratio 1.9), DEM (1.5) and PBO (1.1) showed only slight synergism on fipronil in the F-se population. A large increase was found in esterase and P450 monooxygenase activity in the F-se population. In vitro, PBO inhibited both esterase and P450 monooxygenase activity, and TPP inhibited esterase activity in the F-se population.Synergistic study in vivo and biochemical study in vitro indicated that esterase and P450 monooxygenases might be important factors for fipronil resistance in the selected population F-se. However, these biochemical factors could not lead to such high resistance (137.5-fold) in the F-se population, and target-site insensitivity would be another or more important factor.  KEYWORDS:  MeSH Chemical: Insect Proteins| Pyrazoles| Cytochrome P-450 Enzyme System| Esterases| fipronil MeSH: | Animals| Cytochrome P-450 Enzyme System/metabolism| Esterases/metabolism| Hemiptera/majr/drug effects/enzymology| Insect Proteins/metabolism| Insecticide Resistance/majr| Pyrazoles/majr/pharmacology</t>
  </si>
  <si>
    <t>Tang J, Li J, Shao Y, Yang B, Liu Z</t>
  </si>
  <si>
    <t>121-5</t>
  </si>
  <si>
    <t>Effects of fipronil (active ingredient of Frontline) on salivary gland cells of Rhipicephalus sanguineus females (Latreille, 1806) (Acari: Ixodidae).</t>
  </si>
  <si>
    <t>Effects of fipronil (active ingredient of Frontline) on salivary gland cells of Rhipicephalus sanguineus females (Latreille, 1806) (Acari: Ixodidae).    ABSTRACT:  The present study analyzed the effects of the chemical compound fipronil, active ingredient of Frontline (acaricide and insecticide), on the salivary glands of unfed and semi-engorged female Rhipicephalus sanguineus tick. Unfed females were only exposed to the concentration of 1 ppm of fipronil, while semi-engorged females were treated with fipronil in three concentrations: 1 ppm, 5 ppm, and 10 ppm (distilled water was used as control). The histological and histochemical results revealed significant changes caused by this compound in the morphology and physiology of the gland tissue of unfed and semi-engorged females. In unfed females, the morphological changes in type I acini were characterized by an increase in size and diameter of the lumen. These changes are probably associated with the excretory function, indicating that type I acini might be responsible for eliminating this xenobiotic from the system of the parasite. In semi-engorged females, fipronil did not interfere in the cell death, which in these individuals occurred by apoptosis. However, it accelerated salivary gland degeneration, as the extent of damage increased along with the concentrations of the product. Our results clearly showed that fipronil interferes with the process of engorgement in females that consequently is reflected in the reproductive process, decreasing or even halting egg laying, and resulting in less blood losses for the hosts and reducing the transmission of pathogens through these glands.  KEYWORDS:  MeSH Chemical: Antiparasitic Agents| Pyrazoles| fipronil MeSH: | Animals| Antiparasitic Agents/majr/pharmacology| Female| Pyrazoles/majr/pharmacology| Rabbits| Rhipicephalus sanguineus/majr/drug effects| Salivary Glands/majr/cytology/drug effects</t>
  </si>
  <si>
    <t>Pereira CP, Oliveira PR, Furquim KC, Bechara GH, Camargo-Mathias MI</t>
  </si>
  <si>
    <t>124-30</t>
  </si>
  <si>
    <t>Efficacy of a combination of a fipronil-(S)-methoprene spot-on formulation and a deltamethrin-impregnated collar in controlling fleas and sandflies on dogs.</t>
  </si>
  <si>
    <t>Efficacy of a combination of a fipronil-(S)-methoprene spot-on formulation and a deltamethrin-impregnated collar in controlling fleas and sandflies on dogs.    ABSTRACT:  This study investigated the use of two commercial products, a deltamethrin-impregnated collar and a fipronil-(S)-methoprene spot-on formulation, in combination to protect dogs against sandflies and fleas when they live in or travel to leishmaniasis-enzootic areas. Interactions, tolerance, and efficacy were evaluated. The combination was well tolerated by the six treated dogs. The antifeeding effect on Phlebotomus perniciosus ranged from 89.6% (day 1) to 99.51% (day 21) and exceeded 95% from day 7 through the end of the study; the mortality effect against P. perniciosus ranged from 87.52% (day 22) to 96.82% (day 15). The combination was 100% effective in controlling Ctenocephalides felis felis infestations for 36 days after treatment. These results suggest that it is feasible and advantageous to combine these two commercial products to protect dogs against sandflies and fleas in leishmaniasis-enzootic areas.  KEYWORDS:  MeSH Chemical: Insecticides| Nitriles| Pyrazoles| Pyrethrins| decamethrin| Methoprene| fipronil MeSH: | Animals| Dog Diseases/majr/prevention &amp; control| Dogs| Ectoparasitic Infestations/majr/prevention &amp; control/veterinary| Insect Bites and Stings/majr/prevention &amp; control/veterinary| Insecticides/administration &amp; dosage/therapeutic use| Methoprene/majr/administration &amp; dosage/therapeutic use| Nitriles/majr/administration &amp; dosage/therapeutic use| Psychodidae/majr/drug effects| Pyrazoles/majr/administration &amp; dosage/therapeutic use| Pyrethrins/majr/administration &amp; dosage/therapeutic use| Siphonaptera/majr/drug effects| Time Factors</t>
  </si>
  <si>
    <t>Franc M, Bouhsira E</t>
  </si>
  <si>
    <t>Veterinary therapeutics : research in applied veterinary medicine</t>
  </si>
  <si>
    <t>Evaluation of liquid baits against field populations of the longlegged ant (Hymenoptera: Formicidae).</t>
  </si>
  <si>
    <t>Evaluation of liquid baits against field populations of the longlegged ant (Hymenoptera: Formicidae).    ABSTRACT:  An evaluation of several insecticides, namely, 0.01% fipronil, 0.05% indoxacarb, and 2% boric acid in liquid bait formulations were carried out against field populations of the longlegged ant, Anoplolepis gracilipes (Fr. Smith) (Hymenoptera: Formicidae). The baits were formulated in brown cane sugar solution (50%, wt:wt) and placed in an experimental bait station. Each bait was evaluated against populations of A. gracilipes at four buildings. Fipronil, indoxacarb, and boric acid were effective against A. gracilipes, with &gt; 90% reduction of workers within 3 d posttreatment. Total reduction (100%) was achieved within 7 d for fipronil, 14 d for indoxacarb, and 56 d for boric acid. The performance of fipronil and indoxacarb baits did not differ significantly (P &gt; 0.05) in all postbaiting sampling intervals. Reduction of A. gracilipes resulted in an increase in other ant species [Monomorium pharaonis (L.), Monomorium floricola (Jerdon), Monomorium orientale Mayr, Monomorium destructor (Jerdon), Tapinoma indicum Forel, Pheidole sp., and Camponotus sp.] at the baited locations.  KEYWORDS:  MeSH Chemical: Boric Acids| Insecticides| Oxazines| Pyrazoles| indoxacarb| fipronil| boric acid MeSH: | Animals| Ants/majr| Boric Acids| Insect Control/majr/instrumentation/methods| Insecticides/majr| Oxazines| Population Density| Pyrazoles| Saccharum</t>
  </si>
  <si>
    <t>Chong KF, Lee CY</t>
  </si>
  <si>
    <t>1586-90</t>
  </si>
  <si>
    <t>Fipronil and its degradates in indoor and outdoor dust.</t>
  </si>
  <si>
    <t>Fipronil and its degradates in indoor and outdoor dust.    ABSTRACT:  Fipronil is a potent insecticide used for control of termites, fleas, roaches, ants, and other pests. We measured fipronil, fipronil sulfide, and desulfinyl fipronil concentrations in indoor and outdoor dust from 24 residences in Austin, Texas. At least one of these three fipronil compounds was detected in every sample. Fipronil accounted for most of the total fipronil (T-fipronil; fipronil + desulfinyl fipronil + fipronil sulfide), followed by desulfinyl fipronil and fipronil sulfide. Nineteen of 24 samples of indoor dust had T-fipronil concentrations less than 270 microg/kg; the remaining five had concentrations from 1320 to 14,200 microg/kg. All three of the residences with a dog on which a flea-control product containing fipronil was used were among the five residences with elevated fipronil concentrations. In outdoor dust all concentrations of T-fipronil were less than 70 microg/kg with one exception (430 microg/kg). For every residence, the concentration of T-fipronil in indoor dust exceeded that in outdoor dust, and the median concentration of T-fipronil was 15 times higher indoors than outdoors.  KEYWORDS:  MeSH Chemical: Air Pollutants| Dust| Insecticides| Pyrazoles| fipronil MeSH: | Air Pollutants/majr/analysis| Air Pollution| Air Pollution, Indoor/majr/analysis| Animals| Animals, Domestic| Dogs| Dust/majr| Environmental Exposure| Environmental Monitoring/majr/methods| Humans| Insecticides/majr/analysis| Pyrazoles/majr/analysis| Residence Characteristics| Siphonaptera| Texas| Urban Population</t>
  </si>
  <si>
    <t>Mahler BJ, Van Metre PC, Wilson JT, Musgrove M, Zaugg SD, Burkhardt MR</t>
  </si>
  <si>
    <t>5665-70</t>
  </si>
  <si>
    <t>Effect of fipronil on side-specific antennal tactile learning in the honeybee.</t>
  </si>
  <si>
    <t>Effect of fipronil on side-specific antennal tactile learning in the honeybee.    ABSTRACT:  In the honeybee, the conditioning of the proboscis extension response using tactile antennal stimulations is well suited for studying the side-specificity of learning including the possible bilateral transfer of memory traces in the brain, and the role of inhibitory networks. A tactile stimulus was presented to one antenna in association with a sucrose reward to the proboscis. The other antenna was either not stimulated (A+/0 training), stimulated with a non-reinforced tactile stimulus B (A+/B- training) or stimulated with B reinforced with sucrose to the proboscis (A+/B+ training). Memory tests performed 3 and 24h after training showed in all situations that a tactile stimulus learnt on one side was only retrieved ipsilaterally, indicating no bilateral transfer of information. In all these groups, we investigated the effect of the phenylpyrazole insecticide fipronil by applying a sublethal dose (0.5 ng/bee) on the thorax 15 min before training. This treatment decreased acquisition success and the subsequent memory performances were lowered but the distribution of responses to the tactile stimuli between sides was not affected. These results underline the role of the inhibitory networks targeted by fipronil on tactile learning and memory processes.  KEYWORDS:  MeSH Chemical: Insecticides| Pyrazoles| fipronil MeSH: | Animal Structures/drug effects/physiology| Animals| Bees/majr/drug effects/physiology| Behavior, Animal/drug effects| Insecticides/majr/pharmacology| Pyrazoles/majr/pharmacology</t>
  </si>
  <si>
    <t>Bernadou A, Démares F, Couret-Fauvel T, Sandoz JC, Gauthier M</t>
  </si>
  <si>
    <t>1099-106</t>
  </si>
  <si>
    <t>Effects of an atrazine, metolachlor and fipronil mixture on Hyalella azteca (Saussure) in a modified backwater wetland.</t>
  </si>
  <si>
    <t>Effects of an atrazine, metolachlor and fipronil mixture on Hyalella azteca (Saussure) in a modified backwater wetland.    ABSTRACT:  We examined the toxicity mitigation efficiency of a hydrologically modified backwater wetland amended with a pesticide mixture of atrazine, metolachlor, and fipronil, using 96 h survival bioassays with Hyalella azteca. Significant H. azteca 96 h mortality occurred within the first 2 h of amendment at the upstream amendment site but not at any time at the downstream site. H. azteca survival varied spatially and temporally in conjunction with measured pesticide mixture concentrations. Hyalella azteca 96 h survival pesticide mixture effects concentrations ranges were 10.214–11.997, 5.822–6.658, 0.650–0.817, and 0.030–0.048 μg L−1 for atrazine, metolachlor, fipronil, and fipronil-sulfone, respectively.  KEYWORDS:  MeSH Chemical: Acetamides| Drug Combinations| Herbicides| Insecticides| Pyrazoles| Water Pollutants, Chemical| fipronil| Atrazine| metolachlor MeSH: | Acetamides/majr/analysis/toxicity| Amphipoda/majr/drug effects| Animals| Atrazine/majr/analysis/toxicity| Dose-Response Relationship, Drug| Drug Combinations| Herbicides/majr/analysis/toxicity| Insecticides/majr/analysis/toxicity| Pyrazoles/majr/toxicity| Water Pollutants, Chemical/toxicity| Wetlands</t>
  </si>
  <si>
    <t>Lizotte RE, Knight SS, Shields FD, Bryant CT</t>
  </si>
  <si>
    <t>836-40</t>
  </si>
  <si>
    <t>Fipronil as a larvicide against the container-inhabiting mosquito, Aedes albopictus.</t>
  </si>
  <si>
    <t>Fipronil as a larvicide against the container-inhabiting mosquito, Aedes albopictus.    ABSTRACT:  In the laboratory, fipronil was tested against laboratory-reared and field-collected early 4th-instars of Aedes albopictus. The insecticide was also bioassayed for activity against natural field populations of Ae. albopictus inhabiting 1-liter-capacity stone-made containers in a cemetery in St. Augustine, FL. The cemetery containers also were utilized to study initial efficacy and activity persistence of fipronil against natural populations of Ae. albopictus. The laboratory-reared larvae were 2-fold more susceptible than field-collected larvae as indicated by the 50% lethal concentration (LC50) values of 2.6 and 6 parts per billion (ppb) for laboratory-reared and field-collected larvae, respectively. In the field bioassay, in stone-made containers, the LC50 value of Ae. albopictus larvae amounted to 57.5 ppb. In the cemetery containers, fipronil applied at 3.2 and 32 ppb gave 100% control of Ae. albopictus larvae with either rate of application for at least up to 8 wk posttreatment.  KEYWORDS:  MeSH Chemical: Insecticides| Pyrazoles| fipronil MeSH: | Aedes/majr/growth &amp; development| Animals| Insecticides/majr| Larva/growth &amp; development| Mosquito Control/majr/methods| Pyrazoles/majr| Time Factors</t>
  </si>
  <si>
    <t>Xue RD, Pridgeon JW, Becnel JJ, Ali A</t>
  </si>
  <si>
    <t>Journal of the American Mosquito Control Association</t>
  </si>
  <si>
    <t>224-7</t>
  </si>
  <si>
    <t>Does the clock make the poison? Circadian variation in response to pesticides.</t>
  </si>
  <si>
    <t>Hooven LA, Sherman KA, Butcher S, Giebultowicz JM</t>
  </si>
  <si>
    <t>e6469</t>
  </si>
  <si>
    <t>Efficacy of fipronil-(S)-methoprene, metaflumizone combined with amitraz, and pyriprole commercial spot-on products in preventing Culex pipiens pipiens from feeding on dogs.</t>
  </si>
  <si>
    <t>Efficacy of fipronil-(S)-methoprene, metaflumizone combined with amitraz, and pyriprole commercial spot-on products in preventing Culex pipiens pipiens from feeding on dogs.    ABSTRACT:  A controlled clinical trial was carried out to assess the effectiveness of pyriprole, metaflumizone combined with amitraz, and fipronil-(S)-methoprene commercial spot-on products in preventing adult female Culex pipiens pipiens from feeding on dogs. Twenty-four beagle dogs were tested for their attractiveness to the mosquitoes and ranked accordingly to produce four groups of equivalent sensitivity to mosquitoes; six were treated with the pyriprole spot-on, six with the metaflumizone combined with amitraz spot-on, six with the fipronil-(S)-methoprene spot-on, and six were left untreated. All the dogs were challenged with 50 unfed adult female Culex in cages for one hour seven days before the treatment, and one and seven days after it. The mosquitoes were checked for blood feeding after one hour and for mortality 24 hours after they had been released into the cages. There was a significant reduction in the number of engorged mosquitoes only with the fipronil-(S)-methoprene product and there were significantly more dead mosquitoes with this product and the pyriprole product, but their effects were too small for them to be recommended for use in a dirofilariosis prevention programme.  KEYWORDS:  MeSH Chemical: Drug Combinations| Insecticides| Pyrazoles| Pyridines| Semicarbazones| Toluidines| amitraz| pyriprole| metaflumizone| Methoprene| fipronil MeSH: | Administration, Cutaneous| Animals| Culex/majr/drug effects/physiology| Dog Diseases/majr/parasitology/prevention &amp; control| Dogs| Drug Combinations| Female| Insect Bites and Stings/majr/prevention &amp; control/veterinary| Insect Control/majr/methods| Insecticides/majr/pharmacology| Male| Methoprene/pharmacology| Pyrazoles/pharmacology| Pyridines/pharmacology| Semicarbazones/pharmacology| Toluidines/pharmacology| Treatment Outcome</t>
  </si>
  <si>
    <t>Bouhsira E, Fysikopoulos A, Franc M</t>
  </si>
  <si>
    <t>135-7</t>
  </si>
  <si>
    <t>Permethrin induces overexpression of cytochrome c oxidase subunit 3 in Aedes aegypti.</t>
  </si>
  <si>
    <t>Permethrin induces overexpression of cytochrome c oxidase subunit 3 in Aedes aegypti.    ABSTRACT:  Using quantitative polymerase chain reaction (QPCR), the relative transcriptional levels of cytochrome c oxidase subunit 3 (CO3) were studied in Aedes aegypti in response to treatment with acetone, permethrin, and fipronil. The transcriptional levels of CO3 were significantly (P &lt; 0.05) higher in acetone-treated Ae. aegypti compared with that in untreated samples. Using ribosomal L24, heat shock protein (HSP), and actin as reference genes, relative transcription levels of CO3 in acetone-treated Ae. aegypti were 2.88 +/- 0.38-, 2.60 +/- 0.60-, and 3.24 +/- 0.70-fold higher, respectively, compared with that in untreated mosquitoes. Transcriptional levels of CO3 were induced significantly higher (6.54 +/- 1.22-, 4.62 +/- 0.74-, and 9.47 +/- 3.71-fold, respectively) by permethrin at LD10 compared with acetone (P &lt; 0.05). Taken together, our results suggest that overexpression of CO3 is tightly regulated in Ae. aegypti in response to xenobiotic treatment.  KEYWORDS:  MeSH Chemical: Insecticides| Pyrazoles| RNA, Messenger| Permethrin| Electron Transport Complex IV| fipronil MeSH: | Aedes/majr/drug effects/enzymology| Animals| Electron Transport Complex IV/majr/metabolism| Gene Expression/majr/drug effects| Insecticides/majr/pharmacology| Permethrin/majr/pharmacology| Pyrazoles/pharmacology| RNA, Messenger/metabolism</t>
  </si>
  <si>
    <t>Pridgeon JW, Becnel JJ, Clark GG, Linthicum KJ</t>
  </si>
  <si>
    <t>810-9</t>
  </si>
  <si>
    <t>Efficacy of two systemic insecticides injected into loblolly pine for protection against southern pine bark beetles (Coleoptera: Curculionidae).</t>
  </si>
  <si>
    <t>Grosman DM, Clarke SR, Upton WW</t>
  </si>
  <si>
    <t>American Healthy Homes Survey: a national study of residential pesticides measured from floor wipes.</t>
  </si>
  <si>
    <t>American Healthy Homes Survey: a national study of residential pesticides measured from floor wipes.    ABSTRACT:  The U.S. Department of Housing and Urban Development in collaboration with the United States Environmental Protection Agency conducted a survey measuring lead, allergens, and insecticides in a randomly selected nationally representative sample of residential homes. Multistage sampling with clustering was used to select the 1131 homes of which a subset of 500 randomly selected homes included the collection of hard surface floor wipes. Samples were collected by trained field technicians between June 2005 and March 2006 using isopropanol wetted wipes. Samples were analyzed for a suite of 24 compounds which included insecticides in the organochlorine, organophosphate, pyrethroid and phenylpyrazole classes, and the insecticide synergist piperonyl butoxide. The most commonly detected were permethrin (89%), chlorpyrifos (78%), chlordane (64%), piperonyl butoxide (52%), cypermethrin (46%), and fipronil (40%). Mean and geometric mean (GM) concentrations varied widely among compounds, but were highest for trans-permethrin (mean 2.22 ng/cm2 and GM 0.14 ng/ cm2) and cypermethrin (mean 2.9 ng/cm2 and GM 0.03 ng/ cm2). Results show that most floors in occupied homes in the U.S. have measurable levels of insecticides that may serve as sources of exposure to occupants.  KEYWORDS:  MeSH Chemical: Pesticides MeSH: | Air Pollution, Indoor/majr| Data Collection| Environmental Monitoring| Floors and Floorcoverings/majr| Housing/majr| Pesticides/majr/chemistry| Quality Control</t>
  </si>
  <si>
    <t>Stout DM, Bradham KD, Egeghy PP, Jones PA, Croghan CW, Ashley PA, Pinzer E, Friedman W, Brinkman MC, Nishioka MG, Cox DC</t>
  </si>
  <si>
    <t>4294-300</t>
  </si>
  <si>
    <t>Degradation of fipronil in anaerobic sediments and the effect on porewater concentrations.</t>
  </si>
  <si>
    <t>Degradation of fipronil in anaerobic sediments and the effect on porewater concentrations.    ABSTRACT:  The current study measured the degradation of fipronil in laboratory-spiked silt loam sediment under anaerobic conditions at different aging times. The half-life of fipronil in anaerobic sediments spiked at 5.8+/-0.049 and 21+/-1.4microg/kg dry weight (dw) was 21+/-0.22 and 15+/-0.11d, respectively. Fipronil-sulfide was the primary degradation product with fipronil-sulfone detected at lower concentrations. No degradation occurred to fipronil-sulfide and fipronil-sulfone over 200d in separate systems. A concurrent decline in sediment concentrations resulted in a decline of fipronil in sediment porewater with an increase in fipronil-sulfide and fipronil-sulfone measured by matrix-solid phase microextraction (matrix-SPME). Equilibrium among sediment, porewater, and matrix-SPME fiber occurred within 138d for fipronil and fipronil-sulfone; however, fipronil-sulfide did not reach equilibrium during the test, and modeling predicted upwards of 1083d to reach equilibrium. Regardless of the time to reach equilibrium, the rapid degradation of fipronil has little ecological significance given that fipronil-sulfide and fipronil-sulfone have equal or greater toxicity, and exhibit greater environmental stability in both the sediment and porewater, thereby becoming bioavailable.  KEYWORDS:  MeSH Chemical: Environmental Pollutants| Insecticides| Pyrazoles| Soil| Water| fipronil MeSH: | Anaerobiosis| Environmental Pollutants/majr/chemistry/isolation &amp; purification| Geologic Sediments/majr| Insecticides/majr/chemistry/isolation &amp; purification| Porosity| Pyrazoles/majr/chemistry/isolation &amp; purification| Soil| Solid Phase Microextraction| Time Factors| Water/majr/chemistry</t>
  </si>
  <si>
    <t>Brennan AA, Harwood AD, You J, Landrum PF, Lydy MJ</t>
  </si>
  <si>
    <t>22-8</t>
  </si>
  <si>
    <t>In vitro effects of fipronil on neuronal excitability in mammalian and molluscan nervous systems.</t>
  </si>
  <si>
    <t>In vitro effects of fipronil on neuronal excitability in mammalian and molluscan nervous systems.    ABSTRACT:  The effect of the insecticide fipronil on non-target organisms was studied on rat brain slices and identified giant neurons of the pond snail Lymnaea stagnalis. This compound acts as an antagonist on GABA(A) receptors. Although fipronil has moderate mammalian toxicity, our experiments confirmed that it modifies neuronal excitability in the rat somatosensory cortex. The amplitudes of evoked field potentials increased significantly after 30 min fipronil treatment. Short-term plasticity was examined with paired-pulse stimulation, this phenomenon was not affected by fipronil. On the other hand, the efficacy of LTP-induction was enhanced in the treated slices. Fipronil is highly toxic to freshwater invertebrates, especially molluscs. In Lymnaea stagnalis, the firing pattern of a GABA receptor- containing neuron (RPeD1) was studied. On this neuron, GABA has an excitatory, hypopolarizing effect. Fipronil treatment decreased the action potential frequency in a concentration-dependent manner. On the membrane potential of the cell, it had a slightly hyperpolarizing effect. These experiments confirmed that fipronil toxicity is mediated by GABA receptors in the nervous system of invertebrates as well as vertebrates. These types of experiments may help in establishing tolerance levels of pesticide residues and in finding proper treatment in case of eventual poisonings.  KEYWORDS:  MeSH Chemical: Insecticides| Pyrazoles| Receptors, GABA-A| fipronil MeSH: | Action Potentials/drug effects| Animals| Dose-Response Relationship, Drug| Insecticides/majr/pharmacology| Long-Term Potentiation/drug effects| Lymnaea/majr/drug effects/physiology| Male| Neuronal Plasticity/drug effects| Neurons/majr/drug effects/physiology| Pyrazoles/majr/pharmacology| Rats| Rats, Wistar| Receptors, GABA-A/drug effects/physiology| Synapses/drug effects/physiology</t>
  </si>
  <si>
    <t>Varró P, Gyori J, Világi I</t>
  </si>
  <si>
    <t>Photochemical studies on the binding of an organic fluoride to bovine serum albumin.</t>
  </si>
  <si>
    <t>Photochemical studies on the binding of an organic fluoride to bovine serum albumin.    ABSTRACT:  The interaction of fipronil (FPN), a pesticide containing fluorine, to bovine serum albumin (BSA) was studied by spectroscopy including fluorescence spectra, UV-Visible absorption, scattering spectra, circular dichroism (CD) spectra, synchronous and three-dimensional fluorescence spectra. The number of binding sites n and observed binding constant Kb was measured by fluorescence quenching method. The thermodynamic parameters Delta H, Delta G, DeltaS at different temperatures were calculated and the results indicate that hydrophobic forces played major role in the reaction. The distance r between donor (BSA) and acceptor (FPN) was obtained according to the Förster theory of non-radiation energy transfer. The structural change of BSA molecules with addition of FPN was analyzed and the results may be helpful to biologists, chemists and therapeutists.  KEYWORDS:  MeSH Chemical: Hydrocarbons, Fluorinated| Pyrazoles| Serum Albumin, Bovine| fipronil MeSH: | Animals| Cattle| Circular Dichroism| Energy Transfer| Hydrocarbons, Fluorinated/majr/chemistry/metabolism| Kinetics| Photochemical Processes/majr| Protein Binding| Protein Conformation| Pyrazoles/majr/chemistry/metabolism| Serum Albumin, Bovine/majr/chemistry/metabolism| Spectrometry, Fluorescence| Temperature</t>
  </si>
  <si>
    <t>Tong JQ, Zhang HX, Yang HM, Mei P</t>
  </si>
  <si>
    <t>Molecular biology reports</t>
  </si>
  <si>
    <t>1741-7</t>
  </si>
  <si>
    <t>Dissipation of fipronil in water under laboratory conditions.</t>
  </si>
  <si>
    <t>Dissipation of fipronil in water under laboratory conditions.    ABSTRACT:  Fipronil belongs to phenyl-pyrazole class of chemical compounds. Its dissipation in water has been studied for 90 days under laboratory conditions at two dose 0.028 (T1) and 0.056 (T2) μg mL−1. Residues were extracted with 15% dichloromethane in hexane by liquid-liquid partitioning and were estimated by GC-ECD system equipped with capillary column. Fipronil was found to persist up to 30 days after application and 100% dissipation was observed after 60 days of application. Dissipation followed a biphasic first order kinetics with half-life values of 19.13 and 20.63 days in water at (T1) and (T2) treatments, respectively.  KEYWORDS:  MeSH Chemical: Insecticides| Pyrazoles| Water Pollutants, Chemical| fipronil MeSH: | Chromatography, Gas| Half-Life| Insecticides/majr/analysis/chemistry| Kinetics| Laboratories| Pyrazoles/majr/analysis/chemistry| Water Pollutants, Chemical/majr/analysis/chemistry</t>
  </si>
  <si>
    <t>Chopra I, Kumari B</t>
  </si>
  <si>
    <t>828-31</t>
  </si>
  <si>
    <t>Permethrin induces overexpression of multiple genes in Aedes aegypti.</t>
  </si>
  <si>
    <t>Permethrin induces overexpression of multiple genes in Aedes aegypti.    ABSTRACT:  Using the polymerase chain reaction (PCR)-select subtractive cDNA hybridization technique, 18 different genes were isolated from a permethrin-treated versus acetone-treated Aedes aegypti subtractive library. Quantitative PCR (QPCR) results showed that 8 of the 18 gene's transcriptional levels in permethrin-treated Ae. aegypti were at least two-fold higher (ranging from 2.6 +/- 0.5 to 4.8 +/- 0.2) than that in acetone-treated Ae. aegypti. These eight genes include three functionally known genes (cytochrome c oxidase subunit III, NADH2 dehydrogenase, deltamethrin resistance associated protein), three functionally unknown genes (Ae. aegypti putative 16.9-kDa secreted protein, Anopheles gambiae ENSANGP00000019508, Cryptococcus neoformans hypothetical protein CNE05340), and two novel genes. Transcriptional levels for 11 of the 18 genes were induced significantly higher by permethrin than by fipronil (P &lt; 0.05). Our results suggest that subtractive cDNA hybridization and QPCR are powerful techniques to identify differentially expressed genes in response to pesticide treatment.  KEYWORDS:  MeSH Chemical: Insecticides| Pyrazoles| Permethrin| fipronil MeSH: | Aedes/majr/drug effects/genetics| Animals| Female| Gene Expression/majr/drug effects| Gene Expression Profiling/majr/methods| Genes, Insect/majr| Insecticides/majr/pharmacology| Nucleic Acid Hybridization| Permethrin/majr/pharmacology| Polymerase Chain Reaction| Pyrazoles/pharmacology</t>
  </si>
  <si>
    <t>580-7</t>
  </si>
  <si>
    <t>Phenylpyrazole insecticides induce cytotoxicity by altering mechanisms involved in cellular energy supply in the human epithelial cell model Caco-2.</t>
  </si>
  <si>
    <t>Phenylpyrazole insecticides induce cytotoxicity by altering mechanisms involved in cellular energy supply in the human epithelial cell model Caco-2.    ABSTRACT:  Phenylpyrazoles are relatively new insecticides designed to manage problematic insect resistance and public health hazards encountered with older pesticide families. In vitro cytotoxicity induced by the phenylpyrazole insecticides, Ethiprol and Fipronil, and Fipronil metabolites, sulfone and sulfide, was studied in Caco-2 cells. This cellular model was chosen because it made possible to mimic the primary site of oral exposure to xenobiotics, the intestinal epithelium. Assessment of the barrier function of Caco-2 epithelium was assessed by TEER measurement and showed a major loss of barrier integrity after exposure to Fipronil and its metabolites, but not to Ethiprol. The disruption of the epithelial barrier was attributed to severe ATP depletion independent of cell viability, as revealed by LDH release. The origin of energetic metabolism failure was investigated and revealed a transient enhancement of tetrazolium salt reduction and an increase in lactate production by Caco-2 cells, suggesting an increase in glucose metabolism by pesticides. Cellular symptoms observed in these experiments lead us to hypothesize that phenylpyrazole insecticides interacted with mitochondria.  KEYWORDS:  MeSH Chemical: Insecticides| Pyrazoles| Lactic Acid| ethiprole| Adenosine Triphosphate| L-Lactate Dehydrogenase| fipronil MeSH: | Adenosine Triphosphate/analysis| Caco-2 Cells| Cell Proliferation/drug effects| Dose-Response Relationship, Drug| Electric Impedance| Energy Metabolism/majr/drug effects| Epithelial Cells/majr/drug effects/metabolism| Humans| Insecticides/majr/pharmacology| L-Lactate Dehydrogenase/metabolism| Lactic Acid/biosynthesis| Mitochondria/drug effects| Pyrazoles/majr/pharmacology</t>
  </si>
  <si>
    <t>Vidau C, Brunet JL, Badiou A, Belzunces LP</t>
  </si>
  <si>
    <t>589-97</t>
  </si>
  <si>
    <t>Discovery of the development candidate N-tert-butyl nodulisporamide: a safe and efficacious once monthly oral agent for the control of fleas and ticks on companion animals.</t>
  </si>
  <si>
    <t>Discovery of the development candidate N-tert-butyl nodulisporamide: a safe and efficacious once monthly oral agent for the control of fleas and ticks on companion animals.    ABSTRACT:  Nodulisporic acid A (1) is a structurally complex fungal metabolite that exhibits systemic efficacy against fleas via modulation of an invertebrate specific glutamate-gated ion channel. In order to identify a nodulisporamide suitable for monthly oral dosing in dogs, a library of 335 nodulisporamides was examined in an artificial flea feeding system for intrinsic systemic potency as well as in a mouse/bedbug assay for systemic efficacy and safety. A cohort of 66 nodulisporamides were selected for evaluation in a dog/flea model; pharmacokinetic analysis correlated plasma levels with flea efficacy. These efforts resulted in the identification of the development candidate N-tert-butyl nodulisporamide (3) as a potent and efficacious once monthly oral agent for the control of fleas and ticks on dogs and cats which was directly compared to the topical agents fipronil and imidacloprid, with favorable results obtained. Multidose studies over 3 months confirmed the in vivo ectoparasiticidal efficacy and established that 3 lacked overt mammalian toxicity. Tissue distribution studies in mice using [(14)C]-labeled 3 indicate that adipose beds serve as ligand depots, contributing to the long terminal half-lives of these compounds.  KEYWORDS:  MeSH Chemical: Indole Alkaloids| Indoles| Insecticides| N-tert-butyl nodulisporamide| nodulisporic acid A MeSH: | Adipose Tissue/metabolism| Administration, Oral| Animals| Cats| Dogs| Female| Indole Alkaloids/chemical synthesis/pharmacokinetics/pharmacology| Indoles| Insect Control/majr| Insecticides/majr/administration &amp; dosage/chemical synthesis| Male| Mice| Siphonaptera/majr| Ticks/majr| Tissue Distribution</t>
  </si>
  <si>
    <t>Meinke PT, Colletti SL, Fisher MH, Wyvratt MJ, Shih TL, Ayer MB, Li C, Lim J, Ok D, Salva S, Warmke LM, Zakson M, Michael BF, Demontigny P, Ostlind DA, Fink D, Drag M, Schmatz DM, Shoop WL</t>
  </si>
  <si>
    <t>Journal of medicinal chemistry</t>
  </si>
  <si>
    <t>3505-15</t>
  </si>
  <si>
    <t>Morphological alterations induced by boric acid and fipronil in the midgut of worker honeybee (Apis mellifera L.) larvae : Morphological alterations in the midgut of A. mellifera.</t>
  </si>
  <si>
    <t>da Silva Cruz A, da Silva-Zacarin EC, Bueno OC, Malaspina O</t>
  </si>
  <si>
    <t>165-76</t>
  </si>
  <si>
    <t>Survival, growth, and body residues of hyalella azteca (Saussure) exposed to fipronil contaminated sediments from non-vegetated and vegetated microcosms.</t>
  </si>
  <si>
    <t>Survival, growth, and body residues of hyalella azteca (Saussure) exposed to fipronil contaminated sediments from non-vegetated and vegetated microcosms.    ABSTRACT:  We assessed chronic effects of fipronil and metabolite contaminated sediments from non-vegetated and Thallia dealbata vegetated wetland microcosms on Hyalella azteca during wet and dry exposures. Mean sediment concentrations (ng g(-1)) ranged from 0.72-1.26, 0.01-0.69, 0.07-0.23, and 0.49-7.87 for fipronil, fipronil-sulfide, fipronil-sulfone, and fipronil-desulfinyl, respectively. No significant differences in animal survival or growth were observed between non-vegetated and vegetated microcosms during wet or dry exposures. Mean animal body residue concentrations (ng g(-1)) ranged from 28.4-77.6, 0-30.7, and 8.3-43.8 for fipronil, fipronil-sulfide, and fipronil-sulfone. Fipronil-desulfinyl was not detected in any animal samples.  KEYWORDS:  MeSH Chemical: Insecticides| Pesticide Residues| Pyrazoles| Soil| Soil Pollutants| Water Pollutants, Chemical| fipronil MeSH: | Amphipoda/majr/chemistry/growth &amp; development/physiology| Animals| Biodegradation, Environmental| Geologic Sediments/analysis| Insecticides/majr/analysis| Pesticide Residues/analysis| Plants/chemistry/metabolism| Pyrazoles/majr/analysis| Soil/analysis| Soil Pollutants/analysis| Survival| Typhaceae/chemistry/metabolism| Water Pollutants, Chemical/analysis</t>
  </si>
  <si>
    <t>Kröger R, Lizotte RE, Moore MT</t>
  </si>
  <si>
    <t>369-73</t>
  </si>
  <si>
    <t>Does phenoloxidase contributed to the resistance? Selection with butane-fipronil enhanced its activities from diamondback moths.</t>
  </si>
  <si>
    <t>Does phenoloxidase contributed to the resistance? Selection with butane-fipronil enhanced its activities from diamondback moths.    ABSTRACT:  Using microtitration method, the relationship between Phenoloxidase activity and the resistance of the diamondback moth Plutella xylostella (Linnaeus) to the novel insecticide butane-fipronil was determined in vitro. After selection of the tenth-generation by butane-fipronil, the resistance of the fourth instar larvae was increased 83.80-fold as compared to the susceptible strain. Phenoloxidase activity of the resistant strain (PO(r)) was 1.29-fold higher than the susceptible one (PO(s)). However, the Km and optimum pH values were similar in resistant and susceptible strains, which were 1.11 mM and 6.5, respectively. Both PO(r) and PO(s) have maximum stability at pH values less than 7.0, although PO(s) was less stable at lower pH values than PO(r). In addition, the thermal stabilities of the two phenoloxidase were very similar. It is suggested that PO may play an important role in the increasing resistance of pests to pesticides.  KEYWORDS:  Other:Butane-fipronil|Plutella xylostell|phenoloxidase|resistance.</t>
  </si>
  <si>
    <t>Liu S, Niu H, Xiao T, Xue C, Liu Z, Luo W</t>
  </si>
  <si>
    <t>The open biochemistry journal</t>
  </si>
  <si>
    <t>9-13</t>
  </si>
  <si>
    <t>Dermatoses caused by infestations of immature Ixodes spp. on dogs and cats in Sydney, Australia.</t>
  </si>
  <si>
    <t>Dermatoses caused by infestations of immature Ixodes spp. on dogs and cats in Sydney, Australia.    ABSTRACT:  Infestations of larval and nymphal Ixodes spp. were identified in 16 dogs and 16 cats from several small animal clinics in Sydney. Cases occurred in late summer or autumn, peaking in February, and were seasonally recurrent in some individuals. Clinical signs of infestation included a papular dermatitis and irritation or pruritus that ranged from severe to mild or absent. The distribution of tick attachment tended to be cranial and ventral, with the face, legs, axillae and ventrum the most commonly affected sites. The estimated number of ticks in each infestation varied from less than 10 to more than 100. Basic morphological examination of ticks collected from affected animals was performed by attending veterinarians using light microscopy, and larvae and nymphs belonging to the Ixodes genus were identified. Ticks collected from 17 animals and submitted to the Department of Medical Entomology, Westmead Hospital were putatively identified as I. trichosuri (57%) and I. holocyclus (25%) larvae. Histopathological samples of attachment sites collected from three dogs and one cat were characterised by ticks attached in well-demarcated invaginations of the skin ('tick craters') associated with variable epidermal and/or dermal necrosis, focal eosinophilic intraspinous pustules, mild to marked eosinophilic and neutrophilic, superficial to deep, dermal perivascular to interstitial inflammation, and moderate to marked superficial dermal oedema and red cell extravasation. A range of topical acaricidal preparations, including fipronil and synthetic pyrethroids, were used for treatment.  KEYWORDS:  MeSH: | Animals| Cat Diseases/majr/epidemiology/parasitology/pathology| Cats| Dog Diseases/majr/epidemiology/parasitology/pathology| Dogs| Ixodes/classification| New South Wales/epidemiology| Skin Diseases/majr/epidemiology/parasitology/veterinary| Tick Infestations/majr/epidemiology/pathology/veterinary</t>
  </si>
  <si>
    <t>Baxter C, Vogelnest Lj, Doggett S</t>
  </si>
  <si>
    <t>Australian veterinary journal</t>
  </si>
  <si>
    <t>87</t>
  </si>
  <si>
    <t>182-7</t>
  </si>
  <si>
    <t>Organochlorines in the Vaccarès Lagoon trophic web (Biosphere Reserve of Camargue, France).</t>
  </si>
  <si>
    <t>Organochlorines in the Vaccarès Lagoon trophic web (Biosphere Reserve of Camargue, France).    ABSTRACT:  During a decade (1996-2006), ecotoxicological studies were carried out in biota of the Vaccarès Lagoon (Biosphere Reserve in Rhone Delta, France). A multicontamination was shown at all levels of the trophic web due to a direct bioconcentration of chemical from the medium combined with a food transfer. Here, the pollutants investigated were organochlorines, among which many compounds banned or in the course of prohibition (or restriction) (PCB, lindane, pp'-DDE, dieldrin, aldrin, heptachlor, endosulfan...) and some substances likely still used in the Rhone River basin (diuron, fipronil). The results confirmed the ubiquity of contamination. It proves to be chronic, variable and tends to regress; however contamination levels depend on the trophic compartment. A biomagnification process was showed. A comparison of investigation methods used in other Mediterranean wetlands provides basis of discussion, and demonstrates the urgent need of modelling to assess the ecotoxicological risk in order to improve the management of such protected areas.  KEYWORDS:  MeSH Chemical: Hydrocarbons, Chlorinated| Water Pollutants, Chemical| Dichlorodiphenyl Dichloroethylene| Hexachlorocyclohexane| Heptachlor| Polychlorinated Biphenyls| Dieldrin| Endosulfan| Aldrin MeSH: | Aldrin/analysis/metabolism| Animals| Aquatic Organisms/majr/metabolism| Dichlorodiphenyl Dichloroethylene/analysis/metabolism| Dieldrin/analysis/metabolism| Endosulfan/analysis/metabolism| Environmental Monitoring| Food Chain/majr| France| Heptachlor/analysis/metabolism| Hexachlorocyclohexane/analysis/metabolism| Hydrocarbons, Chlorinated/majr/analysis/metabolism| Polychlorinated Biphenyls/analysis/metabolism| Seawater/majr/chemistry| Water Pollutants, Chemical/majr/analysis/metabolism| Wetlands</t>
  </si>
  <si>
    <t>Roche H, Vollaire Y, Persic A, Buet A, Oliveira-Ribeiro C, Coulet E, Banas D, Ramade F</t>
  </si>
  <si>
    <t>8-9</t>
  </si>
  <si>
    <t>2493-506</t>
  </si>
  <si>
    <t>Comparison of cleanup methods for fipronil and its degradation products in sediment extracts.</t>
  </si>
  <si>
    <t>Comparison of cleanup methods for fipronil and its degradation products in sediment extracts.    ABSTRACT:  Gel permeation chromatography (GPC) and solid phase extraction (SPE) were compared for cleaning extracts containing fipronil, fipronil-sulfide, and fipronil-sulfone at sub-ppb concentrations in sediment. With both methods, analytes were extracted using accelerated solvent extraction, and analyzed with gas chromatography equipped with an electron capture detector. The GPC was performed with a Waters Envirogel GPC column with dichloromethane as the mobile phase, while SPE was conducted with dual-layer cartridges containing graphitized carbon black and primary and secondary amines with a mixture of acetone and hexane as the eluting solvent. Method detection limits for fipronil, fipronil-sulfide, and fipronil-sulfone from three sediments with varying organic carbon content ranged from 0.12 to 0.52 microg/kg dry weight, while percent recoveries were 72-119% from sediment aged from 0.24 to 14d. Although both methods were effective at analyzing fipronil and its degradation products, SPE was the less expensive and less labor-intensive method.  KEYWORDS:  MeSH Chemical: Antiparasitic Agents| Insecticides| Pyrazoles| Solvents| fipronil MeSH: | Antiparasitic Agents| Chromatography, Gel/majr/economics/methods/standards| Decontamination/methods| Environmental Restoration and Remediation/majr/methods| Geologic Sediments/majr/chemistry| Insecticides| Methods| Pyrazoles/majr/isolation &amp; purification| Solid Phase Extraction/majr/economics/methods/standards| Solvents</t>
  </si>
  <si>
    <t>Brennan AA, You J, Lydy MJ</t>
  </si>
  <si>
    <t>4-5</t>
  </si>
  <si>
    <t>1408-13</t>
  </si>
  <si>
    <t>Enantioselectivity in fipronil aquatic toxicity and degradation.</t>
  </si>
  <si>
    <t>Nillos MG, Lin K, Gan J, Bondarenko S, Schlenk D</t>
  </si>
  <si>
    <t>1825-33</t>
  </si>
  <si>
    <t>An ivermectin-sensitive glutamate-gated chloride channel from the parasitic nematode Haemonchus contortus.</t>
  </si>
  <si>
    <t>McCavera S, Rogers AT, Yates DM, Woods DJ, Wolstenholme AJ</t>
  </si>
  <si>
    <t>1347-55</t>
  </si>
  <si>
    <t>In vitro tests to establish LC50 and discriminating concentrations for fipronil against Rhipicephalus (Boophilus) microplus (Acari: Ixodidae) and their standardization.</t>
  </si>
  <si>
    <t>In vitro tests to establish LC50 and discriminating concentrations for fipronil against Rhipicephalus (Boophilus) microplus (Acari: Ixodidae) and their standardization.    ABSTRACT:  Laboratory test was carried out on larvae and adults of the cattle tick, Rhipicephalus (Boophilus) microplus, to determine fipronil toxicity. Adult immersion test (AIT, N=26), larval immersion test (LIT, N=71) and larval packet test (LPT, N=41) were standardized using susceptible strain (Mozo). Dose-response curves were compared with a fipronil resistant strain. Four variables were analyzed from AIT results: mortality, weight of eggs on day 7 and on day 14, index of fertility, and index of fecundity. For larval test, dose mortality curves were analyzed. In spite of the high LC(50) variability, all variables determined for AIT were appropriate to discriminate both strains. AIT and LIT had more sensitivity than LPT, with larger resistance factors. It was used two times LC(99.9) as discriminating doses (DCs) following FAO suggestion. For mortality by AIT, LIT and LPT the DCs were estimated: 4.98ppm, 7.64ppm and 2365.8ppm, respectively, for Mozo strain. DCs mortality values estimated for resistant strain by AIT, LIT and LPT were: 6.96x10(5)ppm, 343.26ppm and 5.7x10(3)ppm, respectively and their respective resistant factors were: 202.4, 5.36 and 1.52. Protocols for AIT, LIT and LPT have been presented in this paper.  KEYWORDS:  MeSH Chemical: Insecticides| Pyrazoles| fipronil MeSH: | Animals| Dose-Response Relationship, Drug| Insecticides/majr/pharmacology| Lethal Dose 50| Pyrazoles/majr/pharmacology| Rhipicephalus/majr/drug effects</t>
  </si>
  <si>
    <t>Castro-Janer E, Rifran L, Piaggio J, Gil A, Miller RJ, Schumaker TT</t>
  </si>
  <si>
    <t>120-8</t>
  </si>
  <si>
    <t>Rdl gene polymorphism and sequence analysis and relation to in vivo fipronil susceptibility in strains of the cat flea.</t>
  </si>
  <si>
    <t>Brunet S, Le Meter C, Murray M, Soll M, Audonnet JC</t>
  </si>
  <si>
    <t>366-72</t>
  </si>
  <si>
    <t>Contact versus feeding intoxication by fipronil in Reticulitermes termites (Isoptera: Rhinotermitidae): laboratory evaluation of toxicity, uptake, clearance, and transfer among individuals.</t>
  </si>
  <si>
    <t>Contact versus feeding intoxication by fipronil in Reticulitermes termites (Isoptera: Rhinotermitidae): laboratory evaluation of toxicity, uptake, clearance, and transfer among individuals.    ABSTRACT:  The susceptibility to fipronil of U.S. and French populations of Reticulitermes flavipes (Kollar) (Isoptera: Rhinotermitidae) was evaluated in two types of laboratory bioassays: contact intoxication with 0.01-1 ppm treated sand and feeding intoxication with 0.1-10 ppm treated filter paper. Contact intoxication with 0.01 ppm fipronil caused 60% mortality after 55 and 64 h in the French and U.S. populations, respectively, whereas in the 5 ppm feeding assay 70 and 60% mortality was observed after 7 d in the French and U.S. populations, respectively. We evaluated the uptake, clearance, and transfer of fipronil among workers of French R. flavipes using [14C] fipronil in contact (0.01 ppm) and feeding (3 ppm) bioassays. Fipronil amounts were measured on their cuticle and in their bodies. Maximal uptake was observed in the contact assay. A significant uptake of fipronil occurred in the feeding assay. Transfer from exposed donors to unexposed recipients occurred within 24 h. Frequent horizontal transfer resulted in a significant uptake in recipients, particularly when donor fipronil acquisition was by feeding. Donors transferred approximately 46% of the toxicant to recipients. Social behaviors such as contact and grooming, together with internalization of the biocide, may be components of the horizontal transfer process and contribute to the efficacy of fipronil in the field.  KEYWORDS:  MeSH Chemical: Carbon Radioisotopes| Insecticides| Pyrazoles| fipronil MeSH: | Animals| Carbon Radioisotopes/metabolism| Feeding Behavior| France| Insecticides/majr/administration &amp; dosage/pharmacokinetics| Isoptera/majr/metabolism| Pyrazoles/majr/administration &amp; dosage/pharmacokinetics| United States</t>
  </si>
  <si>
    <t>Bagnères AG, Pichon A, Hope J, Davis RW, Clément JL</t>
  </si>
  <si>
    <t>347-56</t>
  </si>
  <si>
    <t>Action of the chemical agent fipronil on the reproductive process of semi-engorged females of the tick Rhipicephalus sanguineus (Latreille, 1806) (Acari: Ixodidae). Ultrastructural evaluation of ovary cells.</t>
  </si>
  <si>
    <t>Action of the chemical agent fipronil on the reproductive process of semi-engorged females of the tick Rhipicephalus sanguineus (Latreille, 1806) (Acari: Ixodidae). Ultrastructural evaluation of ovary cells.    ABSTRACT:  The ovary of the tick Rhipicephalus sanguineus consists of a wall of epithelial cells and a large number of oocytes in five different developmental stages (I-V), which are attached to the wall by a pedicel. The present study provides ultrastructural information on the effects (dose-response) of the acaricide fipronil (Frontline) on ovaries of semi-engorged females of R. sanguineus, as well as it demonstrates some possible defense mechanisms used by oocytes to protect themselves against this chemical agent. Individuals were divided into four groups. Group I was used as control while groups II, III and IV were treated with fipronil at the concentrations of 1, 5 and 10 ppm, respectively. Fipronil at the concentration of 10 ppm had the strongest effect on the development of oocytes. At this concentration, even oocytes that reached the final developmental stage exhibited damaged cell structures. Moreover, the observation in fipronil-treated R. sanguineus ticks of damaged cellular components such as plasmic membrane, mitochondria and protein granules (due to alteration in the protein synthesis), and cellular defense mechanisms such as increase in the amount of cytoplasmic microtubules and large amounts of digestive vacuoles and myelin figures, were only possible by means of ultrastructure.  KEYWORDS:  MeSH Chemical: Insecticides| Pyrazoles| fipronil MeSH: | Animals| Female| Insecticides/majr/toxicity| Microscopy, Electron, Transmission| Oocytes/drug effects/ultrastructure| Organelles/drug effects/ultrastructure| Ovary/majr/cytology/drug effects/ultrastructure| Pyrazoles/majr/toxicity| Reproduction/majr/drug effects| Ticks/majr/physiology| Vitellogenesis/drug effects</t>
  </si>
  <si>
    <t>Oliveira PR, Bechara GH, Morales MA, Mathias MI</t>
  </si>
  <si>
    <t>1255-64</t>
  </si>
  <si>
    <t>Homology modeling of human alpha 1 beta 2 gamma 2 and house fly beta 3 GABA receptor channels and Surflex-docking of fipronil.</t>
  </si>
  <si>
    <t>Homology modeling of human alpha 1 beta 2 gamma 2 and house fly beta 3 GABA receptor channels and Surflex-docking of fipronil.    ABSTRACT:  To further explore the mechanism of selective binding of the representative gamma-aminobutyric acid receptors (GABARs) noncompetitive antagonist (NCA) fipronil to insect over mammalian GABARs, three-dimensional models of human alpha 1 beta 2 gamma 2 and house fly beta 3 GABAR were generated by homology modeling, using the cryo-electron microscopy structure of the nicotinic acetylcholine receptor (nAChR) of Torpedo marmorata as a template. Fipronil was docked into the putative binding site of the human alpha 1 beta 2 gamma 2 and house fly beta 3 receptors by Surflex-docking, and the calculated docking energies are in agreement with experimental results. The GABA receptor antagonist fipronil exhibited higher potency with house fly beta 3 GABAR than with human alpha 1 beta 2 gamma 2 GABAR. Furthermore, analyses of Surflex-docking suggest that the H-bond interaction of fipronil with Ala2 and Thr6 in the second transmembrane segment (TM2) of these GABARs plays a relatively important role in ligand selective binding. The different subunit assemblies of human alpha 1 beta 2 gamma 2 and house fly beta 3 GABARs may result in differential selectivity for fipronil.  KEYWORDS:  MeSH Chemical: GABA-A Receptor Antagonists| GABRA1 protein, human| GABRB2 protein, human| GABRB3 protein, human| GABRG2 protein, human| Insecticides| Pyrazoles| Receptors, GABA-A| Receptors, Nicotinic| Threonine| Alanine| fipronil MeSH: | Alanine/chemistry| Amino Acid Sequence| Animals| Cryoelectron Microscopy| GABA-A Receptor Antagonists| Houseflies| Humans| Insecticides/majr/chemistry| Models, Molecular| Molecular Sequence Data| Protein Conformation| Pyrazoles/majr/chemistry| Receptors, GABA-A/majr/chemistry| Receptors, Nicotinic/chemistry| Threonine/chemistry| Torpedo</t>
  </si>
  <si>
    <t>Cheng J, Ju XL, Chen XY, Liu GY</t>
  </si>
  <si>
    <t>Journal of molecular modeling</t>
  </si>
  <si>
    <t>1145-53</t>
  </si>
  <si>
    <t>Persistence and sorption of fipronil degradates in urban stream sediments.</t>
  </si>
  <si>
    <t>Persistence and sorption of fipronil degradates in urban stream sediments.    ABSTRACT:  Fipronil, an increasingly popular insecticide used for urban pest control, is known to readily transform into several degradates that generally have similar or greater toxicity to aquatic organisms than the parent compound. However, knowledge on the fate of these degradates in the environment is obscure. In the present study, degradation kinetics and sorption of desthiofipronil, fipronil sulfide, and fipronil sulfone were investigated in urban stream sediments. All degradates showed enhanced persistence in sediments compared to fipronil under facultative or anaerobic conditions. Under facultative conditions, the estimated half-lives of desthiofipronil, fipronil sulfide, and fipronil sulfone were 217 to 497, 195 to 352, and 502 to 589 d, respectively. Under anaerobic conditions, the corresponding half-lives were over one year in one sediment, while no detectable degradation occurred in the other two sediments after 280 d. Sorption isotherms of fipronil and its degradates in the sediments were linear, with mean K(OC) values of 802, 1,296, 3,684, and 3,543 L/kg for fipronil, desthiofipronil, fipronil sulfide, and fipronil sulfone, respectively, suggesting that the degradates generally have a higher sorption capacity than fipronil. Sorption coefficient K(d) increased up to fourfold over 280 d, suggesting an aging effect on sorption. The inherent toxicity, long persistence, and strong sorption potential highlight the importance for a better understanding of the sediment toxicity of fipronil degradates in surface water bodies.  KEYWORDS:  MeSH Chemical: Pyrazoles| Water Pollutants, Chemical| fipronil MeSH: | Adsorption| California| Environmental Monitoring| Fresh Water/majr/analysis| Geologic Sediments/majr/chemistry| Pyrazoles/majr/analysis/chemistry| Solubility| Time Factors| Urban Health| Water Pollutants, Chemical/majr/analysis/chemistry</t>
  </si>
  <si>
    <t>Lin K, Haver D, Oki L, Gan J</t>
  </si>
  <si>
    <t>1462-8</t>
  </si>
  <si>
    <t>Mississippi oxbow lake sediment quality during an artificial flood.</t>
  </si>
  <si>
    <t>Mississippi oxbow lake sediment quality during an artificial flood.    ABSTRACT:  Surface sediment quality was assessed during a 35-day artificial flood in a shallow (&lt;1.5 m) oxbow lake along the Coldwater River, Mississippi, using Hyalella azteca 28-day bioassays. Seventeen pesticides were monitored in sediments before, during and after flooding, with increases in atrazine and metolachlor concentrations coinciding with two unexpected storm events, 51 and 56 mm, during and after flooding, respectively. Mean 28-day H. azteca survival was &gt;85% throughout this study. However, growth was affected at three sites during flooding with limited growth recovery after flooding. Patterns in observed growth impairment were associated with changes in atrazine (R(2)=0.524) and fipronil sulfone (R(2)=0.584) concentrations.  KEYWORDS:  MeSH Chemical: Acetamides| Pesticide Residues| Water Pollutants, Chemical| Atrazine| metolachlor MeSH: | Acetamides/analysis| Amphipoda/majr/physiology| Animals| Atrazine/analysis| Biological Assay| Environmental Monitoring| Floods| Fresh Water/chemistry| Geologic Sediments/majr/chemistry| Mississippi| Pesticide Residues/majr/analysis| Water Pollutants, Chemical/majr/analysis</t>
  </si>
  <si>
    <t>Knight SS, Lizotte RE, Moore MT, Smith S, Shields FD</t>
  </si>
  <si>
    <t>496-500</t>
  </si>
  <si>
    <t>Effect of compost and casing treatments of insecticides against the sciarid Bradysia ocellaris (Diptera: Sciaridae) and on the total yield of cultivated mushrooms, Agaricus bisporus.</t>
  </si>
  <si>
    <t>Effect of compost and casing treatments of insecticides against the sciarid Bradysia ocellaris (Diptera: Sciaridae) and on the total yield of cultivated mushrooms, Agaricus bisporus.    ABSTRACT:  Bradysia ocellaris (Comstock) is one of the major pests of cultivated mushrooms, Agaricus bisporus (Lange) Imbach. The feeding of sciarid fly larvae causes damage to the cultivation substrates, compost and casing. A comparative study of insecticidal treatments incorporated into compost and casing against B. ocellaris was conducted during 2003-2004. Treatments with an organophosphate, diazinon, a pyrazole, fipronil, and an insect growth regulator (IGR), triflumuron, were incorporated into casing. Another IGR, cyromazine, was incorporated into compost. Insecticidal incorporation into compost and casing has been associated with reductions in mushroom yield. Therefore, the effect of these insecticidal treatments on the overall yield was evaluated.A combined treatment, incorporation of cyromazine at 10 mg kg(-1) into compost and of triflumuron at 20 mg kg(-1) into casing, provided 100% control against B. ocellaris. There was no apparent reduction in yield as a result of incorporation of the tested chemicals into either compost or casing.The results obtained from this study suggest that incorporation of insecticides into both compost and casing is required to control a moderate to high pressure of insect pests. There were no significant yield reductions as a result of the incorporation of pesticides in the Australian mushroom-growing system.Copyright (c) 2009 Society of Chemical Industry.  KEYWORDS:  MeSH Chemical: Insecticides| Soil MeSH: | Agaricus/majr/physiology| Agriculture| Animals| Diptera/majr/drug effects| Dose-Response Relationship, Drug| Insecticides/majr/pharmacology| Soil/majr</t>
  </si>
  <si>
    <t>Shamshad A, Clift AD, Mansfield S</t>
  </si>
  <si>
    <t>375-80</t>
  </si>
  <si>
    <t>Degradation of fipronil (Termidor) in aqueous solution stored in polyethylene tanks exposed to sunlight or shade.</t>
  </si>
  <si>
    <t>Degradation of fipronil (Termidor) in aqueous solution stored in polyethylene tanks exposed to sunlight or shade.    ABSTRACT:  Pest Management Professionals commonly use polyethylene or fiberglass tanks for mixing and applying termiticides. We investigated the stability of fipronil (Termidor SC) (0.06%, 0.09% and 0.125% active ingredient) in aqueous solutions stored in polyethylene tanks under sun and shade for 2 week. Chemical analysis of tank-mixed solutions sampled at 0, 24, 48, 72, 168 and 336 h indicated that fipronil remained stable. Our data indicated that polyethylene tanks prevent fipronil from photodegradation and these tanks can be safely used for short term storage (up to 2 week) of liquid termiticides.  KEYWORDS:  MeSH Chemical: Insecticides| Pyrazoles| Polyethylene| fipronil MeSH: | Adsorption| Chromatography, High Pressure Liquid| Insecticides/majr/chemistry/radiation effects| Light/majr| Linear Models| Photolysis/majr| Polyethylene/majr/chemistry| Pyrazoles/majr/chemistry/radiation effects| Sunlight/majr| Temperature| Time Factors</t>
  </si>
  <si>
    <t>Husen TJ, Spomer NA, Kamble ST</t>
  </si>
  <si>
    <t>605-9</t>
  </si>
  <si>
    <t>Determination of four heterocyclic insecticides by ionic liquid dispersive liquid-liquid microextraction in water samples.</t>
  </si>
  <si>
    <t>Determination of four heterocyclic insecticides by ionic liquid dispersive liquid-liquid microextraction in water samples.    ABSTRACT:  A novel microextraction method termed ionic liquid dispersive liquid-liquid microextraction (IL-DLLME) combining high-performance liquid chromatography with diode array detection (HPLC-DAD) was developed for the determination of insecticides in water samples. Four heterocyclic insecticides (fipronil, chlorfenapyr, buprofezin, and hexythiazox) were selected as the model compounds for validating this new method. This technique combines extraction and concentration of the analytes into one step, and the ionic liquid was used instead of a volatile organic solvent as the extraction solvent. Several important parameters influencing the IL-DLLME extraction efficiency such as the volume of extraction solvent, the type and volume of disperser solvent, extraction time, centrifugation time, salt effect as well as acid addition were investigated. Under the optimized conditions, good enrichment factors (209-276) and accepted recoveries (79-110%) were obtained for the extraction of the target analytes in water samples. The calibration curves were linear with correlation coefficient ranged from 0.9947 to 0.9973 in the concentration level of 2-100 microg/L, and the relative standard deviations (RSDs, n=5) were 4.5-10.7%. The limits of detection for the four insecticides were 0.53-1.28 microg/L at a signal-to-noise ratio (S/N) of 3.  KEYWORDS:  MeSH Chemical: Heterocyclic Compounds| Insecticides| Solvents| Water| Sodium Chloride MeSH: | Calibration| Chemical Fractionation/majr/methods| Chromatography, High Pressure Liquid/majr/methods| Fresh Water/chemistry| Heterocyclic Compounds/majr/analysis| Hydrogen-Ion Concentration| Insecticides/majr/analysis| Linear Models| Reproducibility of Results| Sensitivity and Specificity| Sodium Chloride/chemistry| Solvents/chemistry| Time Factors| Water/chemistry</t>
  </si>
  <si>
    <t>Liu Y, Zhao E, Zhu W, Gao H, Zhou Z</t>
  </si>
  <si>
    <t>1216</t>
  </si>
  <si>
    <t>885-91</t>
  </si>
  <si>
    <t>Efficacy of insecticide mixtures against pyrethroid- and organophosphate-resistant populations of Spodoptera litura (Lepidoptera: Noctuidae).</t>
  </si>
  <si>
    <t>Ahmad M, Saleem MA, Sayyed AH</t>
  </si>
  <si>
    <t>266-74</t>
  </si>
  <si>
    <t>Effects of topical application of fipronil spot-on on dogs against the Chagas disease vector Triatoma infestans.</t>
  </si>
  <si>
    <t>Effects of topical application of fipronil spot-on on dogs against the Chagas disease vector Triatoma infestans.    ABSTRACT:  We assessed the insecticidal effects of fipronil spot-on applied to experimental dogs on the blood-feeding success and other vital parameters of the Trypanosoma cruzi vector Triatoma infestans. In the first trial, the cumulative mortality of 30 third or fourth instar nymphs exposed to eight fipronil-treated dogs differed significantly from those exposed to untreated dogs at 1 week post-treatment, but not at baseline or at 2-6 weeks post-treatment. In the second trial, the effects of multiple exposures to fipronil-treated dogs on bug population dynamics were assessed. A population of 80-84 bugs of various life stages were allowed to colonize eight closed experimental huts, and then exposed twice weekly to control or treated dogs over a period of 110 days and censused at monthly intervals. Throughout the trial, multiple exposure to fipronil did not significantly affect bug population size, fecundity, hatching, molting, survival, blood-feeding success and degree of engorgement. Only when engorgement was taken to include only fully fed bugs, did fipronil significantly reduce their degree of engorgement relative to bugs exposed to control dogs. We conclude that at tested dosages fipronil spot-on would have little effect in controlling (peri)domestic Tri. infestans or protecting dogs from contact with the bugs.  KEYWORDS:  MeSH Chemical: Insecticides| Pyrazoles| fipronil MeSH: | Administration, Topical| Animals| Argentina| Chagas Disease/majr/parasitology/transmission/veterinary| Disease Reservoirs/veterinary| Dog Diseases/majr/prevention &amp; control| Dogs| Insecticides/majr/administration &amp; dosage| Pyrazoles/majr/administration &amp; dosage| Triatoma/majr/drug effects</t>
  </si>
  <si>
    <t>Gürtler RE, Ceballos LA, Stariolo R, Kitron U, Reithinger R</t>
  </si>
  <si>
    <t>Transactions of the Royal Society of Tropical Medicine and Hygiene</t>
  </si>
  <si>
    <t>298-304</t>
  </si>
  <si>
    <t>Comparative efficacy of imidacloprid, selamectin, fipronil-(S)-methoprene, and metaflumizone against cats experimentally infested with Ctenocephalides felis.</t>
  </si>
  <si>
    <t>Schnieder T, Wolken S, Mencke N</t>
  </si>
  <si>
    <t>176-83</t>
  </si>
  <si>
    <t>Is fipronil safer than chlorpyrifos? Comparative developmental neurotoxicity modeled in PC12 cells.</t>
  </si>
  <si>
    <t>Lassiter TL, MacKillop EA, Ryde IT, Seidler FJ, Slotkin TA</t>
  </si>
  <si>
    <t>Brain research bulletin</t>
  </si>
  <si>
    <t>313-22</t>
  </si>
  <si>
    <t>Fipronil-induced disruption of thyroid function in rats is mediated by increased total and free thyroxine clearances concomitantly to increased activity of hepatic enzymes.</t>
  </si>
  <si>
    <t>Leghait J, Gayrard V, Picard-Hagen N, Camp M, Perdu E, Toutain PL, Viguié C</t>
  </si>
  <si>
    <t>255</t>
  </si>
  <si>
    <t>38-44</t>
  </si>
  <si>
    <t>Persistence of new insecticides and their efficacy against insect pests of okra.</t>
  </si>
  <si>
    <t>Persistence of new insecticides and their efficacy against insect pests of okra.    ABSTRACT:  Persistence and efficacy of bifenthrin (25 and 50 g ai ha(-1)), fipronil (50 and 100 g ai ha(-1)) and indoxacarb (70 and 140 g ai ha(-1)) has been studied in okra fruits. The initial deposits varied from 0.259-0.382 microg g(-1) at low and 0.461-0.688 microg g(-1) at high rate of application. The residues persisted upto 10 days with half-life of 1.32-1.58 days for bifenthrin, 0.65-1.12 days for fipronil and 0.58-1.02 days for indoxacarb. Based on ADI, the suggested waiting period was 1 day for bifenthrin and indoxacarb and 3 days for fipronil. All the insecticides were found effective against leafhopper and shoot and fruit borer.  KEYWORDS:  MeSH Chemical: Insecticides| Oxazines| Pyrazoles| Pyrethrins| indoxacarb| bifenthrin| fipronil MeSH: | Abelmoschus/majr/parasitology| Animals| Half-Life| Insecta/majr| Insecticides/majr/analysis| Oxazines/analysis| Pyrazoles/analysis| Pyrethrins/analysis</t>
  </si>
  <si>
    <t>Gupta S, Sharma RK, Gupta RK, Sinha SR, Singh R, Gajbhiye VT</t>
  </si>
  <si>
    <t>243-7</t>
  </si>
  <si>
    <t>Field evaluation of boric acid- and fipronil-based bait stations against adult mosquitoes.</t>
  </si>
  <si>
    <t>Field evaluation of boric acid- and fipronil-based bait stations against adult mosquitoes.    ABSTRACT:  The effectiveness of boric acid (1%) and fipronil (0.1%) bait stations in reducing the number of laboratory-reared female Aedes aegypti and Ochlerotatus taeniorhynchus mosquitoes released in outdoor screened cages was evaluated. Both toxicants significantly reduced landing rates of the 2 mosquito species on a human subject. However, no significant reduction in the number of adult mosquitoes caught by counterflow geometry (CFG) traps baited with CO2 was observed in the boric acid- and fipronil-treated cages compared with control cage. The 2 bait stations were further evaluated against natural populations of adult mosquitoes in 3 residential yards (each ca. 0.8 ha) in St. Johns County, FL. Both bait stations failed to significantly reduce counts of female mosquitoes landing on a human subject; and the capture rates of adult mosquitoes by CFG traps baited with dry ice in bait-treated and control experimental yards were not significantly different. Further field research is needed on the density and placement of bait stations in order to determine their utility in adult mosquito control programs.  KEYWORDS:  MeSH Chemical: Boric Acids| Insecticides| Pyrazoles| Carbon Dioxide| fipronil| boric acid MeSH: | Aedes/majr/drug effects| Animals| Appetitive Behavior/drug effects| Boric Acids/majr| Carbon Dioxide/pharmacology| Female| Insecticides/majr| Mosquito Control/majr/methods| Ochlerotatus/majr/drug effects| Pyrazoles/majr</t>
  </si>
  <si>
    <t>Xue RD, Ali A, Kline DL, Barnard DR</t>
  </si>
  <si>
    <t>415-8</t>
  </si>
  <si>
    <t>First ecotoxicological assessment assay in a hydroelectric reservoir: the Lake Taabo (Côte d'Ivoire).</t>
  </si>
  <si>
    <t>First ecotoxicological assessment assay in a hydroelectric reservoir: the Lake Taabo (Côte d'Ivoire).    ABSTRACT:  Organochlorine pesticides (OCPs) contamination was assessed in marketable species, two fishes (tilapia and catfish) and a prawn from the Lake Taabo (Côte d'Ivoire). Lindane and endosulfan were the main contaminants, suggesting their current use. DDT, endrin, heptachlor plus traces of chlordane, aldrin and fipronil were also detected. In fishes and in prawns, enzymatic biomarkers exhibited significant correlations with OCPs levels, showing the feasibility of a biomonitoring. The transfer of OCPs along the aquatic food web and their immunosuppressive effects in human are discussed. This preliminary study highlights that the pesticide contamination was concomitant with the increase in infectious diseases in the bordering population of this African lake.  KEYWORDS:  MeSH Chemical: Organophosphorus Compounds| Pesticides| Water Pollutants, Chemical MeSH: | Animals| Catfishes| Cote d'Ivoire| Crustacea| Environmental Monitoring/methods| Organophosphorus Compounds/toxicity| Pesticides/toxicity| Power Plants/majr| Tilapia| Water Pollutants, Chemical/majr/toxicity</t>
  </si>
  <si>
    <t>Roche H, Tidou A</t>
  </si>
  <si>
    <t>322-6</t>
  </si>
  <si>
    <t>Biodegradation and chiral stability of fipronil in aerobic and flooded paddy soils.</t>
  </si>
  <si>
    <t>Tan H, Cao Y, Tang T, Qian K, Chen WL, Li J</t>
  </si>
  <si>
    <t>428-37</t>
  </si>
  <si>
    <t>Species-specific insecticide resistance to imidacloprid and fipronil in the rice planthoppers Nilaparvata lugens and Sogatella furcifera in East and South-east Asia.</t>
  </si>
  <si>
    <t>Species-specific insecticide resistance to imidacloprid and fipronil in the rice planthoppers Nilaparvata lugens and Sogatella furcifera in East and South-east Asia.    ABSTRACT:  In 2003 the development of insecticide resistance against neonicotinoids in the brown planthopper (BPH), Nilaparvata lugens (Stål) (Homoptera: Delphacidae), was first observed in Thailand and has since been found in other Asian countries such as Vietnam, China and Japan. However, the LD(50) values of BPH and the whitebacked planthopper (WBPH), Sogatella furcifera (Horváth), against both neonicotinoid and phenylpyrazole insecticides have been poorly reported in many Asian countries.The topical LD(50) values for imidacloprid in the BPH populations collected from East Asia (Japan, China, Taiwan) and Vietnam in 2006 were 4.3-24.2 microg g(-1) and were significantly higher than those collected from the Philippines (0.18-0.35 microg g(-1)). The BPH populations indicated a positive cross-resistance between imidacloprid and thiamethoxam. Almost all the WBPH populations from Japan, Taiwan, China, Vietnam and the Philippines had extremely large LD(50) values (19.7-239 microg g(-1) or more) for fipronil, except for several populations from the Philippines and China.Species-specific changes in insecticide susceptibility were found in Asian rice planthoppers (i.e. BPH for imidacloprid and WBPH for fipronil). Insecticide resistance in BPH against imidacloprid occurred in East Asia and Indochina, but not in the Philippines. In contrast, insecticide resistance in WBPH against fipronil occurred widely in East and South-east Asia.Copyright (c) 2008 Society of Chemical Industry.  KEYWORDS:  MeSH Chemical: Imidazoles| Insecticides| Neonicotinoids| Nitro Compounds| Pyrazoles| imidacloprid| fipronil MeSH: | Animals| Asia, Southeastern| Far East| Female| Hemiptera/majr| Imidazoles/majr| Insecticide Resistance| Insecticides/majr| Lethal Dose 50| Neonicotinoids| Nitro Compounds/majr| Pyrazoles/majr| Species Specificity</t>
  </si>
  <si>
    <t>Matsumura M, Takeuchi H, Satoh M, Sanada-Morimura S, Otuka A, Watanabe T, Van Thanh D</t>
  </si>
  <si>
    <t>1115-21</t>
  </si>
  <si>
    <t>Enantioselective degradation of fipronil in Chinese cabbage (Brassica pekinensis).</t>
  </si>
  <si>
    <t>Enantioselective degradation of fipronil in Chinese cabbage (Brassica pekinensis).    ABSTRACT:  Chiral pesticide enantiomers often show different bioactivity and residual toxicity, but this property is usually ignored when evaluating the environmental risk and public safety. In this study, a convenient and precise chiral method was developed and validated for measuring fipronil enantiomers in Chinese cabbage (Brassica pekinensis) based on a high-performance liquid chromatography (HPLC) using (R,R) Whelk-O 1 column. Then the proposed method was successfully applied to the study of enantioselective degradation of fipronil in Chinese cabbage under field conditions. The results showed that the degradation of the two enantiomers in Chinese cabbage was proved to be enantioselective and followed pseudo first-order kinetics (R(2)⩾0.98). The (R)-enantiomer degraded faster than the (S)-enantiomer, resulting in the relative enrichment of (S)-enantiomer in residue. The detected metabolites MB46513 (desthio), MB45950 (sulfide) and MB46136 (sulfone) by GC-MS suggested that degradation was mainly contributed by oxidization, reduction and photodegradation. Due to the more insecticide activity and lower mammalian toxicity of S-form, the higher concentration of S-fipronil may result in higher activity in crop protection and lower risk to environment and human beings compared to the recemate. This result should be considered in future environmental risk and food safety evaluation. Copyright © 2008 Elsevier Ltd. All rights reserved.  KEYWORDS:  Other:Chinese cabbage|Chiral analysis|Degradation kinetics|Fipronil enantiomers|HPLC</t>
  </si>
  <si>
    <t>Liu D, Wang P, Zhu W, Gu X, Zhou W, Zhou Z</t>
  </si>
  <si>
    <t>399-405</t>
  </si>
  <si>
    <t>Differential fipronil susceptibility and metabolism in two rice stem borers from China.</t>
  </si>
  <si>
    <t>Differential fipronil susceptibility and metabolism in two rice stem borers from China.    ABSTRACT:  The susceptibilities of larvae of two rice stem borers, namely, Chilo suppressalis (Walker) (Lepidoptera: Crambidae) and Sesamia inferens (Walker) (Lepidoptera: Nocutidae) to fipronil and its metabolites were investigated, and then the activities of microsomal O-demethylase, and glutathione transferase (GST) in two species were measured. The metabolism of fipronil in both stem borers was determined in vivo and in vitro. The LD50 value of fipronil to S. inferens was 118.5-fold higher than that of C. suppressalis. The bioassay results offipronil metabolites showed that the toxicities of sulfone and sulfide were higher than fipronil for both species, and the differential toxicity between sulfone and fipronil was remarkable. Alternatively, the activities of microsomal O-demethylase and GST of C. suppressalis were 1.35- and 2.06-fold higher than S. inferens, respectively. The in vivo and in vitro studies on metabolism of fipronil showed that all of fipronil, sulfone, and sulfide were detected and the content of sulfone was higher than sulfide in both stem borers. The residue of sulfone in C. suppressalis was significantly higher than that in S. inferens. These results suggest that the higher activity of mixed function oxidases may cause the higher capacity of C. suppressalis to produce fipronil-sulfone, which is more toxic than fipronil leading to the higher susceptibility of this species.  KEYWORDS:  MeSH Chemical: Insecticides| Pyrazoles| Oxidoreductases, O-Demethylating| Glutathione Transferase| fipronil MeSH: | Animals| Glutathione Transferase/metabolism| Insecticide Resistance/majr| Insecticides/majr/metabolism| Moths/majr/enzymology| Oryza/majr/parasitology| Oxidoreductases, O-Demethylating/metabolism| Pyrazoles/majr/metabolism</t>
  </si>
  <si>
    <t>Fang Q, Huang CH, Ye GY, Yao HW, Cheng JA, Akhtar ZR</t>
  </si>
  <si>
    <t>1415-20</t>
  </si>
  <si>
    <t>Horizontal transfer of insecticides in laboratory colonies of the Argentine ant (Hymenoptera: Formicidae).</t>
  </si>
  <si>
    <t>Horizontal transfer of insecticides in laboratory colonies of the Argentine ant (Hymenoptera: Formicidae).    ABSTRACT:  Five insecticides used by urban pest management professionals for ant control and three experimental insecticides were tested to determine whether these insecticides were horizontally transferred among individuals in colonies of Argentine ants, Linepithema humile (Mayr) (Hymenoptera: Formicidae). Ants were exposed to insecticide-treated sand for 1 min and then placed in a colony of untreated ants. Ants exposed to 20 and 40 ppm fipronil readily transferred the insecticide to other individuals in the colony, resulting in high mortality. Most of the transfer and subsequent mortality occurred within 4 d after exposure to treated ants. The other insecticides were not transferred, and ants exhibited mortality rates similar to that of the controls. Experiments in large foraging arenas demonstrated that necrophoresis was an important behavior facilitating the horizontal transfer of fipronil. When ants contacted contaminated corpses in the process of removing them to refuse piles, they received a lethal dose of fipronil and subsequently died. Fipronil-contaminated dead ants that were placed in the vicinity of the nest resulted in significantly higher mortality than did corpses placed in a distant foraging arena (30 cm away). Most of the dead ants accumulated in the vicinity of the nest rather than in the foraging arena, workers retrieving dead ants to refuse piles from the foraging arena. The position effect of insecticide-contaminated corpses relative to the nest and its implication for Argentine ant control are discussed.  KEYWORDS:  MeSH Chemical: Insecticides| Pyrazoles| fipronil MeSH: | Animals| Ants/majr| Insecticides/majr| Pyrazoles/majr| Social Behavior/majr</t>
  </si>
  <si>
    <t>Choe DH, Rust MK</t>
  </si>
  <si>
    <t>1397-405</t>
  </si>
  <si>
    <t>Concentration-dependent degradation of three termiticides in soil under laboratory conditions and their bioavailability to eastern subterranean termites (Isoptera: Rhinotermitidae).</t>
  </si>
  <si>
    <t>Concentration-dependent degradation of three termiticides in soil under laboratory conditions and their bioavailability to eastern subterranean termites (Isoptera: Rhinotermitidae).    ABSTRACT:  Degradation and bioavailability of imidacloprid, fipronil, and bifenthrin applied at label rates ([AI], wt:wt in soil) in the loamy soil of Nebraska were determined over a 6-mo duration. Based on the calculated half-lives of the three termiticides, it was concluded that the degradation rate was lowest when a termiticide was applied at the highest label rate. Bioassays of Reticulitermes flavipes (Kollar) (Isoptera: Rhinotermitidae) conducted at 8, 31, 65, 90, 135, 160, and 180 d posttreatment showed an inverse relationship between the LT90 values and the variable concentrations. At day 180, exposures to all the termiticide-treated soil samples (concentration x termiticide) resulted in 100% mortality of R. flavipes workers. However, lower LT90 values were observed for termites exposed to soils treated with highest label rates even when the treated soils were aged in the lab for 6 mo. This suggested a higher bioavailability of these three termiticides when applied at higher application rates. Termite mortality was fastest for bifenthrin followed by fipronil and imidacloprid.  KEYWORDS:  MeSH Chemical: Imidazoles| Insecticides| Neonicotinoids| Nitro Compounds| Pesticide Residues| Pyrazoles| Pyrethrins| Soil| imidacloprid| bifenthrin| fipronil MeSH: | Animals| Biological Availability| Environment| Half-Life| Imidazoles/analysis| Insecticides/majr/administration &amp; dosage/analysis/pharmacokinetics| Isoptera/majr| Neonicotinoids| Nitro Compounds/analysis| Pesticide Residues/majr/analysis| Pyrazoles/analysis| Pyrethrins/analysis| Soil/majr/analysis</t>
  </si>
  <si>
    <t>Saran RK, Kamble ST</t>
  </si>
  <si>
    <t>1373-83</t>
  </si>
  <si>
    <t>Transformation and sorption of fipronil in urban stream sediments.</t>
  </si>
  <si>
    <t>Transformation and sorption of fipronil in urban stream sediments.    ABSTRACT:  Fipronil is an urban-use insecticide, and the increased use has led to its frequent detections in urban streams. Most studies on the environmental fate of fipronil so far have focused on soils, and little is known about its behavior in sediment-water systems. In this study, we investigated the transformation and sorption of fipronil in urban stream sediments from California, incubated under facultative and anaerobic conditions. Degradation of fipronil in sediments generally followed exponential decay kinetics, and the first-order half-lives of fipronil were only 4.6-18.5 days in anaerobic sediments. The persistence of fipronil under facultative conditions was considerably longer, with half-lives from 25 to 91 days. Sterilization generally decreased the dissipation of fipronil, indicating that microbial activity was an important factor in fipronil transformations in sediments. Under facultative conditions, fipronil sulfide and sulfone were observed, while only fipronil sulfide was detected in anaerobic samples. The sorption coefficient K d consistently increased with organic carbon contents of sediments. In the same sediment, K d usually also increased with contact time, suggesting decreased availability for aged residues. Results from this study showed that the stability of fipronil in sediments depends closely on the oxygen status and that due to the readily conversion of fipronil to the sulfone and sulfide metabolites, the overall risk assessment of fipronil in surface aquatic systems should take into consideration fipronil as well as its metabolites.  KEYWORDS:  MeSH Chemical: Insecticides| Pyrazoles| fipronil| Oxygen MeSH: | Adsorption| California| Geologic Sediments/majr/chemistry/microbiology| Half-Life| Insecticides/majr/chemistry/metabolism| Oxygen/analysis| Pyrazoles/majr/chemistry/metabolism| Rivers/majr/chemistry</t>
  </si>
  <si>
    <t>8594-600</t>
  </si>
  <si>
    <t>Subchronic exposure of honeybees to sublethal doses of pesticides: effects on behavior.</t>
  </si>
  <si>
    <t>Aliouane Y, El Hassani AK, Gary V, Armengaud C, Lambin M, Gauthier M</t>
  </si>
  <si>
    <t>The efficacy of commercially available veterinary diets recommended for dogs with atopic dermatitis.</t>
  </si>
  <si>
    <t>The efficacy of commercially available veterinary diets recommended for dogs with atopic dermatitis.    ABSTRACT:  The classical treatments for dogs with atopic dermatitis have traditionally been oral antipruritic drugs, allergen-specific immunotherapy and topical therapy. Fifty dogs with atopic dermatitis were included in this multicentred, double-blinded, randomized study to compare clinical response to an 8-week period of feeding one of three commercial veterinary foods marketed for dogs with atopic dermatitis (diets A-C) or a widely distributed supermarket food (diet D). Atopic dermatitis was diagnosed using Willemse's criteria and through the exclusion of differential diagnoses. Fourteen dogs were assigned to diet A and 12 dogs each to diet B, C or D. Flea and tick control using a monthly fipronil spot-on product was administered for a minimum of 4 weeks prior to inclusion in the study and during the study period. Evaluations were made monthly. These included lesion scores, using an established scoring system (canine atopic dermatitis extent and severity index, CADESI-03) and owner evaluation of pruritus level using a visual analogue scale. After 8 weeks on the new diets, there was a significant improvement in CADESI and pruritus scores with diet B (Wilcoxon test, P = 0.043 and paired t-test, P = 0.012, respectively), in pruritus scores with diet A (paired t-test, P = 0.019) and in CADESI scores with diet D (Wilcoxon test, P = 0.037). No significant changes were detected with diet C. Based on the results of this study, in addition to the conventional therapies, changing the diet of dogs with atopic dermatitis may be a useful adjunctive therapeutic measure.  KEYWORDS:  MeSH: | Animal Feed/majr| Animals| Dermatitis, Atopic/majr/diet therapy/veterinary| Diet/majr/veterinary| Dog Diseases/majr/diet therapy| Dogs| Double-Blind Method| Female| Food Hypersensitivity/veterinary| Male</t>
  </si>
  <si>
    <t>Glos K, Linek M, Loewenstein C, Mayer U, Mueller RS</t>
  </si>
  <si>
    <t>280-7</t>
  </si>
  <si>
    <t>Effect of sediment-associated pyrethroids, fipronil, and metabolites on Chironomus tentans growth rate, body mass, condition index, immobilization, and survival.</t>
  </si>
  <si>
    <t>Maul JD, Brennan AA, Harwood AD, Lydy MJ</t>
  </si>
  <si>
    <t>2582-90</t>
  </si>
  <si>
    <t>Susceptibility to neonicotinoids and risk of resistance development in the brown planthopper, Nilaparvata lugens (Stål) (Homoptera: Delphacidae).</t>
  </si>
  <si>
    <t>Susceptibility to neonicotinoids and risk of resistance development in the brown planthopper, Nilaparvata lugens (Stål) (Homoptera: Delphacidae).    ABSTRACT:  In recent years, outbreaks of the brown planthopper, Nilaparvata lugens (Stål), have occurred more frequently in China. The objective of this study was to determine the susceptibility of N. lugens to neonicotinoids and other insecticides in major rice production areas in China.Results indicated that substantial variations in the susceptibility to different insecticides existed in N. lugens. Field populations had developed variable resistance levels to neonicotinoids, with a high resistance level to imidacloprid (RR: 135.3-301.3-fold), a medium resistance level to imidaclothiz (RR: 35-41.2-fold), a low resistance level to thiamethoxam (up to 9.9-fold) and no resistance to dinotefuran, nitenpyram and thiacloprid (RR &lt; 3-fold). Further examinations indicated that a field population had developed medium resistance level to fipronil (up to 10.5-fold), and some field populations had evolved a low resistance level to buprofezin. In addition, N. lugens had been able to develop 1424-fold resistance to imidacloprid in the laboratory after the insect was selected with imidacloprid for 26 generations.Long-term use of imidacloprid in a wide range of rice-growing areas might be associated with high levels of resistance in N. lugens. Therefore, insecticide resistance management strategies must be developed to prevent further increase in resistance.  KEYWORDS:  MeSH Chemical: Imidazoles| Insecticides| Neonicotinoids| Nitro Compounds| Pyrazoles| Thiadiazines| buprofezin| imidacloprid| Anabasine| fipronil MeSH: | Anabasine/analogs &amp; derivatives| Animals| Hemiptera/majr/drug effects/genetics| Imidazoles/majr/pharmacology| Insecticide Resistance/genetics| Insecticides/majr/pharmacology| Lethal Dose 50| Neonicotinoids| Nitro Compounds/majr/pharmacology| Oryza/parasitology| Pyrazoles/pharmacology| Selection, Genetic| Thiadiazines/pharmacology</t>
  </si>
  <si>
    <t>Wang Y, Chen J, Zhu YC, Ma C, Huang Y, Shen J</t>
  </si>
  <si>
    <t>1278-84</t>
  </si>
  <si>
    <t>The mobility of thiobencarb and fipronil in two flooded rice-growing soils.</t>
  </si>
  <si>
    <t>The mobility of thiobencarb and fipronil in two flooded rice-growing soils.    ABSTRACT:  The mobility of the rice pesticides thiobencarb (S-[(4-chlorophenyl) methyl] diethylcarbamothioate) and fipronil ([5-amino-3-cyano-1-[2,6-dichloro-4-(trifluoromethyl)phenyl]-4-[(trifluoromethyl)sulfinyl]pyrazole) were investigated in the glasshouse under flooded conditions using two Australian rice-growing soils. When using leakage rates of 10 mm day(-1), less than 20% of applied thiobencarb and fipronil remained in the water column after 10 days due to rapid transfer to the soil phase. Up to 70% and 65% of the applied thiobencarb and fipronil, respectively, were recovered from the 0-1 cm layer of soils. Only 5-7% of each pesticide was recovered from the 1-2 cm layer, and less than 2% was recovered from each 1 cm layer in the 2-10 cm region of the soils. Analysis of the water leaking from the base of the soil cores showed between 5-10% of the applied thiobencarb and between 10-20% of the applied fipronil leaching from the soil cores. The high levels of pesticide in the effluent was attributed to preferential flow of pesticide-laden water via soil macropores resulting from the wetting and drying process, worm holes and root channels.  KEYWORDS:  MeSH Chemical: Pesticides| Pyrazoles| Soil Pollutants| Thiocarbamates| Water Pollutants, Chemical| benthiocarb| fipronil MeSH: | Disasters/majr| Oryza/majr/growth &amp; development| Pesticides/majr/analysis/toxicity| Plant Roots/growth &amp; development| Pyrazoles/majr/analysis/toxicity| Soil Pollutants/majr/analysis/chemistry/toxicity| Thiocarbamates/majr/analysis/toxicity| Time Factors| Water Movements| Water Pollutants, Chemical/majr/analysis/toxicity</t>
  </si>
  <si>
    <t>490-7</t>
  </si>
  <si>
    <t>The insecticide fipronil and its metabolite fipronil sulphone inhibit the rat alpha1beta2gamma2L GABA(A) receptor.</t>
  </si>
  <si>
    <t>Li P, Akk G</t>
  </si>
  <si>
    <t>783-94</t>
  </si>
  <si>
    <t>Role of a serine residue (S278) in the pore-facing region of the housefly L-glutamate-gated chloride channel in determining sensitivity to noncompetitive antagonists.</t>
  </si>
  <si>
    <t>Role of a serine residue (S278) in the pore-facing region of the housefly L-glutamate-gated chloride channel in determining sensitivity to noncompetitive antagonists.    ABSTRACT:  Gamma-hexachlorocyclohexane (gamma-HCH), fipronil and picrotoxinin are noncompetitive antagonists (NCAs) of L-glutamate-gated chloride channels (GluCls), yet their potencies are weaker than those on gamma-aminobutyric acid receptors (GABARs). The A302S mutation of Drosophila RDL (resistant to dieldrin) GABAR confers NCA resistance, and housefly GluCls (MdGluCls) possess S278 as the residue corresponding to the A302. Thus, the effects of S278A mutation on the NCA actions on MdGluCls were investigated. The S278A mutation resulted in enhanced blocking by NCAs of the MdGluCl response to 30 microM L-glutamate. However, such actions of gamma-HCH and picrotoxinin, but not of fipronil, on the S278A mutant were reduced with 200 microM L-glutamate. Further increases in the L-glutamate concentration led to potentiation by NCAs of the mutant response to L-glutamate.  KEYWORDS:  MeSH Chemical: Chloride Channels| Insecticides| Pyrazoles| Picrotoxin| Glutamic Acid| Sodium Chloride| Serine| Hexachlorocyclohexane| picrotoxinin| fipronil MeSH: | Amino Acid Sequence| Amino Acid Substitution| Animals| Chloride Channels/majr/genetics/metabolism| Dose-Response Relationship, Drug| Glutamic Acid/majr/metabolism| Hexachlorocyclohexane/chemistry/pharmacology| Houseflies/majr/metabolism| Insecticides/majr/pharmacology| Ion Channel Gating/majr/physiology| Membrane Potentials/physiology| Molecular Structure| Picrotoxin/analogs &amp; derivatives/chemistry/pharmacology| Pyrazoles/chemistry/pharmacology| Serine/majr/chemistry| Sodium Chloride/pharmacology</t>
  </si>
  <si>
    <t>Hirata K, Ishida C, Eguchi Y, Sakai K, Ozoe F, Ozoe Y, Matsuda K</t>
  </si>
  <si>
    <t>341-50</t>
  </si>
  <si>
    <t>Flea blood feeding patterns in cats treated with oral nitenpyram and the topical insecticides imidacloprid, fipronil and selamectin.</t>
  </si>
  <si>
    <t>McCoy C, Broce AB, Dryden MW</t>
  </si>
  <si>
    <t>156</t>
  </si>
  <si>
    <t>293-301</t>
  </si>
  <si>
    <t>Influence of temperature on rate of uptake and subsequent horizontal transfer of [14C]fipronil by eastern subterranean termites (Isoptera: Rhinotermitidae).</t>
  </si>
  <si>
    <t>Influence of temperature on rate of uptake and subsequent horizontal transfer of [14C]fipronil by eastern subterranean termites (Isoptera: Rhinotermitidae).    ABSTRACT:  The effect of temperature on [14C]fipronil uptake and transfer from donor (D) to recipient (R) Reticulitermes flavipes (Kollar) (Isoptera: Rhinotermitidae) workers was evaluated. Test chambers used in the fipronil uptake study were constructed from petri dishes containing autoclaved soil treated with 1 ppm [14C]fipronil (1.14 microCi of total radioactivity per petri dish), distilled water, and R. flavipes workers. Test chambers were held in environmental growth chambers preset at 12, 17, 22, 27, and 32 degrees C. For the fipronil transfer study, donor termites stained with Nile blue-A were exposed to soil treated with 1 ppm [14C]fipronil for 2 h. Donors were then combined with unexposed recipient termite workers at either 1D:5R, 1D:10R, or 1D:20R ratios. Test chambers consisted of a nest and feeding chamber connected by a piece of polyethylene tube and held in growth chambers at 12, 17, 22, 27, and 32 degrees C. Worker termites were sampled over time and the amount of [14C]fipronil present was measured by scintillation counting. Some degree of uptake and transfer occurred at all temperatures and ratios in this study. The highest level of uptake occurred by termites held at 22-32 degrees C, followed decreasingly by 17 and 12 degrees C. Maximum transfer of [14C]fipronil occurred at the higher ratios (1:5 &gt; 1:10 &gt; 1:20) of donors to recipients. Data presented in this study suggest that temperature is one of the key factors affecting the rate of uptake and subsequent horizontal transfer of [14C]fipronil in subterranean termites.  KEYWORDS:  MeSH Chemical: Insecticides| Pyrazoles| Soil| fipronil MeSH: | Animal Feed/majr| Animals| Biological Transport| Insecticides/majr/metabolism| Isoptera/majr/growth &amp; development/metabolism| Kinetics| Pyrazoles/majr/metabolism| Soil| Temperature</t>
  </si>
  <si>
    <t>Spomer NA, Kamble ST, Warriner RA, Davis RW</t>
  </si>
  <si>
    <t>902-8</t>
  </si>
  <si>
    <t>Development and validation of a method for fipronil residue determination in ovine plasma using 96-well plate solid-phase extraction and gas chromatography-tandem mass spectrometry.</t>
  </si>
  <si>
    <t>Development and validation of a method for fipronil residue determination in ovine plasma using 96-well plate solid-phase extraction and gas chromatography-tandem mass spectrometry.    ABSTRACT:  Fipronil, a phenylpyrazole insecticide introduced for pest control on a broad range of crops, undergoes a reinforcement of the regulation within the European Union (2007/52/EC directive) due to its potential effects on environment and human health. In order to assess the plasmatic concentrations of fipronil residues (sulfone, sulfide, fipronil, desulfinyl and amide) in ovine, a methodology based on gas chromatography coupled with tandem mass spectrometry (GC-MS/MS) was developed and validated according to the European standard (2002/657/EC). The proposed method allows a large number of samples to be treated concurrently (n=80) using a reduced sample amounts (0.2 mL), and consents to reach a level of quantification of 0.1 pg microL(-1). The sample preparation consisted of a single solid-phase extraction (SPE) purification on a 96-well plate filled with a styrene-divinyl-benzene phase. Linearity was demonstrated all along the investigated range of concentrations, i.e. from 0.25 to 2000 pg microL(-1), with coefficient of determination (R(2)) from 0.977 to 0.994, depending on target analytes. Calculated decision limit (CCalpha) and detection capability (CCbeta) for fipronil, sulfone and sulphide were in the range 0.05-0.16 and 0.28-0.73 pg microL(-1) respectively.  KEYWORDS:  MeSH Chemical: Pesticide Residues| Pyrazoles| fipronil MeSH: | Animals| European Union/organization &amp; administration| Food Contamination/majr/analysis| Gas Chromatography-Mass Spectrometry/majr/methods/standards| Pesticide Residues/majr/chemistry| Plasma/majr/chemistry| Pyrazoles/majr/chemistry| Reference Standards| Sensitivity and Specificity| Sheep| Solid Phase Extraction/majr/methods</t>
  </si>
  <si>
    <t>Bichon E, Richard CA, Le Bizec B</t>
  </si>
  <si>
    <t>1201</t>
  </si>
  <si>
    <t>91-9</t>
  </si>
  <si>
    <t>A comparative evaluation of the speed of kill and duration of efficacy against weekly infestations with fleas on cats treated with fipronil-(S)-methoprene or metaflumizone.</t>
  </si>
  <si>
    <t>A comparative evaluation of the speed of kill and duration of efficacy against weekly infestations with fleas on cats treated with fipronil-(S)-methoprene or metaflumizone.    ABSTRACT:  Spot-on formulations of metaflumizone and a combination of fipronil-(S)-methoprene were evaluated in adult cats to determine the duration of 24- and 48-hour efficacy and short-term speed of kill against adult cat fleas, Ctenocephalides felis felis. Speed of kill efficacies (at 12, 18, 24, and 48 hours) were assessed against existing (day -1) infestations and against infestations at day 7, and efficacy was assessed 24 and 48 hours after weekly flea infestations through day 42. Cats treated with fipronil-(S)-methoprene had significantly (P&lt;.01) fewer fleas than those treated with metaflumizone at 12 and 18 hours after treatment (day 0) and on the day 7 infestations. Fipronil-(S)-methoprene-treated cats also had significantly (P&lt;.05) fewer fleas than metaflumizone-treated cats for all 24-hour counts from initial treatment on day 0 through infestation day 42 and for the 48-hour counts on day 28 through day 42.  KEYWORDS:  MeSH Chemical: Insecticides| Pyrazoles| Semicarbazones| metaflumizone| Methoprene| fipronil MeSH: | Administration, Topical| Animals| Cat Diseases/majr/drug therapy/prevention &amp; control| Cats| Ectoparasitic Infestations/majr/drug therapy/prevention &amp; control/veterinary| Female| Insecticides/majr/therapeutic use| Male| Methoprene/therapeutic use| Pyrazoles/therapeutic use| Semicarbazones/therapeutic use| Siphonaptera| Time Factors| Treatment Outcome</t>
  </si>
  <si>
    <t>Franc M, Beugnet F</t>
  </si>
  <si>
    <t>102-10</t>
  </si>
  <si>
    <t>Transfer of fat-soluble pesticides from contaminated feed to poultry tissues and eggs.</t>
  </si>
  <si>
    <t>Transfer of fat-soluble pesticides from contaminated feed to poultry tissues and eggs.    ABSTRACT:  1. Implementation of Good Manufacturing Practice and HACCP (Hazard Analysis Critical Control Points) in the production of poultry feed requires efficient tools for profiling risks associated with pesticide use in the production of crops for feed. 2. This paper describes a simple model that may be of use in the first tiers of risk profiling of feeds. 3. The model adequately reproduced the pattern of residues in fat and eggs of laying hens dosed with a selection of lipophilic pesticides that may be used in the production of crops for poultry feeds: deltamethrin, diflubenzuron, fipronil, lindane, piperonyl butoxide and spinosad. 4. Simulations suggest results derived from studies on laying chickens can be extrapolated to other laying birds. 5. Poultry meat production systems focus on maximising growth of birds giving rise to significant potential for dilution of residues that transfer to fat from feed. 6. Simulations of residues in fat of chickens, ducks, geese and turkeys exposed to a lipophilic pesticide with an elimination half-life of one day at 10 mg/kg body weight/d from hatching to typical market ages suggest residues in fat that are highest in turkeys &gt; chickens &gt; geese &gt; ducks. 7. The model is of use in interpreting published dosing studies and predicting likely residues in birds at times after last exposure/dosing.  KEYWORDS:  MeSH Chemical: Lipids| Pesticide Residues| Pesticides MeSH: | Adipose Tissue/chemistry| Animal Feed/majr| Animals| Body Burden| Chickens/majr/physiology| Eggs/standards| Female| Food Contamination/majr/analysis| Lipids/physiology| Meat/standards| Models, Biological| Oviposition| Ovum| Pesticide Residues/majr/analysis| Pesticides/majr/pharmacokinetics/toxicity| Solubility</t>
  </si>
  <si>
    <t>MacLachlan DJ</t>
  </si>
  <si>
    <t>British poultry science</t>
  </si>
  <si>
    <t>290-8</t>
  </si>
  <si>
    <t>Utilization of common ditch vegetation in the reduction of fipronil and its sulfone metabolite.</t>
  </si>
  <si>
    <t>Utilization of common ditch vegetation in the reduction of fipronil and its sulfone metabolite.    ABSTRACT:  Fipronil, a phenylpyrazole insecticide, and its oxidative sulfone metabolite are two potential pollutants from treated rice and cotton production. A consequence of these pollutants occurring in surface runoff is degradation of downstream aquatic ecosystems. Utilization of primary intercept drainage ditches as management practices to reduce fipronil concentrations and loads has not been examined. This study used ditch mesocosms planted with monospecific stands of common emergent wetland vegetation to determine if certain plant species were more proficient in fipronil mitigation.Three replicates of four plant species were compared against a non-vegetated control to determine differences in water column outflow concentrations (microg L(-1)) and loads (microg). There were no significant differences between vegetated and control treatments in outflow concentrations (F = 0.35, P = 0.836) and loads (F = 0.35, P = 0.836). The range of fipronil reduction was 28-45% for both concentration and load. Unlike fipronil, fipronil sulfone concentrations and load increased by 96-328%.The increase in fipronil sulfone was hypothesized as a direct consequence of oxidation of fipronil within each mesocosm. The type of ditch vegetation had no effect on fipronil reduction. Future research needs to examine initial concentrations and hydraulic retention times to examine potential changes in reduction capacities.  KEYWORDS:  MeSH Chemical: Insecticides| Pesticide Residues| Pyrazoles| Sulfones| Water Pollutants, Chemical| fipronil MeSH: | Agriculture| Biodegradation, Environmental| Insecticides/majr/analysis/metabolism| Magnoliopsida/majr/metabolism| Oxidation-Reduction| Pesticide Residues/majr/analysis| Pyrazoles/majr/analysis/metabolism| Sulfones/majr/analysis| Water Pollutants, Chemical/analysis| Wetlands/majr</t>
  </si>
  <si>
    <t>1212-7</t>
  </si>
  <si>
    <t>Differential patterns of insecticide resistance in eggs and first instars of Triatoma infestans (Hemiptera: Reduviidae) from Argentina and Bolivia.</t>
  </si>
  <si>
    <t>Differential patterns of insecticide resistance in eggs and first instars of Triatoma infestans (Hemiptera: Reduviidae) from Argentina and Bolivia.    ABSTRACT:  Previous work at our laboratory has indicated high resistance levels to deltamethrin correlated with failures of chemical control in field populations of Triatoma infestans (Klug, 1834) (Hemiptera: Reduviidae) in northern Argentina and southern Bolivia. The aim of the present work was to study the resistance patterns in eggs and first instars of T. infestans in populations from Argentina and Bolivia. At the egg stage, a population from Salvador Mazza, Argentina, showed the highest resistance ratio to deltamethrin and lambda-cyhalothrin, and it was susceptible to fipronil and fenitrothion. A population from Mataral, Bolivia, showed very low resistance ratios to deltamethrin and lambda-cyhalothrin, and it was susceptible to fipronil and fenitrothion. A Sucre population was susceptible to deltamethrin and fenitrothion, and it showed very low resistant ratios to lambdacyhalothrin and fipronil. A Yacuiba population was susceptible to deltamethrin. At the first instar, the Salvador Mazza population was susceptible to fipronil, whereas the Mataral and Sucre populations were susceptible to fenitrothion, and they showed very low resistance ratios to lambda-cyhalothrin but the high resistance to fipronil. The Salvador Mazza population was resistant to deltamethrin at the larval stage. Remarkable differences were found in the resistance profile to fipronil in first instars and eggs from Sucre and Mataral. These indicated that the expression of insecticide resistance in eggs varies between populations and that the pyrethroid resistance diagnosed in T. infestans first instars is not indicative of resistance in the egg stage.  KEYWORDS:  MeSH Chemical: Insecticides MeSH: | Animals| Argentina| Bolivia| Insecticide Resistance/majr/physiology| Insecticides/majr/pharmacology| Larva/drug effects| Ovum/majr/drug effects| Triatoma/majr/drug effects/physiology</t>
  </si>
  <si>
    <t>Toloza AC, Germano M, Cueto GM, Vassena C, Zerba E, Picollo MI</t>
  </si>
  <si>
    <t>421-6</t>
  </si>
  <si>
    <t>RNA editing regulates insect gamma-aminobutyric acid receptor function and insecticide sensitivity.</t>
  </si>
  <si>
    <t>RNA editing regulates insect gamma-aminobutyric acid receptor function and insecticide sensitivity.    ABSTRACT:  A-to-I pre-mRNA editing by adenosine deaminase enzymes has been reported to enhance protein diversity in the nervous system. In Drosophila, the resistance to dieldrin (RDL) gamma-aminobutyric acid (GABA) receptor subunit displays an editing site (R122) that is close to the putative GABA-binding site. We assessed the functional effects of editing at this site by expressing homomeric RDL receptors in Xenopus oocytes. After replacement of arginine 122 with a glycine, both agonist and fipronil potencies were shifted to the right in either fipronil-sensitive receptors or mutated resistant receptors (A301G/T350M). These data provide the first insight on the influence of RNA editing on GABA receptor function.  KEYWORDS:  MeSH Chemical: Drosophila Proteins| Insect Proteins| Insecticides| Pyrazoles| Receptors, GABA| gamma-Aminobutyric Acid| Arginine| fipronil MeSH: | Animals| Arginine/genetics| Dose-Response Relationship, Drug| Drosophila| Drosophila Proteins| Gene Expression/majr/drug effects| Insect Proteins/majr/physiology| Insecticides/majr/pharmacology| Membrane Potentials/drug effects/physiology/radiation effects| Models, Molecular| Mutation/physiology| Oocytes| Patch-Clamp Techniques| Pyrazoles/majr/pharmacology| RNA Editing/majr/physiology| Receptors, GABA/majr/genetics/physiology| Xenopus laevis| gamma-Aminobutyric Acid/pharmacology</t>
  </si>
  <si>
    <t>Es-Salah Z, Lapied B, Le Goff G, Hamon A</t>
  </si>
  <si>
    <t>Neuroreport</t>
  </si>
  <si>
    <t>939-43</t>
  </si>
  <si>
    <t>Evaluation of cytotoxic effects of fipronil on ovaries of semi-engorged Rhipicephalus sanguineus (Latreille, 1806) (Acari: Ixodidae) tick female.</t>
  </si>
  <si>
    <t>Evaluation of cytotoxic effects of fipronil on ovaries of semi-engorged Rhipicephalus sanguineus (Latreille, 1806) (Acari: Ixodidae) tick female.    ABSTRACT:  The ovary of the Rhipicephalus sanguineus dog tick female is structurally formed by oocytes in five different stages of development (from I to V) and attached to the gonad by the pedicel. The present study evaluated possible toxic effects of the acaricide fipronil (Frontline) on ovaries of semi-engorged ticks. Sixty partially fed females of R. sanguineus tick were distributed into four groups of 15 specimens each: I--non-treated; II, III and IV--treated with 1, 5 and 10 ppm of fipronil, respectively. The acaricide induced structural changes in the oocytes of individuals of the different treated groups ranging from the presence of a few small vacuoles to cellular death. In conclusion, germinative cells of semi-engorged R. sanguineus tick female are affected by different concentrations of fipronil leading to the reduction of tick fertility.  KEYWORDS:  MeSH Chemical: Insecticides| Pyrazoles| fipronil MeSH: | Animals| Dose-Response Relationship, Drug| Female| Fertility/drug effects| Insecticides/majr/toxicity| Oocytes/majr/drug effects/growth &amp; development| Ovary/drug effects| Pyrazoles/majr/toxicity| Rabbits| Rhipicephalus sanguineus/majr/drug effects/physiology| Tick Control/methods</t>
  </si>
  <si>
    <t>de Oliveira PR, Bechara GH, Camargo-Mathias MI</t>
  </si>
  <si>
    <t>2459-65</t>
  </si>
  <si>
    <t>Homology modelling of the Apis mellifera nicotinic acetylcholine receptor (nAChR) and docking of imidacloprid and fipronil insecticides and their metabolites.</t>
  </si>
  <si>
    <t>Homology modelling of the Apis mellifera nicotinic acetylcholine receptor (nAChR) and docking of imidacloprid and fipronil insecticides and their metabolites.    ABSTRACT:  Five homology models for honeybee (Apis mellifera) nicotinic acetylcholine receptor (nAChR) alpha1/beta1, alpha3/beta2, alpha4/beta2, alpha6/beta2 and alpha9/alpha9 subtypes were built from the Torpedo marmorata nAChR X-ray structure. Then, imidacloprid, fipronil and their metabolites were docked into the ligand binding domain (LBD) of these receptors and the corresponding scoring functions were calculated. The binding modes of the docked compounds were carefully analysed. Finally, multivariate analyses were used for deriving structure-activity relationships based on hydrogen bond number and scoring functions between the insecticides and the nAChR models.  KEYWORDS:  MeSH Chemical: Cholinergic Agents| Imidazoles| Insecticides| Neonicotinoids| Nitro Compounds| Pyrazoles| Receptors, Nicotinic| imidacloprid| fipronil MeSH: | Amino Acid Sequence| Animals| Bees| Binding Sites| Cholinergic Agents/chemistry/metabolism| Imidazoles/majr/chemistry/metabolism| Insecta| Insecticides/chemistry/metabolism| Models, Molecular| Molecular Sequence Data| Neonicotinoids| Nitro Compounds/majr/chemistry/metabolism| Protein Conformation| Pyrazoles/majr/chemistry/metabolism| Receptors, Nicotinic/majr/chemistry/metabolism| Sequence Alignment| Species Specificity</t>
  </si>
  <si>
    <t>Rocher A, Marchand-Geneste N</t>
  </si>
  <si>
    <t>SAR and QSAR in environmental research</t>
  </si>
  <si>
    <t>245-61</t>
  </si>
  <si>
    <t>Cross-resistance and genetics of resistance to indoxacarb in Spodoptera litura (Lepidoptera: Noctuidae).</t>
  </si>
  <si>
    <t>Cross-resistance and genetics of resistance to indoxacarb in Spodoptera litura (Lepidoptera: Noctuidae).    ABSTRACT:  Bioassays (at generation G1) with a newly collected field population of Spodoptera litura (F.) (Lepidoptera: Noctuidae) from Multan, Pakistan, showed resistance ratios of 15, 23, 37, and 16 for indoxacarb, spinosad, abamectin, and emamectin, respectively, compared with a laboratory susceptible population, Lab-PK. At G1, the field population was selected with indoxacarb by using single pair crosses. For Indoxa-SEL, bioassay at G4 found that selection increased resistance ratio to 95 for indoxacarb compared with Lab-PK. Selection with indoxacarb significantly increased resistance to spinosad and emamectin; however, resistance to abamectin was observed to drop. A significant reduction in the resistance to indoxacarb was observed in Indoxa-SEL at G9, indicating unstable resistance to indoxacarb; however, it was stable for fipronil. Synergism tests with microsomal oxidase and esterase-specific inhibitors suggested that the indoxacarb resistance was associated with microsomal oxidase. Reciprocal genetic crosses between Indoxa-SEL and Lab-PK populations indicated that resistance was autosomal and incompletely dominant. Tests of monogenic inheritance suggested that resistance to indoxacarb was controlled by more than one locus.  KEYWORDS:  MeSH Chemical: Insecticides| Oxazines| indoxacarb MeSH: | Animals| Insecticide Resistance/majr/drug effects/genetics| Insecticides/majr/pharmacology| Larva/drug effects/genetics| Oxazines/majr/pharmacology| Spodoptera/majr/drug effects/genetics</t>
  </si>
  <si>
    <t>Sayyed AH, Ahmad M, Saleem MA</t>
  </si>
  <si>
    <t>472-9</t>
  </si>
  <si>
    <t>Mortality of a wireworm, Agriotes obscurus (Coleoptera: Elateridae), after topical application of various insecticides.</t>
  </si>
  <si>
    <t>Van Herk WG, Vernon RS, Tolman JH, Saavedra HO</t>
  </si>
  <si>
    <t>375-83</t>
  </si>
  <si>
    <t>Gaba receptor insecticide non-competitive antagonists may bind at allosteric modulator sites.</t>
  </si>
  <si>
    <t>Gaba receptor insecticide non-competitive antagonists may bind at allosteric modulator sites.    ABSTRACT:  Results from several studies have shown that a series of chemically distinct insecticide compounds (picrotoxin, BIDN, TBPS, fipronil, lindane, EBOB, and alpha-endosulfan) affect GABA A receptor function. In this investigation, docking of this set of insecticides to the GABA receptor identified five potential binding sites. The lowest energy site was found within the base of the transmembrane bundle, interacting with M2 but not in the pore, and includes many of the residues previously experimentally implicated in insecticide binding. Many of the binding modes are suggestive of a non-competitive allosteric mechanism based on interruption of the channel gating mechanism rather than directly blocking the channel. The results also distinguished between isomers of hexachlorohexane (HCH), where gamma-HCH (lindane) binds more favorably than beta-HCH. The results suggest multiple sites for insecticide binding and may suggest further mutagenesis and labeling work to either confirm or rule out these findings.  KEYWORDS:  MeSH Chemical: Insecticides| Protein Subunits| Receptors, GABA-A MeSH: | Allosteric Site/majr/drug effects| Animals| Binding Sites/drug effects| Binding, Competitive/drug effects| Computer Simulation| Insecticides/majr/pharmacology| Models, Chemical| Models, Structural| Protein Subunits/majr| Receptors, GABA-A/majr/chemistry/drug effects/physiology</t>
  </si>
  <si>
    <t>Law RJ, Lightstone FC</t>
  </si>
  <si>
    <t>The International journal of neuroscience</t>
  </si>
  <si>
    <t>705-34</t>
  </si>
  <si>
    <t>How can the fipronil insecticide access phloem?</t>
  </si>
  <si>
    <t>How can the fipronil insecticide access phloem?    ABSTRACT:  Seeds of sunflower plants coated with the fipronil (14)C-insecticide were allowed to grow in the greenhouse. The distribution of the (14)C-compounds was studied in each part of the plant after three months. After 83 days of culture small amounts of (14)C-compounds were found in the inflorescence (0.6 per thousand of the seed deposit) which were fipronil itself or its lipophilic or hydrophilic metabolites. The (14)C-compounds were found in each part of the inflorescence (bracts, ray and disk florets containing pollen, akenes). The (14)C-concentration in the xylem sap evaluated at this stage was much too low to explain the accumulated amount in the inflorescence. Under controlled conditions in a culture chamber, it was then demonstrated that a net phloem transfer of (14)C-fipronil occurred from developed leaves to growing organs. This allowed us to suppose that a similar (14)C-fipronil phloem transfer could occur toward the inflorescence during its formation. A quantitative evaluation suggests that most of the labeled compounds at this stage were not coming from the leaves but from the roots and stem where storage compounds were hydrolyzed for sustaining inflorescence development.  KEYWORDS:  MeSH Chemical: Carbon Radioisotopes| Insecticides| Pyrazoles| fipronil MeSH: | Carbon Radioisotopes| Helianthus/majr/growth &amp; development/metabolism| Insecticides/majr/metabolism| Phloem/majr/metabolism| Plant Leaves/metabolism| Pyrazoles/majr/analysis/metabolism</t>
  </si>
  <si>
    <t>Aajoud A, Raveton M, Azrou-Isghi D, Tissut M, Ravanel P</t>
  </si>
  <si>
    <t>3732-7</t>
  </si>
  <si>
    <t>Toxicity of permethrin-, malathion-, and fipronil-treated plant foliage to Aedes albopictus and Aedes aegypti.</t>
  </si>
  <si>
    <t>Toxicity of permethrin-, malathion-, and fipronil-treated plant foliage to Aedes albopictus and Aedes aegypti.    ABSTRACT:  The toxicities of malathion-, permethrin-, and fipronil-treated plant foliage against laboratory colonies of adult Aedes aegypti and Aedes albopictus were evaluated. The exposure times significantly affected the percentage knockdown of mosquitoes. Fipronil-impregnated plant leaves caused higher mortality than malathion- and permethrin-impregnated leaves at the same application rates. Aedes albopictus was more sensitive to the 3 kinds of insecticides than Ae. aegypti. The method for bioassay of mosquito adulticides using plant foliage has been described, and the advantage and disadvantage of leaf bioassay method has been discussed and compared with other existing methods.  KEYWORDS:  MeSH Chemical: Insecticides| Pyrazoles| Permethrin| fipronil| Malathion MeSH: | Aedes/majr/drug effects| Animals| Insecticides/pharmacology| Malathion/majr/pharmacology| Permethrin/majr/pharmacology| Plant Leaves/majr| Pyrazoles/majr/pharmacology| Time Factors</t>
  </si>
  <si>
    <t>Xue RD</t>
  </si>
  <si>
    <t>169-71</t>
  </si>
  <si>
    <t>Efficacy of fipronil (9.8% w/w) + (S)-methoprene (8.8% w/w) and imidacloprid (8.8% w/w) + permethrin (44% w/w) against Dermacentor variabilis (American dog tick) on dogs.</t>
  </si>
  <si>
    <t>Dryden MW, Payne PA, McBride A, Mailen S, Smith V, Carithers D</t>
  </si>
  <si>
    <t>Surface-to-food pesticide transfer as a function of moisture and fat content.</t>
  </si>
  <si>
    <t>Surface-to-food pesticide transfer as a function of moisture and fat content.    ABSTRACT:  Transfer of pesticides from household surfaces to foods may result in excess dietary exposure in children (i.e., beyond that inherent in foods due to agricultural application). In this study, transfer was evaluated as a function of the moisture and fat content of various foods. Surfaces chosen for investigation were those commonly found in homes and included Formica, ceramic tile, plastic, carpet, and upholstery fabric. Each surface type was sprayed with an aqueous emulsion of organophosphates, fipronil, and synthetic pyrethroids. In the first phase of the study, multiple foods (apples, watermelon, wheat crackers, graham crackers, white bread, flour tortillas, bologna, fat-free bologna, sugar cookies, ham, Fruit Roll-ups, pancakes, and processed American cheese) were categorized with respect to moisture and fat content. All were evaluated for potential removal of applied pesticides from a Formica surface. In the second phase of the study, representative foods from each classification were investigated for their potential for pesticide transfer with an additional four surfaces: ceramic tile, plastic, upholstery, and carpet. Moisture content, not fat, was found to be a determining factor in most transfers. For nearly all surfaces, more efficient transfer occurred with increased hardness (Formica and ceramic tile). Comparatively, the polymer composition of the plastic delivered overall lower transfer efficiencies, presumably due to an attraction between it and the organic pesticides of interest.  KEYWORDS:  MeSH Chemical: Fats| Pesticides| Water MeSH: | Air Pollution, Indoor/analysis| Child| Child, Preschool| Environmental Exposure/majr/analysis| Fats/majr/analysis| Floors and Floorcoverings/majr| Food/majr| Food Analysis| Food Contamination/majr/analysis| Housing| Humans| Pesticides/majr/analysis| Water/majr/analysis</t>
  </si>
  <si>
    <t>Vonderheide AP, Bernard CE, Hieber TE, Kauffman PE, Morgan JN, Melnyk LJ</t>
  </si>
  <si>
    <t>97-106</t>
  </si>
  <si>
    <t>Relative contribution of monooxygenase and esterase to pyrethroid resistance in Triatoma infestans (Hemiptera: Reduviidae) from Argentina and Bolivia.</t>
  </si>
  <si>
    <t>Orihuela PL, Vassena CV, Zerba EN, Picollo MI</t>
  </si>
  <si>
    <t>298-306</t>
  </si>
  <si>
    <t>Comparison of pesticide concentrations in streams at low flow in six metropolitan areas of the United States.</t>
  </si>
  <si>
    <t>Sprague LA, Nowell LH</t>
  </si>
  <si>
    <t>288-98</t>
  </si>
  <si>
    <t>Metabolic interactions of agrochemicals in humans.</t>
  </si>
  <si>
    <t>Hodgson E, Rose RL</t>
  </si>
  <si>
    <t>617-21</t>
  </si>
  <si>
    <t>Sample preparation methods to analyze fipronil in honey by gas chromatography with electron-capture and mass spectrometric detection.</t>
  </si>
  <si>
    <t>Sample preparation methods to analyze fipronil in honey by gas chromatography with electron-capture and mass spectrometric detection.    ABSTRACT:  Several sample preparation methods have been assayed to analyze residues of fipronil in honey. After diluting the honey, liquid-liquid extraction (LLE) with organic solvents, and solid-phase extraction (SPE) on commercial cartridges or Florisil-packed column have been tested at three concentration levels: 0.01, 0.1 and 1 mg/kg. LLE with n-hexane or SPE on a Florisil column resulted to be the most suitable procedures to analyze fipronil at trace concentrations. Fipronil was quantified by gas chromatography (GC) with electron-capture detection (ECD) or mass spectrometric (MS) detection after conventional or matrix-matched calibration. The detection limit of fipronil in honey samples was below 1 microg/kg. The degradation of fipronil in honey has also been studied, being identified three minor degradation products in the extracts.  KEYWORDS:  MeSH Chemical: Insecticides| Pesticide Residues| Pyrazoles| fipronil MeSH: | Chromatography, Gas/majr/methods| Honey/majr/analysis| Insecticides/majr/analysis| Mass Spectrometry/majr/methods| Pesticide Residues/analysis| Pyrazoles/majr/analysis| Solid Phase Extraction/instrumentation/methods</t>
  </si>
  <si>
    <t>Jiménez JJ, Bernal JL, del Nozal MJ, Martín MT, Mayo R</t>
  </si>
  <si>
    <t>1187</t>
  </si>
  <si>
    <t>40-5</t>
  </si>
  <si>
    <t>Susceptibility of Aedes aegypti, Culex quinquefasciatus Say, and Anopheles quadrimaculatus Say to 19 pesticides with different modes of action.</t>
  </si>
  <si>
    <t>Susceptibility of Aedes aegypti, Culex quinquefasciatus Say, and Anopheles quadrimaculatus Say to 19 pesticides with different modes of action.    ABSTRACT:  To access the relative potency of pesticides to control adult mosquitoes, 19 pesticides with various modes of action were evaluated against Aedes aegypti, Culex quinquefasciatus Say, and Anopheles quadrimaculatus Say. On the basis of 24-h LD50 values after topical application, the only pesticide that had higher activity than permethrin was fipronil, with LD50 values lower than permethrin for 107-, 4,849-, and 2-fold against Ae. aegypti, Cx. quinquefasciatus Say, and An. quadrimaculatus Say, respectively. Abamectin, imidacloprid, spinosad, diazinon, and carbaryl showed slightly lower activity than permethrin (&lt;20-fold). However, bifenazate showed very low activity against the three mosquito species tested, with LD50 values higher than permthrin for &gt;1000-fold. On the basis of 24-h LD50 values, Cx. quinquefasciatus was the least susceptible species to nine pesticides tested (DNOC, azocyclotin, chlorfenapyr, carbaryl, spinosad, imidaclorid, diazinon, abamectin, and permethrin) , whereas Ae. aegypti was the least susceptible species to six pesticides tested (dicofol, amitraz, propargite, hydramethylnon, cyhexatin, and diafenthiuron), and An. quadrimaculatus was the least susceptible species to four pesticides tested (bifenazate, pyridaben, indoxacarb, and fipronil). Our results revealed that different species of mosquitoes had different susceptibility to pesticides, showing the need to select the most efficacious compounds for the least susceptible mosquito species to achieve successful mosquito control.  KEYWORDS:  MeSH Chemical: Insecticides MeSH: | Aedes/majr/drug effects| Animals| Anopheles/majr/drug effects| Culex/majr/drug effects| Dose-Response Relationship, Drug| Insecticide Resistance| Insecticides/majr/pharmacology| Lethal Dose 50</t>
  </si>
  <si>
    <t>Pridgeon JW, Pereira RM, Becnel JJ, Allan SA, Clark GG, Linthicum KJ</t>
  </si>
  <si>
    <t>82-7</t>
  </si>
  <si>
    <t>Survey of susceptibilities to monosultap, triazophos, fipronil, and abamectin in Chilo suppressalis (Lepidoptera: Crambidae).</t>
  </si>
  <si>
    <t>He YP, Gao CF, Cao MZ, Chen WM, Huang LQ, Zhou WJ, Liu XG, Shen JL, Zhu YC</t>
  </si>
  <si>
    <t>1854-61</t>
  </si>
  <si>
    <t>Compatibility of endoparasitoid Hyposoter didymator (Hymenoptera: Ichneumonidae) protected stages with five selected insecticides.</t>
  </si>
  <si>
    <t>Compatibility of endoparasitoid Hyposoter didymator (Hymenoptera: Ichneumonidae) protected stages with five selected insecticides.    ABSTRACT:  Hyposoter didymator (Thunberg) (Hymenoptera: Ichneumonidae) is a koinobiont endoparasitoid that emerges from the parasitization of economically important noctuid pests. H. didymator also is considered one of the most important native biocontrol agents of noctuids in Spain. Side effects of five insecticides with very different modes of action (fipronil, imidacloprid, natural pyrethrins + piperonyl butoxide, pymetrozine, and triflumuron) at the maximum field recommended rate in Spain were evaluated on H. didymator parasitizing Spodoptera littoralis (Boisduval) larvae and pupae of the endoparasitoid. Parasitized larvae were topically treated or ingested treated artificial diet. Parasitoid cocoons were topically treated. Host mortality when parasitized larvae were treated, as well as further development of the parasitoid surviving (e.g., percentage of cocoons spun, adult emergence, hosts attacked, and numbered progeny) were determined. Toxicity after treatment of parasitized larvae differed depending on the mode of exposure and insecticide. Fipronil was always highly toxic; imidacloprid killed all host insects by ingestion, but it was less toxic to both host and parasitoids, when administered topically; natural pyrethrins + piperonyl butoxide and triflumuron showed differing degrees of toxicity, and pymetrozine was harmless. Parasitoid cocoons provided effective protection against all the insecticides, except fipronil.  KEYWORDS:  MeSH Chemical: Insecticides MeSH: | Animals| Host-Parasite Interactions| Hymenoptera/majr/drug effects/physiology| Insecticides/majr/pharmacology| Larva/parasitology| Moths/parasitology| Pest Control, Biological/majr| Pupa/drug effects</t>
  </si>
  <si>
    <t>Medina P, Morales JJ, Budia F, Adan A, Del Estal P, Viñuela E</t>
  </si>
  <si>
    <t>1789-96</t>
  </si>
  <si>
    <t>Enantioselective microbial transformation of the phenylpyrazole insecticide fipronil in anoxic sediments.</t>
  </si>
  <si>
    <t>Jones WJ, Mazur CS, Kenneke JF, Garrison AW</t>
  </si>
  <si>
    <t>8301-7</t>
  </si>
  <si>
    <t>Efficacy of fipronil-(S)-methoprene on fleas, flea egg collection, and flea egg development following transplantation of gravid fleas onto treated cats.</t>
  </si>
  <si>
    <t>Efficacy of fipronil-(S)-methoprene on fleas, flea egg collection, and flea egg development following transplantation of gravid fleas onto treated cats.    ABSTRACT:  The goal of this study was to assess the insect growth regulator activity of the combination product fipronil-(S)-methoprene under a severe challenge model. Gravid fleas were allowed to feed on untreated donor cats for 48 hours before being transplanted onto untreated control cats and treated cats (treated once on day 0); 24 hours later, adult fleas were collected from all cats and counted to assess the 24-hour kill efficacy against the transplanted fleas, and flea eggs were collected and incubated to assess viability. The process was repeated weekly for 11 weeks. The 24-hour efficacy against transplanted adult fleas in the treated group was about 100% for the first 3 weeks and gradually declined to 93.4% by week 6. Egg production numbers were reduced on the treated cats compared with controls, with geometric mean egg counts on treated cats reduced from 76.9% to 96.3% during the initial 6 weeks of the study. The combination product was 100% ovicidal through day 56 and was still about 98% effective against eggs at the end of the study (day 76).  KEYWORDS:  MeSH Chemical: Insecticides| Pyrazoles| fipronil MeSH: | Administration, Cutaneous| Animals| Cat Diseases/majr/parasitology/prevention &amp; control| Cats| Ectoparasitic Infestations/majr/prevention &amp; control/veterinary| Female| Insecticides/majr/administration &amp; dosage| Male| Pyrazoles/majr/administration &amp; dosage| Siphonaptera/majr/drug effects/pathogenicity/physiology| Treatment Outcome</t>
  </si>
  <si>
    <t>Franc M, Beugnet F, Vermot S</t>
  </si>
  <si>
    <t>285-92</t>
  </si>
  <si>
    <t>Efficacy of selamectin and fipronil-(S)-methoprene spot-on formulations applied to cats against adult cat fleas (Ctenocephalides felis), flea eggs, and adult flea emergence.</t>
  </si>
  <si>
    <t>Efficacy of selamectin and fipronil-(S)-methoprene spot-on formulations applied to cats against adult cat fleas (Ctenocephalides felis), flea eggs, and adult flea emergence.    ABSTRACT:  A study was conducted to evaluate the efficacy of selamectin and fipronil-(S)-methoprene against adult cat fleas (Ctenocephalides felis), flea egg production, and the viability of flea eggs collected from treated cats. Cats were infested with approximately 50 adult fleas 2 days before treatment and weekly thereafter; flea eggs were collected and counted on days 0, 1, 2, and 3 and 48 and 72 hours after each weekly flea infestation. Live fleas were collected approximately 72 hours after treatment or infestation. Compared with fipronil-(S)-methoprene, selamectin provided significantly greater control of adult fleas from days 24 to 31 and significantly greater reduction in egg production from days 16 to 45. For the most part, both products significantly impacted larval and adult emergence for the entire 6-week study, with fipronil-(S)-methoprene providing significantly greater reduction in larval and adult emergence at week 6.  KEYWORDS:  MeSH Chemical: Insecticides| Pyrazoles| Ivermectin| selamectin| fipronil MeSH: | Administration, Cutaneous| Animals| Cat Diseases/majr/prevention &amp; control| Cats| Ectoparasitic Infestations/majr/prevention &amp; control/veterinary| Insecticides/majr/administration &amp; dosage/pharmacology| Ivermectin/majr/administration &amp; dosage/analogs &amp; derivatives/pharmacology| Larva/drug effects| Pyrazoles/majr/administration &amp; dosage/pharmacology| Siphonaptera/majr/drug effects| Treatment Outcome</t>
  </si>
  <si>
    <t>Dryden M, Payne P, Smith V</t>
  </si>
  <si>
    <t>255-62</t>
  </si>
  <si>
    <t>Comparison of dose responses and resistance ratios in four populations of the rice stem borer, Chilo suppressalis (Lepidoptera: Pyralidae), to 20 insecticides.</t>
  </si>
  <si>
    <t>He YP, Gao CF, Chen WM, Huang LQ, Zhou WJ, Liu XG, Shen JL, Zhu YC</t>
  </si>
  <si>
    <t>308-15</t>
  </si>
  <si>
    <t>Effects of insecticides on the fluidity of mitochondrial membranes of the diamondback moth, Plutella xylostella, resistant and susceptible to avermectin.</t>
  </si>
  <si>
    <t>Hu J, Liang P, Shi X, Gao X</t>
  </si>
  <si>
    <t>Diacetone alcohol, a dispersant solvent, contributes to acute toxicity of a fipronil-based insecticide in a passerine bird.</t>
  </si>
  <si>
    <t>Diacetone alcohol, a dispersant solvent, contributes to acute toxicity of a fipronil-based insecticide in a passerine bird.    ABSTRACT:  Fipronil, a phenyl pyrazole pesticide, is aerially applied in eastern Australia to control locust outbreaks, usually as "Adonis 3UL Insecticide" (BASF), an ultra low (UL) volume formulation containing 0.3% active pesticide. We tested the toxicities of technical-grade fipronil, the Adonis 3UL formulation and its components in zebra finch, a native bird at risk of exposure in locust control regions. We estimated oral-dose LD50 by the Up-and-Down method. Under laboratory conditions, we identified unexpectedly high toxicities due exclusively to diacetone alcohol (DAA), a solvent making up 12.5% of the Adonis 3UL formulation. In contrast, finches were asymptomatic when exposed to 0.3% technical grade fipronil dissolved in a minimum amount of acetone. Depending upon the behaviour and persistence of DAA under field conditions, this formulation of Adonis 3UL may pose a far greater threat to the health of small birds and possibly other vertebrates than expected for fipronil alone.  KEYWORDS:  MeSH Chemical: Insecticides| Pentanols| Pentanones| Pyrazoles| diacetone alcohol| fipronil MeSH: | Animals| Finches/majr| Insecticides/administration &amp; dosage/chemistry/toxicity| Lethal Dose 50| Male| Pentanols/majr/administration &amp; dosage/chemistry/toxicity| Pentanones/majr/administration &amp; dosage/chemistry/toxicity| Pyrazoles/majr/administration &amp; dosage/chemistry/toxicity</t>
  </si>
  <si>
    <t>Kitulagodage M, Astheimer LB, Buttemer WA</t>
  </si>
  <si>
    <t>597-600</t>
  </si>
  <si>
    <t>Molecular cloning of a GABA receptor subunit from Laodelphax striatella (Fallén) and patch clamp analysis of the homo-oligomeric receptors expressed in a Drosophila cell line.</t>
  </si>
  <si>
    <t>Narusuye K, Nakao T, Abe R, Nagatomi Y, Hirase K, Ozoe Y</t>
  </si>
  <si>
    <t>723-33</t>
  </si>
  <si>
    <t>Co-acquisition of hyperpolarised 13C and 15N NMR spectra.</t>
  </si>
  <si>
    <t>Co-acquisition of hyperpolarised 13C and 15N NMR spectra.    ABSTRACT:  Recent developments in dynamic nuclear polarisation now allow significant enhancements to be generated in the cryo solid state and transferred to the liquid state for detection at high resolution. We demonstrate that the Ardenkjaer-Larsen method can be extended by taking advantage of the properties of the trityl radicals used. It is possible to hyperpolarise 13C and 15N simultaneously in the solid state, and to maintain these hyperpolarisations through rapid dissolution into the liquid state. We demonstrate the almost simultaneous measurement of hyperpolarised 13C and hyperpolarised 15N NMR spectra. The prospects for further improvement of the method using contemporary technology are also discussed.Copyright (c) 2007 John Wiley &amp; Sons, Ltd.  KEYWORDS:  MeSH Chemical: Carbon Isotopes| Free Radicals| Nitrogen Isotopes| Pyrazoles| Niacinamide| fipronil MeSH: | Carbon Isotopes| Free Radicals/chemistry/radiation effects| Microwaves| Niacinamide/chemistry/radiation effects| Nitrogen Isotopes| Nuclear Magnetic Resonance, Biomolecular/majr/methods| Pyrazoles/chemistry/radiation effects| Sensitivity and Specificity</t>
  </si>
  <si>
    <t>Day IJ, Mitchell JC, Snowden MJ, Davis AL</t>
  </si>
  <si>
    <t>Magnetic resonance in chemistry : MRC</t>
  </si>
  <si>
    <t>1018-21</t>
  </si>
  <si>
    <t>Neurotoxicity of pesticides.</t>
  </si>
  <si>
    <t>Neurotoxicity of pesticides.    ABSTRACT:  Several pesticides such as organophosphates, carbamates and the organochlorine pesticides directly target nervous tissue as their mechanism of toxicity. In several others, such as the fumigants, the nervous system is affected by toxicological mechanisms that diffusely affect most or all tissues in the body. Both the central and peripheral nervous system are involved in the acute toxidromes of many pesticides resulting in acute short-term effects. There is strong human epidemiological evidence for persistent nervous system damage following acute intoxication with several important pesticide groups such as organophosphates and certain fumigants. However, whether persistent nervous system damage follows chronic low-level exposure to pesticides in adults (particularly organophosphpates), and whether in utero and/or early childhood exposure leads to persistent nervous system damage, is a subject of study at present. Parkinson's Disease, one of the most common chronic central nervous system diseases, has been linked to pesticide exposure in some studies, but other studies have failed to find an association. Several new pesticidal chemicals such as the neo-nicotinoids and fipronil have central nervous system effects, but only case reports are available to date on acute human intoxications with several of these. Little data are yet available on whether long-term effects result from these chemicals. Several ongoing or recently completed studies should add valuable insight into the effects of pesticides on the human nervous system particularly the effect of low-dose, chronic exposure both in adults and children.  KEYWORDS:  MeSH Chemical: Pesticides MeSH: | Environmental Exposure| Humans| Nervous System Diseases/majr/chemically induced| Pesticides/majr/toxicity</t>
  </si>
  <si>
    <t>Keifer MC, Firestone J</t>
  </si>
  <si>
    <t>Journal of agromedicine</t>
  </si>
  <si>
    <t>17-25</t>
  </si>
  <si>
    <t>Efficacy of a topically applied spot-on formulation of a novel insecticide, metaflumizone, applied to cats against a flea strain (KS1) with documented reduced susceptibility to various insecticides.</t>
  </si>
  <si>
    <t>Efficacy of a topically applied spot-on formulation of a novel insecticide, metaflumizone, applied to cats against a flea strain (KS1) with documented reduced susceptibility to various insecticides.    ABSTRACT:  A spot-on metaflumizone formulation was evaluated in adult domestic short hair cats to determine its adultidical efficacy against a flea strain that has reduced susceptibility to a number of insecticides. Eight cats served as non-treated controls, eight cats were treated with a metaflumizone formulation at 0.2 ml/kg (40 mg metaflumizone/kg) and eight cats were treated with fipronil 10% w/v-(s)-methoprene 12%w/v at 0.075 ml/kg (7.5-7.7 mg fipronil/kg:9.0-9.2 mg (s)-methoprene/kg). On days -1, 7, 14, 21, 28, 35, and 42 each cat was infested with approximately 100 unfed KS1 cat fleas, Ctenocephalides felis. At approximately 48 h after treatment or infestation, each cat was combed to remove and count live fleas. Treatment with metaflumizone provided &gt; or = 99.3% efficacy for 3 weeks post-treatment and then 97.4, 91.4 and 86.2% efficacy at 4, 5 and 6 weeks post-treatment, respectively. Fipronil-(s)-methoprene provided 99.6% efficacy at 1 week post-treatment and then 97.6, 96.4, 71.3, 22.0 and 13.1% efficacy at weeks 2, 3, 4, 5 and 6, respectively. The reductions in flea numbers were significantly greater for the metaflumizone treatment than for fipronil-(s)-methoprene from 3 to 6 weeks after treatment.  KEYWORDS:  MeSH Chemical: Insecticides| Pyrazoles| Semicarbazones| metaflumizone| fipronil MeSH: | Administration, Topical| Animals| Cat Diseases/majr/drug therapy/parasitology| Cats| Dose-Response Relationship, Drug| Drug Resistance| Ectoparasitic Infestations/majr/drug therapy/parasitology/veterinary| Female| Insect Control/majr/methods| Insecticides/majr/standards/therapeutic use| Male| Pyrazoles/therapeutic use| Random Allocation| Semicarbazones/majr/standards/therapeutic use| Siphonaptera/majr/drug effects/growth &amp; development| Time Factors| Treatment Outcome</t>
  </si>
  <si>
    <t>Dryden M, Payne P, Lowe A, Mailen S, Smith V, Rugg D</t>
  </si>
  <si>
    <t>74-9</t>
  </si>
  <si>
    <t>Serial analysis of gene expression reveals identifiable patterns in transcriptome profiles of Palaemonetes pugio exposed to three common environmental stressors.</t>
  </si>
  <si>
    <t>Griffitt RJ, Greig TW, Chandler GT, Quattro JM</t>
  </si>
  <si>
    <t>2413-9</t>
  </si>
  <si>
    <t>Human metabolic interactions of environmental chemicals.</t>
  </si>
  <si>
    <t>182-6</t>
  </si>
  <si>
    <t>Relationship between desert locust, Schistocerca gregaria (Forskål), infestation, environmental factors and control measures in Gazan and Makkah Regions, Saudi Arabia.</t>
  </si>
  <si>
    <t>Al-Ajlan AM</t>
  </si>
  <si>
    <t>3507-15</t>
  </si>
  <si>
    <t>Transfer assessment of fipronil residues from feed to cow milk.</t>
  </si>
  <si>
    <t xml:space="preserve">Transfer assessment of fipronil residues from feed to cow milk.    ABSTRACT:  Fipronil, a phenylpyrazole insecticide introduced for pest control on a broad range of crops, can also affect non-target insects such as honeybees. More widely, non-target environment such as milk produced by dairy cows fed with maize silage from treated seeds (=silage T) can be affected. To assess the potential transfer of fipronil residues (sulfone, sulfide, fipronil, desulfinyl and amide), a methodology including gas chromatography coupled with tandem mass spectrometry (GC-MS/MS) analysis was developed and validated according to the 2002/657/EC decision, in order to reach a level of quantification below 0.1mugL(-1) in milk and 0.1mugkg(-1) in plants. Twelve dairy cows were fed with silage T during 4 months. Concentration of fipronil in treated seeds was estimated at 1gkg(-1), whereas silage from these seeds contained 0.30+/-0.05mugkg(-1) of dry material of fipronil, 0.13+/-0.03mugkg(-1) of dry material of sulfone. Sulfide residues were below the limit of quantification. Silage from untreated seeds (=silage U) presented traces of fipronil and sulfone, respectively at 0.04+/-0.06 and 0.02+/-0.03mugkg(-1) of dry material. Contribution of fipronil residues from supplies was insignificant. During administration of silage T, only sulfone residues were quantified in milk. The average concentration was 0.14+/-0.05mugL(-1). Before and after administration, sulfone residues were detected but not quantifiable (&lt;0.025mugL(-1)). Our results suggest a transfer of fipronil from feed to milk under its sulfone form. Moreover, traces of fipronil residues in maize U, soya, wheat and straw show a diffuse contamination of this pesticide in the environment.  KEYWORDS: </t>
  </si>
  <si>
    <t>Le Faouder J, Bichon E, Brunschwig P, Landelle R, Andre F, Le Bizec B</t>
  </si>
  <si>
    <t>710-7</t>
  </si>
  <si>
    <t>Evaluation of the efficacy and safety of a novel formulation of metaflumizone plus amitraz in dogs naturally infested with fleas and ticks in Europe.</t>
  </si>
  <si>
    <t>Hellmann K, Adler K, Parker L, Pfister K, Delay RL, Rugg D</t>
  </si>
  <si>
    <t>239-45</t>
  </si>
  <si>
    <t>Evaluation of the efficacy and safety of a novel formulation of metaflumizone in cats naturally infested with fleas in Europe.</t>
  </si>
  <si>
    <t>Hellmann K, Adler K, Parker L, Pfister K, DeLay RL, Rugg D</t>
  </si>
  <si>
    <t>246-50</t>
  </si>
  <si>
    <t>Dose determination of a novel formulation of metaflumizone plus amitraz for control of cat fleas (Ctenocephalides felis felis) and brown dog ticks (Rhipicephalus sanguineus) on dogs.</t>
  </si>
  <si>
    <t>Rugg D, Hair JA</t>
  </si>
  <si>
    <t>203-8</t>
  </si>
  <si>
    <t>Optimal control on hybrid ode systems with application to a tick disease model.</t>
  </si>
  <si>
    <t>Optimal control on hybrid ode systems with application to a tick disease model.    ABSTRACT:  We are considering an optimal control problem for a type of hybrid system involving ordinary differential equations and a discrete time feature. One state variable has dynamics in only one season of the year and has a jump condition to obtain the initial condition for that corresponding season in the next year. The other state variable has continuous dynamics. Given a general objective functional, existence, necessary conditions and uniqueness for an optimal control are established. We apply our approach to a tick-transmitted disease model with age structure in which the tick dynamics changes seasonally while hosts have continuous dynamics. The goal is to maximize disease-free ticks and minimize infected ticks through an optimal control strategy of treatment with acaricide. Numerical examples are given to illustrate the results.  KEYWORDS:  MeSH Chemical: Insecticides| Pyrazoles| fipronil MeSH: | Animals| Deer/majr/parasitology| Humans| Insecticides/pharmacology| Italy| Ixodes/majr/growth &amp; development/microbiology| Lyme Disease/majr/microbiology/prevention &amp; control/transmission/veterinary| Models, Biological/majr| Numerical Analysis, Computer-Assisted| Population Dynamics| Pyrazoles/pharmacology| Seasons| Tick-Borne Diseases/majr/microbiology/prevention &amp; control/transmission/veterinary</t>
  </si>
  <si>
    <t>Ding W</t>
  </si>
  <si>
    <t>Mathematical biosciences and engineering : MBE</t>
  </si>
  <si>
    <t>633-59</t>
  </si>
  <si>
    <t>Confirmation of the efficacy of a novel formulation of metaflumizone plus amitraz for the treatment and control of fleas and ticks on dogs.</t>
  </si>
  <si>
    <t>Rugg D, Hair JA, Everett RE, Cunningham JR, Carter L</t>
  </si>
  <si>
    <t>209-18</t>
  </si>
  <si>
    <t>Comparison of storm intensity and application timing on modeled transport and fate of six contaminants.</t>
  </si>
  <si>
    <t>Chiovarou ED, Siewicki TC</t>
  </si>
  <si>
    <t>87-100</t>
  </si>
  <si>
    <t>Acute and chronic toxicity of technical-grade pesticides to glochidia and juveniles of freshwater mussels (Unionidae).</t>
  </si>
  <si>
    <t>Bringolf RB, Cope WG, Eads CB, Lazaro PR, Barnhart MC, Shea D</t>
  </si>
  <si>
    <t>2086-93</t>
  </si>
  <si>
    <t>Field evaluation of potential control strategies against the invasive eastern subterranean termite (Isoptera: Rhinotermitidae) in Chile.</t>
  </si>
  <si>
    <t>Ripa R, Luppichini P, Su NY, Rust MK</t>
  </si>
  <si>
    <t>1391-9</t>
  </si>
  <si>
    <t>Comparative study of doramectin and fipronil in the treatment of equine chorioptic mange.</t>
  </si>
  <si>
    <t>Rendle DI, Cottle HJ, Love S, Hughes KJ</t>
  </si>
  <si>
    <t>335-8</t>
  </si>
  <si>
    <t>Assessing supercritical fluid extraction for the analysis of fipronil, kresoxim-methyl, acrinathrin, and pyridaben residues in melon.</t>
  </si>
  <si>
    <t>Assessing supercritical fluid extraction for the analysis of fipronil, kresoxim-methyl, acrinathrin, and pyridaben residues in melon.    ABSTRACT:  An analytical method, using supercritical fluid extraction (SFE), was assessed for residue analysis of the insecticides fipronil, acrinathrin and pyridaben and the fungicide kresoxim-methyl in melons. Extraction conditions were optimized on glass beads, as inert material, evaluating different pressures, temperatures, and CO(2) volumes. Also, the extractability of pesticides from hydromatrix and anhydrous magnesium sulfate was evaluated. Both adsorbents were evaluated for the preparation of SFE-spiked melon samples. Extractions of fortified samples were done using 20 mL of CO(2), 300 atm, and 50 degrees C. Different extraction conditions, including the addition of water and methanol as a static modifier, were used to assess the extractability of these pesticides, and the addition of methanol was demonstrated to improve the extraction of all the studied pesticides.  KEYWORDS:  MeSH Chemical: Fungicides, Industrial| Insecticides| Methacrylates| Pesticide Residues| Phenylacetates| Pyrazoles| Pyrethrins| Pyridazines| Strobilurins| kresoxim-methyl| Carbon Dioxide| pyridaben| fipronil| acrinathrin MeSH: | Carbon Dioxide| Chromatography, Supercritical Fluid| Consumer Product Safety| Cucurbitaceae/majr/chemistry| Fungicides, Industrial/majr/analysis| Insecticides/majr/analysis| Methacrylates/analysis| Pesticide Residues/majr/analysis| Phenylacetates/analysis| Pressure| Pyrazoles/analysis| Pyrethrins/analysis| Pyridazines/analysis| Strobilurins| Temperature</t>
  </si>
  <si>
    <t>Boulaid M, Aguilera A, Busonera V, Camacho F, Monterreal AV, Valverde A</t>
  </si>
  <si>
    <t>809-15</t>
  </si>
  <si>
    <t>Influence of fipronil compounds and rice-cultivation land-use intensity on macroinvertebrate communities in streams of southwestern Louisiana, USA.</t>
  </si>
  <si>
    <t>Influence of fipronil compounds and rice-cultivation land-use intensity on macroinvertebrate communities in streams of southwestern Louisiana, USA.    ABSTRACT:  Laboratory tests of fipronil and its degradation products have revealed acute lethal toxicity at very low concentrations (LC50) of &lt;0.5 microg/L to selected aquatic macroinvertebrates. In streams draining basins with intensive rice cultivation in southwestern Louisiana, USA, concentrations of fipronil compounds were an order of magnitude larger than the LC50. The abundance (rho=-0.64; p=0.015) and taxa richness (r2=0.515, p&lt;0.005) of macroinvertebrate communities declined significantly with increases in concentrations of fipronil compounds and rice-cultivation land-use intensity. Macroinvertebrate community tolerance scores increased linearly (r2=0.442, p&lt;0.005) with increases in the percentage of rice cultivation in the basins, indicating increasingly degraded stream conditions. Similarly, macroinvertebrate community-tolerance scores increased rapidly as fipronil concentrations approached about 1 microg/L. Pesticide toxicity index determinations indicated that aquatic macroinvertebrates respond to a gradient of fipronil compounds in water although stream size and habitat cannot be ruled out as contributing influences.  KEYWORDS:  MeSH Chemical: Insecticides| Pyrazoles| Water Pollutants, Chemical| fipronil MeSH: | Agriculture/majr| Animals| Ecosystem| Environmental Exposure| Environmental Monitoring/methods| Insecticides/majr/toxicity| Invertebrates/majr/drug effects| Louisiana| Oryza/majr| Pyrazoles/majr/toxicity| Rivers| Toxicity Tests| Water Pollutants, Chemical/majr/toxicity</t>
  </si>
  <si>
    <t>Mize SV, Porter SD, Demcheck DK</t>
  </si>
  <si>
    <t>152</t>
  </si>
  <si>
    <t>491-503</t>
  </si>
  <si>
    <t>Enantioselective Chronic Toxicity of Fipronil to Ceriodaphnia dubia.</t>
  </si>
  <si>
    <t>Wilson WA, Konwick BJ, Garrison AW, Avants JK, Black MC</t>
  </si>
  <si>
    <t>36-43</t>
  </si>
  <si>
    <t>Investigation of structural requirements for inhibitory activity at the rat and housefly picrotoxinin binding sites in ionotropic GABA receptors using DISCOtech and CoMFA.</t>
  </si>
  <si>
    <t>Investigation of structural requirements for inhibitory activity at the rat and housefly picrotoxinin binding sites in ionotropic GABA receptors using DISCOtech and CoMFA.    ABSTRACT:  A number of widely diverse compounds that show inhibitory activities at the picrotoxinin binding sites in housefly and rat GABA receptors were investigated by using the distance comparison technique (DISCOtech) and comparative molecular field analysis (CoMFA) methods to explore the pharmacophore models and the three-dimensional quantitative structure-activity relationships (3D-QSAR) of the compounds. These compounds consist of three diverse types of noncompetitive GABA receptor antagonists, i.e., trioxabicyclooctanes and their derivatives, picrodendrins and related terpenoids, and fipronil and its analogs. For investigation of the structural requirements for inhibitory activity at the picrotoxinin binding site of GABA receptor, DISCOtech pharmacophore models containing one center of hydrophobic ring and two hydrogen bond acceptor atoms for both housefly-head and rat-brain GABA receptors were constructed, respectively. In particular, the interacting areas in housefly receptors appear to be wider than that in rat receptors, the differences between rat and housefly receptor models implicate the selectivity of noncompetitive GABA receptor antagonists. In addition, corresponding CoMFA models with good statistical indices (r(2)&gt;0.9 and q(2)&gt;0.5) were also obtained. These models can be used as guidance for the development of new compounds with high activities and selectivities.  KEYWORDS:  MeSH Chemical: GABA Antagonists| Receptors, GABA| Picrotoxin| picrotoxinin MeSH: | Animals| Binding Sites| GABA Antagonists/majr/chemistry| Houseflies| Models, Molecular/majr| Molecular Structure| Picrotoxin/majr/analogs &amp; derivatives/chemistry| Quantitative Structure-Activity Relationship| Rats| Receptors, GABA/majr/chemistry</t>
  </si>
  <si>
    <t>Ju XL, Hao YL, Pei JF, Ozoe Y</t>
  </si>
  <si>
    <t>864-71</t>
  </si>
  <si>
    <t>Differential actions of insecticides on target sites: basis for selective toxicity.</t>
  </si>
  <si>
    <t>Narahashi T, Zhao X, Ikeda T, Nagata K, Yeh JZ</t>
  </si>
  <si>
    <t>361-6</t>
  </si>
  <si>
    <t>Toxicity of fipronil and its enantiomers to marine and freshwater non-targets.</t>
  </si>
  <si>
    <t>Overmyer JP, Rouse DR, Avants JK, Garrison AW, Delorenzo ME, Chung KW, Key PB, Wilson WA, Black MC</t>
  </si>
  <si>
    <t>471-80</t>
  </si>
  <si>
    <t>Utilizing the assassin bug, Pristhesancus plagipennis (Hemiptera: Reduviidae), as a biological control agent within an integrated pest management programme for Helicoverpa spp. (Lepidoptera: Noctuidae) and Creontiades spp. (Hemiptera: Miridae) in cotton.</t>
  </si>
  <si>
    <t>Grundy PR</t>
  </si>
  <si>
    <t>281-90</t>
  </si>
  <si>
    <t>Soil distribution of fipronil and its metabolites originating from a seed-coated formulation.</t>
  </si>
  <si>
    <t>Raveton M, Aajoud A, Willison J, Cherifi M, Tissut M, Ravanel P</t>
  </si>
  <si>
    <t>1124-9</t>
  </si>
  <si>
    <t>Persistence and vertical distribution of termiticide fipronil in modified ground board test.</t>
  </si>
  <si>
    <t>Persistence and vertical distribution of termiticide fipronil in modified ground board test.    ABSTRACT:  Fipronil termiticide belongs to phenyl-pyrazole class of chemical compounds. It has broad-spectrum activity particularly against house hold pests such as cockroaches, mosquitoes, locusts, ticks, and fleas at both larval and adult stages. At high dosage it can be used to control subterranean termites in building foundations. To evaluate long term efficacy against termites the persistence and vertical distribution of fipronil was studied under natural weather conditions of Dehradun, India. Fipronil was applied at four concentrations i.e. 0.05, 0.1, 0.25 and 0.5% a.i ha(-1) by drenching 17 x 17 in.(2) plot prepared as per modified ground board test. Soil samples were collected after 22, 38 and 56 months of treatment up to the depth of 75 cm. The soil core was cut into five distinct sections i.e. 0-15, 15-30, 30-45, 45-60 and 60-75 cm depth. The residues were extracted by shaking 20 g soil sample with acetone. The acetone extract was concentrated and cleaned-up over florisil column. Fipronil residues were estimated on GLC at 220, 260, and 300 degrees C oven, injector and detector temperature respectively. Fipronil was found to persist beyond 56 months after application. Two metabolites viz. desulfinyl and sulfide-fipronil were detected in sampling after 22 months of application that also dissipated with time. Fipronil residues were found up to 60 cm depth. The residues in deeper layers dissipate slowly with time and after 56 months of treatment residues were detected only up to 30 cm depth.  KEYWORDS:  MeSH Chemical: Insecticides| Pyrazoles| Soil Pollutants| fipronil MeSH: | Animals| Environmental Monitoring/majr/methods| India| Insecticides/majr/analysis| Pyrazoles/majr/analysis| Soil Pollutants/majr/analysis</t>
  </si>
  <si>
    <t>Sharma KK, KalpanaSharma V, Gupta P, Jaya M, Kumar A, Singh B</t>
  </si>
  <si>
    <t>137</t>
  </si>
  <si>
    <t>179-84</t>
  </si>
  <si>
    <t>Determination of vapor pressure-temperature relationships of current-use pesticides and transformation products.</t>
  </si>
  <si>
    <t>Determination of vapor pressure-temperature relationships of current-use pesticides and transformation products.    ABSTRACT:  Sub-cooled liquid vapor pressures (P(L)(0)) of current-use organochlorine and organophosphate pesticides (chlorothalonil, chlorpyrifos methyl, diazinon, fipronil) and selected transformation products (chlorpyrifos oxon, heptachlor epoxide, oxychlordane, 3,5,6-trichloro-2-pyridinol) were determined at multiple temperatures using the gas chromatography retention time technique. Results were utilized to determine vapor pressure-temperature relationships and to calculate enthalpies of vaporization (DeltaH(vap)). While results for chlorothalonil and diazinon were comparable with published values, the measured value for fipronil (1.82 x 10(-6) Pa) is almost an order of magnitude higher than the reported literature value (3.7 x 10(-7) Pa). The availability of vapor pressure temperature relationships for these chemicals will aid in pesticide risk assessment development and improve the effectiveness of mitigation and remediation efforts.  KEYWORDS:  MeSH Chemical: Hydrocarbons, Chlorinated| Pesticides MeSH: | Chromatography, Gas/methods| Hydrocarbons, Chlorinated/chemistry| Pesticides/majr/chemistry| Pressure/majr| Risk Assessment/majr/methods| Temperature/majr| Volatilization</t>
  </si>
  <si>
    <t>Goel A, McConnell LL, Torrents A</t>
  </si>
  <si>
    <t>343-9</t>
  </si>
  <si>
    <t>Toxicity, uptake, and transfer efficiency of fipronil in western subterranean termite (Isoptera: Rhinotermitidae).</t>
  </si>
  <si>
    <t>Saran RK, Rust MK</t>
  </si>
  <si>
    <t>495-508</t>
  </si>
  <si>
    <t>Inhibition of fipronil and nonane metabolism in human liver microsomes and human cytochrome P450 isoforms by chlorpyrifos.</t>
  </si>
  <si>
    <t>Inhibition of fipronil and nonane metabolism in human liver microsomes and human cytochrome P450 isoforms by chlorpyrifos.    ABSTRACT:  Previous studies have established that chlorpyrifos (CPS), fipronil, and nonane can all be metabolized by human liver microsomes (HLM) and a number of cytochrome P450 (CYP) isoforms. However, metabolic interactions between these three substrates have not been described. In this study the effect of either coincubation or preincubation of CPS with HLM or CYP isoforms with either fipronil or nonane as substrate was investigated. In both co- and preincubation experiments, CPS significantly inhibited the metabolism of fipronil or nonane by HLM although CPS inhibited the metabolism of fipronil more effectively than that of nonane. CPS significantly inhibited the metabolism of fipronil by CYP3A4 as well as the metabolism of nonane by CYP2B6. In both cases, preincubation with CPS caused greater inhibition than coincubation, suggesting that the inhibition is mechanism based.  KEYWORDS:  MeSH Chemical: Alkanes| Cytochrome P-450 Enzyme Inhibitors| Insecticides| Isoenzymes| Pyrazoles| Cytochrome P-450 Enzyme System| Aryl Hydrocarbon Hydroxylases| CYP2B6 protein, human| Cytochrome P-450 CYP2B6| Cytochrome P-450 CYP3A| CYP3A4 protein, human| Oxidoreductases, N-Demethylating| Chlorpyrifos| fipronil| nonane MeSH: | Alkanes/majr/pharmacology| Aryl Hydrocarbon Hydroxylases/majr/antagonists &amp; inhibitors/metabolism| Chlorpyrifos/majr/pharmacology| Cytochrome P-450 CYP2B6| Cytochrome P-450 CYP3A| Cytochrome P-450 Enzyme Inhibitors| Cytochrome P-450 Enzyme System/majr/metabolism| Enzyme Activation/drug effects| Female| Humans| Insecticides/majr/pharmacology| Isoenzymes/antagonists &amp; inhibitors/metabolism| Male| Microsomes, Liver/majr/enzymology| Oxidoreductases, N-Demethylating/majr/antagonists &amp; inhibitors/metabolism| Pyrazoles/majr/pharmacology</t>
  </si>
  <si>
    <t>Joo H, Choi K, Rose RL, Hodgson E</t>
  </si>
  <si>
    <t>76-80</t>
  </si>
  <si>
    <t>Insecticide toxicity and synergism by enzyme inhibitors in 18 species of pest insect and natural enemies in crucifer vegetable crops.</t>
  </si>
  <si>
    <t>Wu G, Miyata T, Kang CY, Xie LH</t>
  </si>
  <si>
    <t>500-10</t>
  </si>
  <si>
    <t>Development and validation of a multi-residue method for pesticide determination in honey using on-column liquid-liquid extraction and liquid chromatography-tandem mass spectrometry.</t>
  </si>
  <si>
    <t>Pirard C, Widart J, Nguyen BK, Deleuze C, Heudt L, Haubruge E, De Pauw E, Focant JF</t>
  </si>
  <si>
    <t>1152</t>
  </si>
  <si>
    <t>116-23</t>
  </si>
  <si>
    <t>[Antagonizing effect of diazepam on fipronil induced acute poisoning].</t>
  </si>
  <si>
    <t>[Antagonizing effect of diazepam on fipronil induced acute poisoning].    ABSTRACT:  NOABSTRACT. No abstract found.  KEYWORDS:  MeSH Chemical: Pyrazoles| Diazepam| fipronil MeSH: | Animals| Diazepam/majr/pharmacology| Drug Antagonism| Electroencephalography| Female| Male| Pyrazoles/majr/poisoning/toxicity| Rats| Rats, Sprague-Dawley</t>
  </si>
  <si>
    <t>Lu ZQ, Qiu QM, He GX</t>
  </si>
  <si>
    <t>39-40</t>
  </si>
  <si>
    <t>Comparative study of sample preparation procedures to determine fipronil in pollen by gas chromatography with mass spectrometric and electron-capture detection.</t>
  </si>
  <si>
    <t>Comparative study of sample preparation procedures to determine fipronil in pollen by gas chromatography with mass spectrometric and electron-capture detection.    ABSTRACT:  Several sample preparation methods have been assayed to analyze residues of fipronil in pollen at trace concentrations. Extraction with organic solvents, solid-phase extraction on either commercial cartridges or a Florisil-packed column and a matrix solid-phase dispersion, also with Florisil as a dispersing agent, have been tested. Determination of fipronil in the extracts has been carried out by GC with electron-capture and mass spectrometric detection. An extraction with acetonitrile followed by a clean-up on ODS or polymeric cartridges was the most suitable procedure to obtain acceptable recoveries and relatively simple chromatograms. The matrix-effects observed in the quantification can be corrected with a matrix-matched calibration.  KEYWORDS:  MeSH Chemical: Pyrazoles| Solvents| fipronil MeSH: | Calibration| Gas Chromatography-Mass Spectrometry/majr/instrumentation/methods| Pollen/majr/chemistry| Pyrazoles/majr/analysis| Reproducibility of Results| Solid Phase Extraction/methods| Solvents/chemistry</t>
  </si>
  <si>
    <t>1146</t>
  </si>
  <si>
    <t>8-16</t>
  </si>
  <si>
    <t>Agitation, pruritus, and ectoparasites on a rat and a mouse.</t>
  </si>
  <si>
    <t>Agitation, pruritus, and ectoparasites on a rat and a mouse.    ABSTRACT:  NOABSTRACT. No abstract found.  KEYWORDS:  MeSH Chemical: Antiparasitic Agents| Pyrazoles| fipronil MeSH: | Animals| Antiparasitic Agents/therapeutic use| Female| Lice Infestations/majr/drug therapy/parasitology/veterinary| Male| Mice| Phthiraptera/majr/growth &amp; development| Pruritus/majr/drug therapy/parasitology/veterinary| Pyrazoles/therapeutic use| Rats| Rodent Diseases/majr/drug therapy/parasitology</t>
  </si>
  <si>
    <t>Beck W, Pantchev N</t>
  </si>
  <si>
    <t>Lab animal</t>
  </si>
  <si>
    <t>17-9</t>
  </si>
  <si>
    <t>Dorsal unpaired median neurons of locusta migratoria express ivermectin- and fipronil-sensitive glutamate-gated chloride channels.</t>
  </si>
  <si>
    <t>Janssen D, Derst C, Buckinx R, Van den Eynden J, Rigo JM, Van Kerkhove E</t>
  </si>
  <si>
    <t>2642-50</t>
  </si>
  <si>
    <t>Poly- and monoclonal antibody-based ELISAs for fipronil.</t>
  </si>
  <si>
    <t>Poly- and monoclonal antibody-based ELISAs for fipronil.    ABSTRACT:  An enzyme-linked immunosorbent assay (ELISA) for fipronil was developed by using polyclonal antibodies (pABs) or monoclonal antibodies (mABs), and its suitability of the determination of this analyte in spiked water samples was studied. The pABs-based assay showed I50 = 17.95 ppb, I90 = 203.40 ppb, and I10 = 0.066 ppb, whereas the mABs-based assay showed I50 = 5.99 ppb, I90 = 485.40 ppb, and I10 = 0.074 ppb. The recoveries of fipronil from tap water samples by pABs-based ELISA were 93.00-124.00% in the range of 0-500 ng/mL, and those obtained from the samples by mABs-based ELISA were 94.70-108.00%. Different types of water from pool, river, and sea were spiked at different levels (ranging form 0.1 to 10 microg/L) and were assayed by the indirect ELISA with mABs. The recoveries of fipronil by this ELISA were in the range of 80-120%. The results demonstrate that this assay is suitable for the quantitative detection of fipronil at trace levels in water samples.  KEYWORDS:  MeSH Chemical: Antibodies| Antibodies, Monoclonal| Haptens| Insecticides| Pyrazoles| Water| fipronil MeSH: | Animals| Antibodies/majr| Antibodies, Monoclonal/majr| Antibody Specificity| Enzyme-Linked Immunosorbent Assay/majr/methods| Haptens/immunology| Insecticides/majr/analysis| Male| Pyrazoles/majr/analysis/immunology| Rabbits| Water/chemistry</t>
  </si>
  <si>
    <t>Liu X, Yan C, Dong J, Yu X, Xu D</t>
  </si>
  <si>
    <t>226-30</t>
  </si>
  <si>
    <t>Modeling the interaction of fipronil-related non-competitive antagonists with the GABA beta3-receptor.</t>
  </si>
  <si>
    <t>Modeling the interaction of fipronil-related non-competitive antagonists with the GABA beta3-receptor.    ABSTRACT:  A three-dimensional model of the beta3-homopentamer of the gamma-aminobutyric acid (GABA) receptor/chloride ionophore complex was developed by homology modeling using the cyro-electron microscopy structure of nicotinic acetylcholine as a template. Interactions between the beta3-homopentamer and two classes of fipronil-related non-competitive antagonists were investigated using docking studies. The phenyl groups of these compounds were stabilized by strong hydrophobic and hydrophilic interactions with the rings formed by Thr256 and Ala252. Leu253 and Ile255 were involved mainly in hydrophobic contact with the pyrazole moiety. Different substitution at positions 15, 16 and 17 of the pyrazole ring of fipronil resulted in weakening of the hydrogen bonds and hydrophobic interactions between the beta3-receptor and fipronil-related heterocyclic compounds, which maybe the principal cause of the decreased affinities reported in vitro. Moreover, a good correlation between total binding energies calculated by AutoDock and experimentally determined IC(50) values proved our models to be reasonable in predicting the interaction mode of the antagonist with the GABA beta3-receptor.  KEYWORDS:  MeSH Chemical: GABA Antagonists| Insecticides| Pyrazoles| Receptors, GABA-A| fipronil MeSH: | Cryoelectron Microscopy| GABA Antagonists/majr/chemistry| Insecticides/majr/chemistry| Models, Molecular| Protein Conformation| Pyrazoles/majr/chemistry| Receptors, GABA-A/majr/chemistry/metabolism</t>
  </si>
  <si>
    <t>Ci S, Ren T, Su Z</t>
  </si>
  <si>
    <t>457-64</t>
  </si>
  <si>
    <t>Toxicity of three pesticides individually and in mixture to larval grass shrimp (Palaemonetes pugio).</t>
  </si>
  <si>
    <t>Toxicity of three pesticides individually and in mixture to larval grass shrimp (Palaemonetes pugio).    ABSTRACT:  This study examined the toxicity of three pesticides, singly and in mixture, to grass shrimp (Palaemonetes pugio) larvae. The pesticides included atrazine, an herbicide used on turf grass and field crops; fipronil, a persistent insecticide used against termites and fire ants; and imidacloprid, a systemic insecticide used in agricultural and home products. Fipronil was the most toxic to shrimp larvae with a 96-h LC50 of 0.68microg/L (95% CI 0.57-0.79microg/L). Shrimp larvae were less sensitive to imidacloprid with a 96-h LC50 of 308.8microg/L (95% CI 273.6-348.6microg/L). Atrazine was non-toxic to shrimp larvae at concentrations up to 10,000microg/L. In mixtures, fipronil plus atrazine and imidacloprid plus atrazine had no change in toxicity compared to fipronil and imidacloprid tested singly. Similarly, a fipronil/imidacloprid mixture did not show greater than additive toxicity. However, when atrazine was added to the fipronil/imidacloprid mix, greater than additive toxicity occurred.  KEYWORDS:  MeSH Chemical: Imidazoles| Neonicotinoids| Nitro Compounds| Pesticides| Pyrazoles| imidacloprid| fipronil| Atrazine MeSH: | Animals| Atrazine/majr/toxicity| Dose-Response Relationship, Drug| Drug Synergism| Imidazoles/majr/toxicity| Larva/drug effects/growth &amp; development| Lethal Dose 50| Neonicotinoids| Nitro Compounds/majr/toxicity| Palaemonidae/majr/drug effects/growth &amp; development| Pesticides/majr/toxicity| Pyrazoles/majr/toxicity| Time Factors| Toxicity Tests, Acute/majr</t>
  </si>
  <si>
    <t>Key P, Chung K, Siewicki T, Fulton M</t>
  </si>
  <si>
    <t>272-7</t>
  </si>
  <si>
    <t>Functional characterization of Musca glutamate- and GABA-gated chloride channels expressed independently and coexpressed in Xenopus oocytes.</t>
  </si>
  <si>
    <t>Eguchi Y, Ihara M, Ochi E, Shibata Y, Matsuda K, Fushiki S, Sugama H, Hamasaki Y, Niwa H, Wada M, Ozoe F, Ozoe Y</t>
  </si>
  <si>
    <t>773-83</t>
  </si>
  <si>
    <t>The tick blood meal: from a living animal or from a silicone membrane?</t>
  </si>
  <si>
    <t>The tick blood meal: from a living animal or from a silicone membrane?    ABSTRACT:  An artificial feeding unit with a reinforced silicone membrane to replace host skin provides ticks with a perch over blood with a tick attachment rate of 75-100%. Some 5 mg of an acaricide like fipronil is sufficient to establish survival curves over different doses down to ppb levels in blood. This in vitro feeding assay for hard ticks is more advantageous than in vivo trials on animals.  KEYWORDS:  MeSH Chemical: Membranes, Artificial| Silicones MeSH: | Animal Feed| Animal Testing Alternatives| Animals| Blood/majr| Cattle/blood| Female| Ixodes/physiology| Membranes, Artificial| Silicones| Tick Control/methods| Ticks/majr/physiology</t>
  </si>
  <si>
    <t>Kröber T, Guerin P</t>
  </si>
  <si>
    <t>ALTEX</t>
  </si>
  <si>
    <t>24 Spec No</t>
  </si>
  <si>
    <t>39-41</t>
  </si>
  <si>
    <t>Determination of traces of fipronil and its metabolites in pollen by liquid chromatography with electrospray ionization-tandem mass spectrometry.</t>
  </si>
  <si>
    <t>Determination of traces of fipronil and its metabolites in pollen by liquid chromatography with electrospray ionization-tandem mass spectrometry.    ABSTRACT:  Fipronil is a pesticide suspected of having harmful effects on honey bees at microgram per kilogram levels. Considering the lack of methodology, it thus appeared to be necessary to develop a method for the determination of the lowest amounts of fipronil and its metabolites in pollen. This paper describes a new analytical method with a limit of quantification (LOQ) of 0.1 microg/kg for a representative sample weight of 5 g. In the case of a field study, this tool was used for checking the possible existence of fipronil and/or metabolites in pollen samples, but none of them contained residues higher than the LOQ. This three-step rapid method uses liquid-solid solvent extraction with mechanical grinding, followed by liquid-liquid partitioning and Florisil solid-phase extraction for the two cleanup steps. The quantification is made by liquid chromatography with electrospray ionization-tandem mass spectrometry (LC-ESI-MS/MS). Indeed, combined with an adequate sample treatment, this technique offers good sensitivity and selectivity in such a complex matrix. The method has given good recoveries of 74-104% with relative standard deviations of 5.6-18.2%.  KEYWORDS:  MeSH Chemical: Insecticides| Pyrazoles| fipronil MeSH: | Chromatography, High Pressure Liquid/majr/methods| Insecticides/majr/analysis/metabolism| Pollen/majr/chemistry| Pyrazoles/majr/analysis/metabolism| Reproducibility of Results| Sensitivity and Specificity| Spectrometry, Mass, Electrospray Ionization/majr/methods</t>
  </si>
  <si>
    <t>Kadar A, Faucon JP</t>
  </si>
  <si>
    <t>9741-6</t>
  </si>
  <si>
    <t>Degradation of fipronil under laboratory conditions in a tropical soil from sirinhaém pernambuco, Brazil.</t>
  </si>
  <si>
    <t>Masutti CS, Mermut AR</t>
  </si>
  <si>
    <t>[Genotoxic effects of insecticides in current use on mucosal epithelial cells from human tonsil tissue].</t>
  </si>
  <si>
    <t>[Genotoxic effects of insecticides in current use on mucosal epithelial cells from human tonsil tissue].    ABSTRACT:  Vector control is of critical medical importance in disease prevention, as reflected in sections 17 and 18 of the German Protection Against Infection Act. In the past, a large number of biocides were found to be hazardous to human health and were banned from the market, subsequently being replaced by new active ingredients and galenic forms. Many of these new insecticides are available in spray or nebuliser form. Whether these preparations have genotoxic effects on mucosal epithelial cells of the upper aerodigestive tract has thus far not been investigated.We used the comet assay, as a well-established genotoxicity test, to investigate whether malathion, diazinon, pyridostigmine bromide, piperonyl butoxide, silafluofen, and fipronil had genotoxic effects on tonsil specimens taken from 85 patients.All substances tested proved to have a strong genotoxic effect on mucosal epithelial cells taken from human tonsil tissue. We found clear differences between substance groups.Sufficient doses of a wide range of insecticides are indispensable in many areas of human life, especially for the prevention of diseases. Depending on the method of application, however, ingestion or inhalation of these substances can damage mucosal epithelial cells of the upper aerodigestive tract. Further epidemiological studies should be undertaken to investigate whether this involves potential health hazards in at-risk populations.  KEYWORDS:  MeSH Chemical: Insecticides| Mutagens| DNA MeSH: | Adolescent| Adult| Aged| Cells, Cultured| DNA/majr/drug effects| DNA Damage/majr| Female| Humans| Insecticides/majr/toxicity| Male| Middle Aged| Mouth Mucosa/majr/drug effects/pathology/physiopathology| Mutagenicity Tests| Mutagens/toxicity| Palatine Tonsil/majr/drug effects/pathology/physiopathology</t>
  </si>
  <si>
    <t>Tisch M, Faulde M, Maier H</t>
  </si>
  <si>
    <t>HNO</t>
  </si>
  <si>
    <t>55 Suppl 1</t>
  </si>
  <si>
    <t>E15-22</t>
  </si>
  <si>
    <t>An in vitro feeding assay to test acaricides for control of hard ticks.</t>
  </si>
  <si>
    <t>An in vitro feeding assay to test acaricides for control of hard ticks.    ABSTRACT:  Animal husbandry could not be practised over large areas of the planet without acaricides. The prevention of tick bite and the transmission of diseases requires the use of pesticides, but this contributes to the development of tick resistance against acaricides. This drives the quest for new molecules that target physiological processes crucial to tick survival. In vivo trials involve multiple repetitions because of inherent variations between host animals, requiring large amounts of test products and ticks. An in vitro alternative should permit the testing of the ability of a product to restrict attachment and feeding by ticks at precise doses. In this paper an in vitro feeding system is described where the European tick Ixodes ricinus L. feeds on blood through a cellulose rayon-reinforced silicone membrane. The membrane Shore hardness is modified to imitate the elastic retraction forces of skin that ensure the closing of tick penetration sites on the membrane to prevent bleeding. Tick attachment (75-100%) is achieved by adding chemical and mechanical stimuli to the membrane. Survival curves for different doses of fipronil and ivermectin tested with the method showed highly reproducible acaricide effects within 5-7 days. Significant effects are recorded down to ppb levels in blood. Standardised tests can be made with blood from the same donor animal or culture medium under the membrane.Copyright (c) 2007 Society of Chemical Industry.  KEYWORDS:  MeSH Chemical: Insecticides| Silicones MeSH: | Animals| Biological Assay/majr/instrumentation/methods| Feeding Behavior/majr| Female| Insecticides/majr| Ixodes/majr| Silicones</t>
  </si>
  <si>
    <t>Kröber T, Guerin PM</t>
  </si>
  <si>
    <t>17-22</t>
  </si>
  <si>
    <t>Fipronil induces CYP isoforms and cytotoxicity in human hepatocytes.</t>
  </si>
  <si>
    <t>Das PC, Cao Y, Cherrington N, Hodgson E, Rose RL</t>
  </si>
  <si>
    <t>Chemico-biological interactions</t>
  </si>
  <si>
    <t>164</t>
  </si>
  <si>
    <t>200-14</t>
  </si>
  <si>
    <t>Genetic basis for resistance to gel baits, fipronil, and sugar-based attractants in German cockroaches (Dictyoptera: blattellidae).</t>
  </si>
  <si>
    <t>Wang C, Scharf ME, Bennett GW</t>
  </si>
  <si>
    <t>1761-7</t>
  </si>
  <si>
    <t>Trap-mulching Argentine ants.</t>
  </si>
  <si>
    <t>Trap-mulching Argentine ants.    ABSTRACT:  Argentine ant, Linepithema humile (Mayr), management is constrained, in large part, by polydomy where nestmates are distributed extensively across urban landscapes, particularly within mulch. Management with trap-mulching is a novel approach derived from trap-cropping where ants are repelled from a broad domain of nest sites to smaller defined areas, which are subsequently treated with insecticide. This concept was field-tested with mulch surrounding ornamental trees replaced with a narrow band of pine (Pinus spp.) needle mulch (trap) within a much larger patch of repellent aromatic cedar (Juniperus spp.) mulch. After ants reestablished around the trees, the pine needle mulch band was treated with 0.06% fipronil (Termidor). Poor results were obtained when the trap extended from the tree trunk to the edge of the mulched area. When the trap was applied as a circular band around the tree trunk reductions in the number of foraging ants were recorded through 14 d compared with an untreated mulch control, but not for longer periods. Reductions in the number of ant nests within mulch were no different between the trap mulch and any of the other treatments. We conclude that trap-mulching offers limited benefits, and that successful management of Argentine ants will require implementation of complementary or perhaps alternative strategies.  KEYWORDS:  MeSH Chemical: Insecticides| Pyrazoles| Soil| fipronil MeSH: | Animals| Ants/majr| Argentina| Cedrus| Insect Control/majr/methods| Insecticides/majr/administration &amp; dosage| Pinus| Pyrazoles/majr/administration &amp; dosage| Soil</t>
  </si>
  <si>
    <t>Silverman J, Sorenson CE, Waldvogel MG</t>
  </si>
  <si>
    <t>1757-60</t>
  </si>
  <si>
    <t>Evaluation of an imidacloprid (8.8% w/w)--permethrin (44.0% w/w) topical spot-on and a fipronil (9.8% w/w)--(S)-methoprene (8.8% w/w) topical spot-on to repel, prevent attachment, and kill adult Rhipicephalus sanguineus and Dermacentor variabilis ticks on dogs.</t>
  </si>
  <si>
    <t>Evaluation of an imidacloprid (8.8% w/w)--permethrin (44.0% w/w) topical spot-on and a fipronil (9.8% w/w)--(S)-methoprene (8.8% w/w) topical spot-on to repel, prevent attachment, and kill adult Rhipicephalus sanguineus and Dermacentor variabilis ticks on dogs.    ABSTRACT:  This study evaluated the effectiveness of two topical spot-on formulations, imidacloprid (8.8% w/w)--permethrin (44.0% w/w) and fipronil (9.8% w/w)--(S)-methoprene (8.8% w/w), to repel, prevent the attachment of, and kill adult Rhipicephalus sanguineus and Dermacentor variabilis on dogs. Twelve purpose-bred beagles were distributed into three groups of four dogs each; one group served as untreated controls and each of the other two groups received one of the test products. Dogs were exposed to 25 adult ticks of each species for 10 minutes on posttreatment days 3, 7, 14, 21, and 28. Nonattached or repelled ticks were collected and evaluated for viability, and on-dog tick counts were conducted at 3, 24, and 48 hours after tick exposure. The imidacloprid-permethrin formulation provided significant repellency of R. sanguineus and D. variabilis for up to 3 and 4 weeks after treatment, respectively; and provided good overall control for R. sanguineus and D. variabilis during the study period. The fipronil--(S)-methoprene formulation provided good overall tick control during the study period.  KEYWORDS:  MeSH Chemical: Imidazoles| Insecticides| Neonicotinoids| Nitro Compounds| Pyrazoles| imidacloprid| Permethrin| Methoprene| fipronil MeSH: | Administration, Topical| Animals| Dermacentor/majr/drug effects| Dog Diseases/majr/drug therapy| Dogs| Female| Imidazoles/pharmacology| Insecticides/majr/pharmacology| Male| Methoprene/pharmacology| Neonicotinoids| Nitro Compounds| Permethrin/pharmacology| Pyrazoles/pharmacology| Random Allocation| Rhipicephalus sanguineus/majr/drug effects| Tick Control/majr/methods| Tick Infestations/majr/drug therapy/veterinary| Time Factors| Treatment Outcome</t>
  </si>
  <si>
    <t>Dryden MW, Payne PA, Smith V, Hostetler J</t>
  </si>
  <si>
    <t>187-98</t>
  </si>
  <si>
    <t>Evaluation of an imidacloprid (8.8% w/w)--permethrin (44.0% w/w) topical spot-on and a fipronil (9.8% w/w)--(S)-methoprene (8.8% w/w) topical spot-on to repel, prevent attachment, and kill adult Ixodes scapularis and Amblyomma americanum ticks on dogs.</t>
  </si>
  <si>
    <t>Evaluation of an imidacloprid (8.8% w/w)--permethrin (44.0% w/w) topical spot-on and a fipronil (9.8% w/w)--(S)-methoprene (8.8% w/w) topical spot-on to repel, prevent attachment, and kill adult Ixodes scapularis and Amblyomma americanum ticks on dogs.    ABSTRACT:  This study evaluated the effectiveness of two topical spot-on formulations -- imidacloprid(8.8% w/w)-permethrin (44.0% w/w) and fipronil (9.8% w/w)-(S)-methoprene (8.8% w/w)--to repel, prevent the attachment of, and kill adult Ixodes scapularis and Amblyomma americanum on dogs. Twelve purpose-bred beagles were distributed into three groups of four dogs each; one group served as untreated controls, and each of the other two groups received one of the test products. Dogs were exposed to 25 adult ticks of each species for 10 minutes on posttreatment days 3, 7, 14, 21, and 28. Unattached or repelled ticks were collected and evaluated for viability, and on-dog tick counts were conducted at 3, 24, and 48 hours after tick exposure. The imidacloprid-permethrin formulation provided significant repellency against I. scapularis for up to 3 weeks after treatment, and both formulations provided good overall control of I. scapularis and A. americanum during the study period.  KEYWORDS:  MeSH Chemical: Imidazoles| Insecticides| Neonicotinoids| Nitro Compounds| Pyrazoles| imidacloprid| Permethrin| Methoprene| fipronil MeSH: | Administration, Topical| Animals| Dog Diseases/majr/drug therapy| Dogs| Female| Imidazoles/pharmacology| Insecticides/majr/pharmacology| Ixodes/drug effects| Male| Methoprene/pharmacology| Neonicotinoids| Nitro Compounds| Permethrin/pharmacology| Pyrazoles/pharmacology| Random Allocation| Tick Control/majr/methods| Tick Infestations/majr/drug therapy/veterinary| Ticks/majr/drug effects| Time Factors| Treatment Outcome</t>
  </si>
  <si>
    <t>173-86</t>
  </si>
  <si>
    <t>Comparison of the activity of selamectin, imidacloprid and fipronil for the treatment of cats infested experimentally with Ctenocephalides felis felis and Ctenocephalides felis strongylus.</t>
  </si>
  <si>
    <t>Franc M, Yao KP</t>
  </si>
  <si>
    <t>131-3</t>
  </si>
  <si>
    <t>[Questionnaire on the incidence and control of fleas in dogs and cats presented to German small animal practices].</t>
  </si>
  <si>
    <t>[Questionnaire on the incidence and control of fleas in dogs and cats presented to German small animal practices].    ABSTRACT:  2590 small animal practitioners in Germany have been asked by a questionnaire from which 1694 (65.4%) replied. 1186 of these veterinarians (70%) often see ectoparasite infestation. Fleas are predominant and occur on cats (1016/60%), followed by dogs (424/25%), small mammals and birds (254/15%). Flea infestations on dogs and cats are observed throughout the year, but the prevalences are generally higher during the summer season. The results reveal that topically administered spot-on formulations is the most popular method used for flea control. The most common applied antiparasitic substances both in dogs and in cats were fipronil (535/31.6%; 690/40.7%), imidacloprid (290/17.1%; 417/24.6%) and selamectin (267/15.8%; 319/18.8%). Due to 771 (45.5%) of the answering veterinarians the animal owner himself, and according 694 (41%) respectively 229 (13.5%) of the replies the veterinarian or the veterinary technician applies the antiparasiticide onto the skin. 1457 veterinarians (86%) administer compounds against adult fleas and their developmental stages also in the animal's environment.  KEYWORDS:  MeSH Chemical: Antiparasitic Agents MeSH: | Animals| Antiparasitic Agents/majr/therapeutic use| Cat Diseases/majr/drug therapy/epidemiology/prevention &amp; control| Cats| Dog Diseases/majr/drug therapy/epidemiology/prevention &amp; control| Dogs| Ectoparasitic Infestations/majr/epidemiology/prevention &amp; control/veterinary| Female| Germany/epidemiology| Male| Prevalence| Seasons| Siphonaptera/drug effects| Surveys and Questionnaires</t>
  </si>
  <si>
    <t>Beck W, Pfister K</t>
  </si>
  <si>
    <t>Berliner und Munchener tierarztliche Wochenschrift</t>
  </si>
  <si>
    <t>355-9</t>
  </si>
  <si>
    <t>Influence of Portland cement amendment on soil pH and residual soil termiticide performance.</t>
  </si>
  <si>
    <t>Influence of Portland cement amendment on soil pH and residual soil termiticide performance.    ABSTRACT:  Soil adjacent to new brick veneer work is likely to have a higher pH owing to the mixture of cement with the soil. In the Gainesville, FL, area, soil samples taken from such locations had a range of pH values from 9.0 to 10.1; similar soils used in bioassays had a pH of 5.6 before the addition of cement. Addition of 15 mg of Portland cement to 33 g of soil increased the pH to 6, and addition of 291 mg of Portland cement increased the pH to 9. The pH of soil amended with cement was stable for the first 5 months. After 10 months, soil pH values decreased from alkaline to near neutral in all cases. Eastern subterranean termite workers, Reticulitermes flavipes (Kollar), were exposed to the treated soil at pH 6-9 for 24 h, and percentage mortality was recorded at 5 days, 5 months and 10 months. Termite mortality significantly decreased at higher soil pHs for bifenthrin, chlorpyrifos, fipronil and imidacloprid treatments at 5 months and similarly for bifenthrin, permethrin, chlorpyrifos, fipronil and imidacloprid treatments at 10 months. There was an inverse linear relationship between soil pH and mortality. Increased soil pH diminished residual activity of termiticide in the following order: imidacloprid &gt; fipronil &gt; chlorpyrifos = bifenthrin &gt; permethrin &gt; cypermethrin.Copyright 2006 Society of Chemical Industry.  KEYWORDS:  MeSH Chemical: Insecticides| Soil MeSH: | Animals| Construction Materials/majr/analysis| Hydrogen-Ion Concentration| Insecticides/majr| Isoptera/majr| Soil/majr/analysis</t>
  </si>
  <si>
    <t>Richman DL, Tucker CL, Koehler PG</t>
  </si>
  <si>
    <t>1216-23</t>
  </si>
  <si>
    <t>Field trial on the control effect of fipronil bait against German cockroaches.</t>
  </si>
  <si>
    <t>Field trial on the control effect of fipronil bait against German cockroaches.    ABSTRACT:  A field trial on the control effect of fipronil poison bait against German cockroaches (Blatella germanica) was carried out at different restaurant types in Sinchon, Seoul, Republic of Korea. Monitoring was performed applying food baited traps for 2 days per week. Reduction rates of German cockroaches by applying fipronil baits were 90.9% at Korean restaurants, 96.4% at Chinese restaurants, and 89.4% in beer hall kitchens after 4 weeks of the treatment. Overall average of the reduction rate was 93.9%. As the natural reduction rate at untreated restaurants was 11.5% after 4 weeks, a correction of the average reduction rate by applying the Abbot formula was 93.1%.  KEYWORDS:  MeSH Chemical: Insecticides| Pyrazoles| fipronil MeSH: | Animals| Cockroaches/majr| Insect Control/majr/methods| Insecticides/majr| Pyrazoles/majr</t>
  </si>
  <si>
    <t>Ree HI, Lee IY, Jeon SH, Yong TS</t>
  </si>
  <si>
    <t>The Korean journal of parasitology</t>
  </si>
  <si>
    <t>255-7</t>
  </si>
  <si>
    <t>Persistence and movement of fipronil termiticide with under-slab and trenching treatments.</t>
  </si>
  <si>
    <t>Ying GG, Kookana RS</t>
  </si>
  <si>
    <t>2045-50</t>
  </si>
  <si>
    <t>Genetics and evidence for an esterase-associated mechanism of resistance to indoxacarb in a field population of diamondback moth (Lepidoptera: Plutellidae).</t>
  </si>
  <si>
    <t>Sayyed AH, Wright DJ</t>
  </si>
  <si>
    <t>1045-51</t>
  </si>
  <si>
    <t>Multimodal approach to treatment for control of fur mites.</t>
  </si>
  <si>
    <t>Multimodal approach to treatment for control of fur mites.    ABSTRACT:  Ectoparasites pose numerous research, health, and management problems for researchers and institutions. Our facility management experience was complicated by recurrence of murine fur mite (Radfordia affinis) infestation after several rounds of single-mode fur mite treatment with dichlorvos in the cage bedding. Subsequently, we successfully eradicated the fur mites using a multidrug therapeutic protocol. Over an 8-wk treatment period, 2 applications of topical selamectin were administered in conjunction with amitraz- and fipronil-treated nestlets changed weekly. Mice tolerated the therapy well with no side effects noted, and to date there has been no recrudescence. To our knowledge, this report is the first to describe combined use of these specific therapeutic agents to control fur mite infestation in laboratory mice.  KEYWORDS:  MeSH Chemical: Insecticides| Pyrazoles| Toluidines| amitraz| Ivermectin| selamectin| fipronil MeSH: | Animals| Drug Therapy, Combination| Hair/parasitology| Insecticides/majr/adverse effects/pharmacology/therapeutic use| Ivermectin/adverse effects/analogs &amp; derivatives/therapeutic use| Laboratory Animal Science/methods| Mice/majr/parasitology| Mite Infestations/majr/drug therapy/veterinary| Mites/majr/drug effects/physiology| Pyrazoles/adverse effects/therapeutic use| Rodent Diseases/majr/drug therapy/parasitology| Toluidines/adverse effects/therapeutic use</t>
  </si>
  <si>
    <t>Bornstein DA, Scola J, Rath A, Warren HB</t>
  </si>
  <si>
    <t>Journal of the American Association for Laboratory Animal Science : JAALAS</t>
  </si>
  <si>
    <t>29-32</t>
  </si>
  <si>
    <t>Assessment of the efficacy of parasiticides for the control of tick infection in dogs under field conditions: what's new?</t>
  </si>
  <si>
    <t>Otranto D</t>
  </si>
  <si>
    <t>Parassitologia</t>
  </si>
  <si>
    <t>141-4</t>
  </si>
  <si>
    <t>[Flea control with Frontline?].</t>
  </si>
  <si>
    <t>[Flea control with Frontline?].    ABSTRACT:  NOABSTRACT. No abstract found.  KEYWORDS:  MeSH Chemical: Insecticides| Pyrazoles| fipronil MeSH: | Animals| Cats| Humans| Insect Control/majr| Insecticides/majr/adverse effects| Pyrazoles/majr/adverse effects| Siphonaptera/majr</t>
  </si>
  <si>
    <t>Voigt TF</t>
  </si>
  <si>
    <t>Medizinische Monatsschrift fur Pharmazeuten</t>
  </si>
  <si>
    <t>263-4</t>
  </si>
  <si>
    <t>Phototransformation of the insecticide fipronil: identification of novel photoproducts and evidence for an alternative pathway of photodegradation.</t>
  </si>
  <si>
    <t>Raveton M, Aajoud A, Willison JC, Aouadi H, Tissut M, Ravanel P</t>
  </si>
  <si>
    <t>4151-7</t>
  </si>
  <si>
    <t>[An experimental study on acute poisoning by fipronil in mice and its pharmaceutical therapy].</t>
  </si>
  <si>
    <t>Qiu QM, He GX, Lu ZQ, Hu GX</t>
  </si>
  <si>
    <t>192-5</t>
  </si>
  <si>
    <t>Uptake and xylem transport of fipronil in sunflower.</t>
  </si>
  <si>
    <t>Uptake and xylem transport of fipronil in sunflower.    ABSTRACT:  The phenylpyrazole insecticide, fipronil, is used in seed coating against Agriotes larvae, which infest mainly corn and sunflower. Coating the seeds of the cultivated plants with fipronil has proven its effectiveness against Agriotes populations. In the case of sunflower or even corn, the possible root uptake of this insecticide may lead to a toxic effect against pollinators such as honeybees. In the present report, the uptake and transport of fipronil inside the sunflower seedling was studied in the laboratory. In a first study, sunflower was cultivated on an aqueous medium containing fipronil. An intense root uptake of fipronil occurred, leading to a transport into leaves depending upon transpiration. In a second study, plants were cultivated on a soil in which fipronil was uniformly distributed. Under our soil conditions (20% organic carbon), the partition coefficient between soil and water (K(d)) was found to be equal to 386 +/- 30. The average rate of fipronil transfer from soil water to seedlings was from 2 to 2.6 times lower than water transfer. During the 3 week experiment, 55% of recovered labeled compounds was in the parent form and 35% had been converted to lipophilic metabolites, with either a 4-CF(3)-SO(2) or 4-CF(3)-S substituant, which are also very potent lipophilic insecticides. This paper suggests that the possible uptake of fipronil by sunflower seedlings under agronomic conditions is mainly controlled by the physicochemical characteristics of the seed-coating mixture.  KEYWORDS:  MeSH Chemical: Carbon Radioisotopes| Insecticides| Pyrazoles| Soil| Water| fipronil MeSH: | Biological Transport/majr| Carbon Radioisotopes| Helianthus/majr/metabolism| Insecticides/majr/metabolism| Plant Leaves/chemistry/metabolism| Plant Roots/chemistry/metabolism| Pyrazoles/majr/analysis/metabolism| Seedlings/metabolism| Soil/analysis| Water/chemistry</t>
  </si>
  <si>
    <t>Aajoud A, Raveton M, Aouadi H, Tissut M, Ravanel P</t>
  </si>
  <si>
    <t>5055-60</t>
  </si>
  <si>
    <t>Investigation of resistance mechanisms to fipronil in diamondback moth (Lepidoptera: Plutellidae).</t>
  </si>
  <si>
    <t>Li A, Yang Y, Wu S, Li C, Wu Y</t>
  </si>
  <si>
    <t>914-9</t>
  </si>
  <si>
    <t>Comparative study of integrated pest management and baiting for German cockroach management in public housing.</t>
  </si>
  <si>
    <t>Wang C, Bennett GW</t>
  </si>
  <si>
    <t>879-85</t>
  </si>
  <si>
    <t>Toxicity, repellency, and transfer of chlorfenapyr against western subterranean termites (Isoptera: Rhinotermitidae).</t>
  </si>
  <si>
    <t>Rust MK, Saran RK</t>
  </si>
  <si>
    <t>864-72</t>
  </si>
  <si>
    <t>Cathepsin B and glutathione peroxidase show differing transcriptional responses in the grass shrimp, Palaemonetes pugio following exposure to three xenobiotics.</t>
  </si>
  <si>
    <t>Cathepsin B and glutathione peroxidase show differing transcriptional responses in the grass shrimp, Palaemonetes pugio following exposure to three xenobiotics.    ABSTRACT:  The common molecular biology techniques, suppressive-subtractive hybridization (SSH) and semi-quantitative real-time PCR (SQRT-PCR), were used to identify differentially expressed genes in the grass shrimp, Palaemonetes pugio following exposure to three different xenobiotics. Lab-acclimated adult male grass shrimp were exposed to empirically derived 96-hr male-specific LC50 concentrations of fipronil (FP, a phenylpyrazole GABA disrupting pesticide), endosulfan (ES, a cyclodiene GABA disrupting pesticide), or cadmium (Cd), as well as a control (CC). An SSH gene expression library was constructed from surviving shrimp from the fipronil and control exposures. Clones obtained by SSH were identified by searching against the NCBI website. A total of 42 genes were identified that were up-regulated by FP exposure, and 47 that were down-regulated. A subset of the affected genes was tested with SQRT-PCR to verify responsiveness to fipronil, as well as to endosulfan and cadmium. Two genes showed strong and significant responses to the exposures: glutathione peroxidase was significantly up-regulated by all three exposures, while Cathepsin B was strongly responsive to the two pesticides, but not to cadmium.  KEYWORDS:  MeSH Chemical: Pyrazoles| Xenobiotics| Cadmium| Glutathione Peroxidase| Cathepsin B| Endosulfan| fipronil MeSH: | Animals| Cadmium/toxicity| Cathepsin B/majr/genetics| Endosulfan/toxicity| Gene Expression Regulation, Enzymologic/drug effects| Glutathione Peroxidase/majr/genetics| Lethal Dose 50| Male| Palaemonidae/majr/drug effects/enzymology/genetics| Pyrazoles/toxicity| Reverse Transcriptase Polymerase Chain Reaction/methods| Xenobiotics/majr/toxicity</t>
  </si>
  <si>
    <t>Griffitt RJ, Chandler GT, Greig TW, Quattro JM</t>
  </si>
  <si>
    <t>3640-5</t>
  </si>
  <si>
    <t>Tebufenozide resistance selected in Plutella xylostella and its cross-resistance and fitness cost.</t>
  </si>
  <si>
    <t>Tebufenozide resistance selected in Plutella xylostella and its cross-resistance and fitness cost.    ABSTRACT:  A susceptible strain of diamondback moth, Plutella xylostella (L.), was used to select for resistance to tebufenozide in the laboratory. After continuous selection with tebufenozide 17 times during 35 generations, a resistant strain was achieved with high resistance to tebufenozide (RR 93.8). Bioassay revealed that this strain showed high cross-resistance to abamectin (RR 35.7), methoxyfenozide (29.1) and JS118 (16.5), and a little to deltamethrin (3.9), but no obvious cross-resistance was found to cypermethrin (1.3), fipronil (1.3), trichlorfon (1.1), chlorfenapyr (1.0), phoxim (0.9) and acephate (0.8). The resistant and susceptible insects had similar development rates, but life table tests indicated that the resistant strain showed reproductive disadvantages, including decreased copulation rate, reproductivity and hatchability. When compared with the susceptible strain, the resistant insects had a relative fitness of only 0.3. This indicated that tebufenozide resistance selected under laboratory conditions had considerable fitness costs in this pest, and therefore rotational use of insecticides without cross-resistance is recommended to delay development of resistance.  KEYWORDS:  MeSH Chemical: Hydrazines| Insecticides| tebufenozide MeSH: | Animals| Female| Hydrazines/majr| Insecticide Resistance/majr/genetics| Insecticides/majr| Life Cycle Stages| Male| Moths/majr/genetics| Reproduction| Selection, Genetic/majr</t>
  </si>
  <si>
    <t>Cao G, Han Z</t>
  </si>
  <si>
    <t>746-51</t>
  </si>
  <si>
    <t>An in vivo rodent model for identifying and characterizing acaricides.</t>
  </si>
  <si>
    <t>Gutierrez JA, Zhao X, Kemper CJ, Plummer PR, Bauer SM, Hutchens DE, Smith CK, White WH</t>
  </si>
  <si>
    <t>526-32</t>
  </si>
  <si>
    <t>Bioaccumulation, biotransformation, and metabolite formation of fipronil and chiral legacy pesticides in rainbow trout.</t>
  </si>
  <si>
    <t>Konwick BJ, Garrison AW, Black MC, Avants JK, Fisk AT</t>
  </si>
  <si>
    <t>2930-6</t>
  </si>
  <si>
    <t>Significance of digging behavior to mortality of red imported fire ant workers, Solenopsis invicta, in fipronil-treated sand.</t>
  </si>
  <si>
    <t>Significance of digging behavior to mortality of red imported fire ant workers, Solenopsis invicta, in fipronil-treated sand.    ABSTRACT:  The effect of fipronil-treated sand on digging behavior and mortality of red imported fire ant, Solenopsis invicta Buren, workers was examined in the laboratory. No-choice digging bioassays where fipronil-treated sand was the only available digging substrate were conducted on two colonies at fipronil concentrations of 0.00, 0.05, 0.10, 0.50, 1.00, 1.50, and 2.00 ppm. Workers dug into the fipronil-treated sand in all cases, even at 2.0 ppm level, which caused 100% mortality in acute toxicity tests for both colonies. At 1.5 and 2.0 ppm, workers from the less sensitive colony had significantly higher mortality than those from the more sensitive colony, which might be explained by the significantly higher digging activity of the less sensitive colony. In two-choice digging bioassays where untreated sand was also available, workers dug into the fipronil-treated sand in 29 of 30 cases, even at 10.0 ppm level. At 1.0 and 10.0 ppm, mortality was positively correlated to digging effort in treated sand; however, such correlation was significant only at 1.0 ppm level. This indicates that digging did affect mortality; however, such effect is concentration dependent.  KEYWORDS:  MeSH Chemical: Insecticides| Pyrazoles| Silicon Dioxide| fipronil MeSH: | Animals| Ants/majr/drug effects| Behavior, Animal/majr/drug effects| Dose-Response Relationship, Drug| Insecticides/majr/pharmacology| Pyrazoles/majr/pharmacology| Silicon Dioxide</t>
  </si>
  <si>
    <t>Chen J, Allen ML</t>
  </si>
  <si>
    <t>476-82</t>
  </si>
  <si>
    <t>Field evaluation of a fipronil bait against subterranean termite Odontotermes formosanus (Isoptera: Termitidae).</t>
  </si>
  <si>
    <t>Field evaluation of a fipronil bait against subterranean termite Odontotermes formosanus (Isoptera: Termitidae).    ABSTRACT:  The subterranean termite Odontotermes formosanus Shiraki is an important pest of agronomic crops, plantations, and forestry, and it endangers earthen dikes and dams in China. A fipronil bait consisting of straw pulp and white sugar was evaluated against field colonies of O. formosanus. Triple mark-capture with Nile blue dye was used to delineate foraging territories and to estimate foraging populations of four O. formosanus colonies locating in the campus of Huazhong Agricultural University, Wuhan, China. Termite activity was monitored by number of termite workers and straw board consumption in underground monitoring stations. Consumption of bait matrix and fipronil was estimated for each testing site. The results showed that approximately 3-5 mg of fipronil could suppress foraging populations of O. formosanus containing 0.4-0.7 million foragers per colony. Baits containing fipronil seem to be a feasible alternative for controlling O. formosanus.  KEYWORDS:  MeSH Chemical: Insecticides| Pyrazoles| fipronil MeSH: | Animals| Feeding Behavior/drug effects| Insect Control/methods| Insecticides/majr/pharmacology| Isoptera/majr/drug effects| Pyrazoles/majr/pharmacology| Time Factors</t>
  </si>
  <si>
    <t>Huang QY, Lei CL, Xue D</t>
  </si>
  <si>
    <t>455-61</t>
  </si>
  <si>
    <t>A survey of pesticide residues in pollen loads collected by honey bees in France.</t>
  </si>
  <si>
    <t>Chauzat MP, Faucon JP, Martel AC, Lachaize J, Cougoule N, Aubert M</t>
  </si>
  <si>
    <t>253-62</t>
  </si>
  <si>
    <t>The developmental neurotoxicity of fipronil: notochord degeneration and locomotor defects in zebrafish embryos and larvae.</t>
  </si>
  <si>
    <t>Stehr CM, Linbo TL, Incardona JP, Scholz NL</t>
  </si>
  <si>
    <t>270-8</t>
  </si>
  <si>
    <t>Efficacy of systemic insecticides for protection of loblolly pine against southern pine engraver beetles (Coleoptera: Curculionidae: Scolytinae) and wood borers (Coleoptera: Cerambycidae).</t>
  </si>
  <si>
    <t>Efficacy of systemic insecticides for protection of loblolly pine against southern pine engraver beetles (Coleoptera: Curculionidae: Scolytinae) and wood borers (Coleoptera: Cerambycidae).    ABSTRACT:  We evaluated the efficacy of the systemic insecticides dinotefuran, emamectin benzoate, fipronil, and imidacloprid for preventing attacks and brood production of southern pine engraver beetles (Coleoptera: Curculionidae: Scolytinae) and wood borers (Coleoptera: Cerambycidae) on standing, stressed trees and bolt sections of loblolly pine, Pinus taeda L., in eastern Texas. Emamectin benzoate significantly reduced the colonization success of engraver beetles and associated wood borers in both stressed trees and pine bolt sections. Fipronil was nearly as effective as emamectin benzoate in reducing insect colonization of bolts 3 and 5 mo after injection but only moderately effective 1 mo after injection. Fipronil also significantly reduced bark beetle-caused mortality of stressed trees. Imidacloprid and dinotefuran were ineffective in preventing bark beetle and wood borer colonization of bolts or standing, stressed trees. The injected formulation of emamectin benzoate was found to cause long vertical lesions in the sapwood-phloem interface at each injection point.  KEYWORDS:  MeSH Chemical: Guanidines| Imidazoles| Insecticides| Neonicotinoids| Nitro Compounds| Pyrazoles| dinotefuran| imidacloprid| Ivermectin| emamectin benzoate| fipronil MeSH: | Animals| Coleoptera/majr/drug effects| Guanidines| Imidazoles| Injections/methods| Insect Control/majr/methods/standards| Insecticides/majr| Ivermectin/analogs &amp; derivatives| Neonicotinoids| Nitro Compounds| Pinus taeda/majr| Plant Diseases| Pyrazoles| Reproduction/drug effects| Time Factors| Weevils/drug effects</t>
  </si>
  <si>
    <t>Grosman DM, Upton WW</t>
  </si>
  <si>
    <t>94-101</t>
  </si>
  <si>
    <t>Identification of new human pregnane X receptor ligands among pesticides using a stable reporter cell system.</t>
  </si>
  <si>
    <t>Lemaire G, Mnif W, Pascussi JM, Pillon A, Rabenoelina F, Fenet H, Gomez E, Casellas C, Nicolas JC, Cavaillès V, Duchesne MJ, Balaguer P</t>
  </si>
  <si>
    <t>501-9</t>
  </si>
  <si>
    <t>Efficacy of noviflumuron gel bait for control of the German cockroach, Blattella germanica (Dictyoptera: Blattellidae)-laboratory studies.</t>
  </si>
  <si>
    <t>434-9</t>
  </si>
  <si>
    <t>Comparative efficacy of the combination fipronil-(S)-methoprene and the combination permethrin-imidacloprid against Dermacentor reticulatus, the European dog tick, applied topically to dogs.</t>
  </si>
  <si>
    <t>Doyle V, Beugnet F, Carithers D</t>
  </si>
  <si>
    <t>303-10</t>
  </si>
  <si>
    <t>Comparative susceptibility of western corn rootworm (Coleoptera: Chrysomelidae) adults to selected insecticides in Kansas.</t>
  </si>
  <si>
    <t>Zhu KY, Wilde GE, Sloderbeck PE, Buschman LL, Higgins RA, Whitworth RJ, Bowling RA, Starkey SR, He F</t>
  </si>
  <si>
    <t>2181-7</t>
  </si>
  <si>
    <t>Response of the Formosan subterranean termites (Isoptera: Rhinotermitidae) to baits or nonrepellent termiticides in extended foraging arenas.</t>
  </si>
  <si>
    <t>Response of the Formosan subterranean termites (Isoptera: Rhinotermitidae) to baits or nonrepellent termiticides in extended foraging arenas.    ABSTRACT:  Distance effects of three treatments, noviflumuron, fipronil, and thiamethoxam, against laboratory populations of the Formosan subterranean termite, Coptotermesformosanus Shiraki, were tested in extended foraging arenas with foraging distances of 50 m. The results showed that during the 10-wk test period, all termites were killed by noviflumuron baits, whereas the nonrepellent termiticides fipronil and thiamethoxam divided the laboratory populations into two groups after causing 25-35% worker mortality. The horizontal transfer of lethal effects of fipronil was &lt; or = 5 m. For thiamethoxam, the distance of transfer was substantially shorter. Because of their dose-dependent lethal time, the nonrepellent termiticides did not fulfill the requirements of a liquid bait model.  KEYWORDS:  MeSH Chemical: Benzamides| Hydrocarbons, Fluorinated| Insect Repellents| Insecticides| Neonicotinoids| Nitro Compounds| Oxazines| Pyrazoles| Thiazoles| Thiamethoxam| noviflumuron| fipronil MeSH: | Animals| Benzamides/pharmacology| Feeding Behavior| Hydrocarbons, Fluorinated/pharmacology| Insect Control/majr/methods| Insect Repellents| Insecticides/majr/pharmacology| Isoptera/majr/drug effects| Neonicotinoids| Nitro Compounds/pharmacology| Oxazines/pharmacology| Pyrazoles/pharmacology| Thiamethoxam| Thiazoles</t>
  </si>
  <si>
    <t>Su NY</t>
  </si>
  <si>
    <t>2143-52</t>
  </si>
  <si>
    <t>Structural model for gamma-aminobutyric acid receptor noncompetitive antagonist binding: widely diverse structures fit the same site.</t>
  </si>
  <si>
    <t>Chen L, Durkin KA, Casida JE</t>
  </si>
  <si>
    <t>5185-90</t>
  </si>
  <si>
    <t>Strategies for reducing the risk of Lyme borreliosis in North America.</t>
  </si>
  <si>
    <t>Piesman J</t>
  </si>
  <si>
    <t>International journal of medical microbiology : IJMM</t>
  </si>
  <si>
    <t>296 Suppl 40</t>
  </si>
  <si>
    <t>Sorption of fipronil in tropical soils.</t>
  </si>
  <si>
    <t>Sorption of fipronil in tropical soils.    ABSTRACT:  NOABSTRACT. No abstract found.  KEYWORDS:  MeSH Chemical: Insecticides| Pyrazoles| Soil| fipronil MeSH: | Adsorption| India| Insecticides/majr/analysis/chemistry| Pyrazoles/majr/analysis/chemistry| Soil/majr| Tropical Climate</t>
  </si>
  <si>
    <t>Mukherjee I, Kalpa</t>
  </si>
  <si>
    <t>334-40</t>
  </si>
  <si>
    <t>Effect of pesticides on kynurenic acid production in rat brain slices.</t>
  </si>
  <si>
    <t>Effect of pesticides on kynurenic acid production in rat brain slices.    ABSTRACT:  Kynurenic acid (KYNA) is a broad spectrum antagonist of ionotropic glutamate receptors, preferentially active at the strychnine-insensitive glycine allosteric site of the N-methyl-D-aspartate (NMDA) receptor, and a noncompetitive antagonist of alpha7 nicotinic receptor. Animal studies showed that it possesses anticonvulsant and neuroprotective properties. Its involvement in the pathophysiology of various brain disorders was suggested. In this study, the effect of pesticides on KYNA production in brain cortical slices was investigated. Pyrethroids, deltamethrin and fenpropathrin significantly lowered KYNA production. Methomyl, bensultap, fipronil, diquat and MCPA were ineffective in this regard. In view of this data, the inhibition of KYNA synthesis appear to merit further investigation as a potential factor contributing to the toxicology of pyrethroids.  KEYWORDS:  MeSH Chemical: Pesticides| Pyrethrins| Kynurenic Acid MeSH: | Animals| Brain/majr/drug effects/metabolism| Dose-Response Relationship, Drug| In Vitro Techniques| Kynurenic Acid/majr/metabolism| Male| Pesticides/majr/pharmacology| Pyrethrins/pharmacology| Rats| Rats, Wistar</t>
  </si>
  <si>
    <t>Zielińska E, Kocki T, Saran T, Borbely S, Kuc D, Vilagi I, Urbańska EM, Turski WA</t>
  </si>
  <si>
    <t>177-9</t>
  </si>
  <si>
    <t>A method to induce stable atopic dermatitis-like symptoms in NC/Nga mice housed with skin-lesioned mice.</t>
  </si>
  <si>
    <t>Takano N, Arai I, Kurachi M</t>
  </si>
  <si>
    <t>The British journal of dermatology</t>
  </si>
  <si>
    <t>426-30</t>
  </si>
  <si>
    <t>Effect of concentration on the adsorption of three termiticides in soil.</t>
  </si>
  <si>
    <t>Effect of concentration on the adsorption of three termiticides in soil.    ABSTRACT:  NOABSTRACT. No abstract found.  KEYWORDS:  MeSH Chemical: Imidazoles| Insecticides| Neonicotinoids| Nitro Compounds| Pyrazoles| Pyrethrins| Soil| Soil Pollutants| imidacloprid| bifenthrin| fipronil MeSH: | Adsorption| Animals| Biological Availability| Chromatography, High Pressure Liquid| Imidazoles/chemistry/metabolism| Insecticides/majr/chemistry/metabolism| Isoptera| Neonicotinoids| Nitro Compounds| Pyrazoles/chemistry/metabolism| Pyrethrins/chemistry/metabolism| Soil/majr| Soil Microbiology| Soil Pollutants/majr/metabolism</t>
  </si>
  <si>
    <t>Kamble ST, Saran RK</t>
  </si>
  <si>
    <t>1077-85</t>
  </si>
  <si>
    <t>Compatibility of entomopathogenic nematodes with fipronil.</t>
  </si>
  <si>
    <t>Compatibility of entomopathogenic nematodes with fipronil.    ABSTRACT:  The survival and infectivity of infective juveniles (IJs) of three species of entomopathogenic nematodes, Steinernema carpocapsae Weiser, S. arenarium (Artyukhovsky) (Rhabditida: Steinernematidae) and Heterorhabditis bacteriophora Poinar (Rhabditida: Heterorhabditidae), were determined after exposure to different concentrations (250, 500, 1000 and 2000 ppm) of fipronil, an insecticide acting on the GABA receptors to block the chloride channel. Heterorhabditis bacteriophora was very tolerant to all concentrations of fipronil, with the highest mortality of 17% being observed at 2000 ppm of fipronil after 72 h exposure. Steinernema carpocapsae showed a similar response, with the highest mortality of 11.25% of IJs being observed after 72 h exposure to 2000 ppm of fipronil. Steinernema arenarium was, however, more sensitive to fipronil, and at 2000 ppm mortality rates of 94.6% and 100% were observed after 24 and 72 h, respectively. Fipronil had negligible effects on the infectivity of the three nematode species tested. The IJs which survive exposure to all concentrations of fipronil tested can infect and reproduce in Galleria larvae. The moderate effects on entomopathogenic nematodes of a lower fipronil concentration (250 ppm) and the field rates (12-60 ppm) of fipronil used as insecticide, suggest that direct mixing of entomopathogenic nematodes and fipronil at field rates is a viable integrated pest management option.  KEYWORDS:  MeSH Chemical: Insecticides| Pyrazoles| fipronil MeSH: | Animals| Host-Parasite Interactions| Insecticides/majr/pharmacology| Larva/parasitology| Nematode Infections/majr/prevention &amp; control/transmission| Parasitic Sensitivity Tests| Pest Control, Biological/majr| Pyrazoles/majr/pharmacology| Rhabditida/majr/drug effects</t>
  </si>
  <si>
    <t>García del Pino F, Jové M</t>
  </si>
  <si>
    <t>Journal of helminthology</t>
  </si>
  <si>
    <t>333-7</t>
  </si>
  <si>
    <t>Weathering trials of Amulet cue-lure and Amulet methyl eugenol "attract-and-kill" stations with male melon flies and oriental fruit flies (Diptera: Tephritidae) in Hawaii.</t>
  </si>
  <si>
    <t>Vargas RI, Stark JD, Mackey B, Bull R</t>
  </si>
  <si>
    <t>1551-9</t>
  </si>
  <si>
    <t>Comparative speed of kill of selamectin, imidacloprid, and fipronil-(S)-methoprene spot-on formulations against fleas on cats.</t>
  </si>
  <si>
    <t>Dryden MW, Smith V, Payne PA, McTier TL</t>
  </si>
  <si>
    <t>228-36</t>
  </si>
  <si>
    <t>Uselessness and indirect negative effects of an insecticide on rice field invertebrates.</t>
  </si>
  <si>
    <t>Uselessness and indirect negative effects of an insecticide on rice field invertebrates.    ABSTRACT:  Macro-invertebrate assemblages on organic and conventional rice fields were quantitatively compared in the Camargue (Rhone delta, France). There was no major difference in family richness, but significant differences as regard to abundance. Fipronil, the insecticide used to control chironomid larvae, was one of the main factors explaining those differences. Its negative impact on predatory invertebrates appears to explain the paradoxical lack of difference in chironomid abundance between organic and conventional fields, observed during the study. Macro-invertebrate biomass estimation showed that, for some birds such as herons, conventional rice fields offered a lower value as foraging habitats than organic ones.  KEYWORDS:  MeSH Chemical: Insecticides| Pyrazoles| fipronil MeSH: | Agriculture| Animals| Biomass| Birds/majr/physiology| Chironomidae| Data Interpretation, Statistical| Ecology| Insecticides/majr/adverse effects/toxicity| Invertebrates/majr/classification| Larva| Oryza/majr| Predatory Behavior/drug effects| Pyrazoles/toxicity</t>
  </si>
  <si>
    <t>Mesléard F, Garnero S, Beck N, Rosecchi E</t>
  </si>
  <si>
    <t>Comptes rendus biologies</t>
  </si>
  <si>
    <t>328</t>
  </si>
  <si>
    <t>10-11</t>
  </si>
  <si>
    <t>955-62</t>
  </si>
  <si>
    <t>Efficacy of imidacloprid/permethrin and fipronil/(S)-methoprene combinations against Haemaphysalis longicornis ticks evaluated under in vitro and in vivo conditions.</t>
  </si>
  <si>
    <t>Hagimori I, Machida H, Goi R, Mencke N</t>
  </si>
  <si>
    <t>97 Suppl 1</t>
  </si>
  <si>
    <t>S120-S126</t>
  </si>
  <si>
    <t>Differential blocking actions of 4'-ethynyl-4-n-propylbicycloorthobenzoate (EBOB) and gamma-hexachlorocyclohexane (gamma-HCH) on gamma-aminobutyric acid- and glutamate-induced responses of American cockroach neurons.</t>
  </si>
  <si>
    <t>Ihara M, Ishida C, Okuda H, Ozoe Y, Matsuda K</t>
  </si>
  <si>
    <t>157-64</t>
  </si>
  <si>
    <t>Acute enantioselective toxicity of fipronil and its desulfinyl photoproduct to Ceriodaphnia dubia.</t>
  </si>
  <si>
    <t>Konwick BJ, Fisk AT, Garrison AW, Avants JK, Black MC</t>
  </si>
  <si>
    <t>2350-5</t>
  </si>
  <si>
    <t>Ion channels: molecular targets of neuroactive insecticides.</t>
  </si>
  <si>
    <t>Ion channels: molecular targets of neuroactive insecticides.    ABSTRACT:  Many of the insecticides in current use act on molecular targets in the insect nervous system. Recently, our understanding of these targets has improved as a result of the complete sequencing of an insect genome, i.e., Drosophila melanogaster. Here we examine the recent work, drawing on genetics, genomics and physiology, which has provided evidence that specific receptors and ion channels are targeted by distinct chemical classes of insect control agents. The examples discussed include, sodium channels (pyrethroids, p,p'-dichlorodiphenyl-trichloroethane (DDT), dihydropyrazoles and oxadiazines); nicotinic acetylcholine receptors (cartap, spinosad, imidacloprid and related nitromethylenes/nitroguanidines); gamma-aminobutyric acid (GABA) receptors (cyclodienes, gamma-BHC and fipronil) and L-glutamate receptors (avermectins). Finally, we have examined the molecular basis of resistance to these molecules, which in some cases involves mutations in the molecular target, and we also consider the future impact of molecular genetic technologies in our understanding of the actions of neuroactive insecticides.  KEYWORDS:  MeSH Chemical: Insect Proteins| Insecticides| Ion Channels MeSH: | Animals| Drosophila/physiology| Genomics| Insect Proteins/majr/drug effects| Insecticide Resistance/physiology| Insecticides/majr/chemistry/pharmacology| Ion Channels/majr/drug effects</t>
  </si>
  <si>
    <t>Raymond-Delpech V, Matsuda K, Sattelle BM, Rauh JJ, Sattelle DB</t>
  </si>
  <si>
    <t>119-33</t>
  </si>
  <si>
    <t>Cross-resistance between dieldrin and fipronil in German cockroach (Dictyoptera: Blattellidae).</t>
  </si>
  <si>
    <t>Cross-resistance between dieldrin and fipronil in German cockroach (Dictyoptera: Blattellidae).    ABSTRACT:  The toxicity of fipronil and dieldrin was determined in one susceptible laboratory strain and seven insecticide-resistant field-collected strains of Blattella germanica (L). The Zo960302 and Ga021001 strains were 1,270- and 2,030-fold resistant to dieldrin and 15- and 14-fold resistant to fipronil. The Su960304 and Od010803 strains were 15- and 13-fold resistant to dieldrin and two- and four-fold resistant to fipronil. Three strains showed no or a low level of resistance to dieldrin and fipronil. Crosses were performed between the susceptible strain Danish Pest Infestation Laboratory (DPIL)-SUS and the resistant strains Zo960302 and Su960304 and resistance to dieldrin and fipronil were intermediate compared with the susceptible and the resistant strains. Backcrosses to both of the parental strains showed cosegregation of dieldrin and fipronil resistance. The toxicity of dieldrin and fipronil was correlated when compared at LD50, and 93% of the observed variation in LD50 of fipronil can be ascribed to variation among predictions based on the value of LD50 of dieldrin. The frequency of the A302S substitution in the resistance to dieldrin (Rdl) gene in the highly dieldrin- and fipronil-resistant strains Zo960302 and Ga021001 and the moderately resistant Su960304 was 0.97, 1.0, and 0.38, respectively. We consider the connection between the frequency of the Rdl mutation and dieldrin and fipronil resistance a causal connection and not merely a coincidence.  KEYWORDS:  MeSH Chemical: Insecticides| Pyrazoles| Dieldrin| fipronil MeSH: | Animals| Blattellidae/majr/genetics| Crosses, Genetic| Dieldrin/majr| Insecticide Resistance/majr/genetics| Insecticides/majr| Pyrazoles/majr</t>
  </si>
  <si>
    <t>Kristensen M, Hansen KK, Jensen KM</t>
  </si>
  <si>
    <t>1305-10</t>
  </si>
  <si>
    <t>Laboratory evaluation of fipronil against Periplaneta americana &amp; Blattella germanica.</t>
  </si>
  <si>
    <t>Srinivasan R, Jambulingam P, Subramanian S, Kalyanasundaram M</t>
  </si>
  <si>
    <t>The Indian journal of medical research</t>
  </si>
  <si>
    <t>57-66</t>
  </si>
  <si>
    <t>Effects of sublethal doses of fipronil on the behavior of the honeybee (Apis mellifera).</t>
  </si>
  <si>
    <t>Effects of sublethal doses of fipronil on the behavior of the honeybee (Apis mellifera).    ABSTRACT:  Fipronil is a phenylpyrazole insecticide introduced for pest control, but it can also affect non-target insects such as honeybees. In insects, fipronil is known to block GABA receptors and to inhibit ionotropic glutamate-gated chloride channels, but the behavioral effects of low doses are not yet fully understood. We have studied the effect of sublethal doses of fipronil on the behavior of the honeybee (Apis mellifera) under controlled laboratory conditions. The drug was either administered orally or applied topically on the thorax. A significant reduction of sucrose sensitivity was observed for the dose of 1 ng/bee 1 h after a thoracic application. No significant effect on sucrose sensitivity was obtained with acute oral treatment. A lower dose of fipronil (0.5 ng/bee applied topically) impaired the olfactory learning of the honeybees. By contrast, locomotor activity was not affected. Our results suggest a particular vulnerability of the olfactory memory processes and sucrose perception to sublethal doses of fipronil in the honeybee.  KEYWORDS:  MeSH Chemical: Insecticides| Pyrazoles| Sucrose| fipronil MeSH: | Animals| Bees/majr/drug effects/physiology| Dose-Response Relationship, Drug| Insecticides/majr/administration &amp; dosage/pharmacology| Learning/drug effects| Memory/drug effects| Motor Activity/drug effects| Pyrazoles/majr/pharmacology| Sucrose/pharmacology</t>
  </si>
  <si>
    <t>El Hassani AK, Dacher M, Gauthier M, Armengaud C</t>
  </si>
  <si>
    <t>Pharmacology, biochemistry, and behavior</t>
  </si>
  <si>
    <t>30-9</t>
  </si>
  <si>
    <t>Acute toxicity of imidacloprid and fipronil to a nontarget aquatic insect, Simulium vittatum Zetterstedt cytospecies IS-7.</t>
  </si>
  <si>
    <t>Acute toxicity of imidacloprid and fipronil to a nontarget aquatic insect, Simulium vittatum Zetterstedt cytospecies IS-7.    ABSTRACT:  NOABSTRACT. No abstract found.  KEYWORDS:  MeSH Chemical: Imidazoles| Insecticides| Neonicotinoids| Nitro Compounds| Pyrazoles| Water Pollutants, Chemical| imidacloprid| fipronil MeSH: | Animals| Dose-Response Relationship, Drug| Imidazoles/majr/toxicity| Insecticides/majr/toxicity| Lethal Dose 50| Neonicotinoids| Nitro Compounds| Pyrazoles/majr/toxicity| Simuliidae/majr| Toxicity Tests, Acute/majr| Water Pollutants, Chemical/majr/toxicity</t>
  </si>
  <si>
    <t>Overmyer JP, Mason BN, Armbrust KL</t>
  </si>
  <si>
    <t>872-9</t>
  </si>
  <si>
    <t>[New insecticides--focusing phenylpyrazol derivatives].</t>
  </si>
  <si>
    <t>[New insecticides--focusing phenylpyrazol derivatives].    ABSTRACT:  NOABSTRACT. No abstract found.  KEYWORDS:  MeSH Chemical: Chloride Channels| Cholinesterase Inhibitors| GABA Antagonists| Insecticides| Pyrazoles| Receptors, Neurotransmitter| glutamine receptor| fipronil MeSH: | Animals| Chloride Channels/antagonists &amp; inhibitors| Cholinesterase Inhibitors| GABA Antagonists| Humans| Insecticides/majr/metabolism/pharmacology/poisoning/toxicity| Lethal Dose 50| Poisoning/therapy| Pyrazoles/majr/metabolism/pharmacology/poisoning/toxicity| Receptors, Neurotransmitter/antagonists &amp; inhibitors</t>
  </si>
  <si>
    <t>Kobayashi H, Suzuki T, Sato I, Orito K, Shirai A, Akahori F</t>
  </si>
  <si>
    <t>Chudoku kenkyu : Chudoku Kenkyukai jun kikanshi = The Japanese journal of toxicology</t>
  </si>
  <si>
    <t>113-8</t>
  </si>
  <si>
    <t>Acetylcholine, GABA and glutamate induce ionic currents in cultured antennal lobe neurons of the honeybee, Apis mellifera.</t>
  </si>
  <si>
    <t>Barbara GS, Zube C, Rybak J, Gauthier M, Grünewald B</t>
  </si>
  <si>
    <t>Journal of comparative physiology. A, Neuroethology, sensory, neural, and behavioral physiology</t>
  </si>
  <si>
    <t>823-36</t>
  </si>
  <si>
    <t>Effect of alcohols and temperature on the direct chiral resolutions of fipronil, isocarbophos and carfentrazone-ethyl.</t>
  </si>
  <si>
    <t>Effect of alcohols and temperature on the direct chiral resolutions of fipronil, isocarbophos and carfentrazone-ethyl.    ABSTRACT:  The enantiomeric separations of three pesticides fipronil (asymmetric nitrogen), isocarbophos (asymmetric phosphorus) and carfentrazone-ethyl (asymmetric carbon) were studied on cellulose-tri(3,5-dimethylphenylcarbamate) chiral stationary phase using high-performance liquid chromatography under normal phase. The mobile phase was n-hexane with alcohols including ethanol, n-propanol, iso-propanol, n-butanol and iso-butanol as polar modifiers. The flow rate was 1.0 mL/min with UV detection at 280, 225 and 230 nm for fipronil, isocarbophos and carfentrazone-ethyl respectively. The influence of the modifiers and their volume content and temperature from 0 to 50 degrees C on the separations was investigated. The chiral stationary phase showed excellent stereoselectivity for the two enantiomers of fipronil and isocarbophos and certain chiral recognition for carfentrazone-ethyl. Iso-propanol was more suitable for the chiral separation of isocarbophos and carfentrazone-ethyl, and iso-butanol was better for fipronil. The resolutions increased with the decreasing modifier content and temperature for all the three chiral pesticides.Copyright 2005 John Wiley &amp; Sons, Ltd.  KEYWORDS:  MeSH Chemical: Alcohols| Pesticides| Phenylcarbamates| Pyrazoles| Triazoles| cellulose tris-3,5-dimethylphenyl-carbamate| carfentrazone-ethyl| Cellulose| fipronil| Malathion MeSH: | Alcohols/majr/chemistry| Cellulose/analogs &amp; derivatives| Chromatography, High Pressure Liquid/majr/methods| Malathion/majr/analogs &amp; derivatives/isolation &amp; purification| Pesticides/majr/isolation &amp; purification| Phenylcarbamates| Pyrazoles/majr/isolation &amp; purification| Temperature| Triazoles/majr/isolation &amp; purification</t>
  </si>
  <si>
    <t>Wang P, Jiang S, Liu D, Jia G, Wang Q, Wang P, Zhou Z</t>
  </si>
  <si>
    <t>Biomedical chromatography : BMC</t>
  </si>
  <si>
    <t>454-8</t>
  </si>
  <si>
    <t>Insect GABA receptors: splicing, editing, and targeting by antiparasitics and insecticides.</t>
  </si>
  <si>
    <t>Insect GABA receptors: splicing, editing, and targeting by antiparasitics and insecticides.    ABSTRACT:  Ionotropic GABA receptors are abundant in both vertebrate and invertebrate nervous systems, where they mediate rapid, mostly inhibitory synaptic transmission. A GABA-gated chloride channel subunit from Drosophila melanogaster [Resistant to Dieldrin (RDL)] has been cloned, functionally expressed, and found to exhibit many aspects of the pharmacology of native, bicuculline-insensitive insect GABA receptors. RDL is the target of the commercially important insecticide fipronil. A point mutation in the channel-lining region of the RDL molecule is known to underlie most cases of resistance to insecticides acting on GABA receptors. RDL is widely distributed throughout the insect nervous system, but the subunit composition of RDL-containing in native receptors is unknown. It is possible that in some instances, RDL coexpresses with glutamate-gated chloride channel subunits. Other ionotropic receptor subunits (LCCH3 and GRD) form GABA-gated cation channels when heterologously expressed. Interest in RDL as a model ligandgated anion channel has been enhanced by the recent discovery of pre-mRNA A-to-I editing, which, together with alternative splicing, adds to the functional diversity of this GABA receptor subunit.  KEYWORDS:  MeSH Chemical: Antiprotozoal Agents| Insecticides| RNA, Messenger| Receptors, GABA MeSH: | Alternative Splicing/majr| Amino Acid Sequence| Animals| Antiprotozoal Agents/majr/pharmacology| Drosophila melanogaster| Insecticide Resistance| Insecticides/majr/pharmacology| Molecular Sequence Data| RNA Editing/majr| RNA, Messenger/genetics| Receptors, GABA/majr/drug effects/genetics| Sequence Homology, Amino Acid</t>
  </si>
  <si>
    <t>Buckingham SD, Biggin PC, Sattelle BM, Brown LA, Sattelle DB</t>
  </si>
  <si>
    <t>942-51</t>
  </si>
  <si>
    <t>Time trends in mortality for thiamethoxam and fipronil against Formosan subterranean termites and eastern subterranean termites (Isoptera: Rhinotermitidae).</t>
  </si>
  <si>
    <t>Time trends in mortality for thiamethoxam and fipronil against Formosan subterranean termites and eastern subterranean termites (Isoptera: Rhinotermitidae).    ABSTRACT:  Time trends in mortality for the Formosan subterranean termite, Coptotermes formosanus Shiraki, and eastern subterranean termite, Reticulitermes flavipes (Kollar), were determined for thiamethoxam and fipronil. Filter paper treated with 50 ppm thiamethoxam led to &gt;80% mortality in 2-4 d for R. flavipes, whereas 5 ppm thiamethoxam resulted in &gt;80% mortality in 2-3 d for C. formosanus. Filter paper treated with 1 ppm fipronil resulted in &gt;80% mortality in 5 d for R. flavipes and 9 d for C. formosanus, indicating that thiamethoxam is faster acting than fipronil. As concentration decreases for slow-acting termiticides, the time required for adverse effects to be fully expressed increases.  KEYWORDS:  MeSH Chemical: Insecticides| Neonicotinoids| Nitro Compounds| Oxazines| Pyrazoles| Thiazoles| Thiamethoxam| fipronil MeSH: | Animals| Insecticides/majr/administration &amp; dosage| Isoptera/majr| Neonicotinoids| Nitro Compounds/majr/administration &amp; dosage| Oxazines/majr/administration &amp; dosage| Pyrazoles/majr/administration &amp; dosage| Thiamethoxam| Thiazoles| Time Factors</t>
  </si>
  <si>
    <t>Remmen LN, Su NY</t>
  </si>
  <si>
    <t>911-5</t>
  </si>
  <si>
    <t>Tunneling and mortality of eastern and Formosan subterranean termites (Isoptera: Rhinotermitidae) in sand treated with thiamethoxam or fipronil.</t>
  </si>
  <si>
    <t>Tunneling and mortality of eastern and Formosan subterranean termites (Isoptera: Rhinotermitidae) in sand treated with thiamethoxam or fipronil.    ABSTRACT:  Thiamethoxam and fipronil were examined for their termiticidal properties against the Formosan subterranean termite, Coptotermes formosanus Shiraki, and the eastern subterranean termite, Reticulitermes flavipes (Kollar). Concentrations &gt; or =8 ppm thiamethoxam and &gt; or =1 ppm fipronil provided an effective barrier against C. formosanus and R. flavipes. Sand was penetrated to some degree at all concentrations of thiamethoxam (0-800 ppm for C. formosanus and 0-1000 ppm for R. flavipes) and fipronil (0-64 ppm for both C. formosanus and R. flavipes) tested, indicating that both termiticides are nonrepellent. Thiamethoxam was found to be more toxic against C. formosanus than R. flavipes whereas fipronil showed similar toxicity for both species. Higher mortality prevented termites from penetrating the entire 5-cm segment of treated sand.  KEYWORDS:  MeSH Chemical: Insecticides| Neonicotinoids| Nitro Compounds| Oxazines| Pyrazoles| Thiazoles| Thiamethoxam| Silicon Dioxide| fipronil MeSH: | Animals| Behavior, Animal/drug effects| Insecticides/majr/administration &amp; dosage| Isoptera/majr/physiology| Neonicotinoids| Nitro Compounds/majr/administration &amp; dosage| Oxazines/majr/administration &amp; dosage| Pyrazoles/majr/administration &amp; dosage| Silicon Dioxide/majr| Thiamethoxam| Thiazoles</t>
  </si>
  <si>
    <t>906-10</t>
  </si>
  <si>
    <t>Residual activity and population effects of noviflumuron for German cockroach (Dictyoptera: Blattellidae) control.</t>
  </si>
  <si>
    <t>Residual activity and population effects of noviflumuron for German cockroach (Dictyoptera: Blattellidae) control.    ABSTRACT:  A benzoylphenyl urea insect growth regulator with the common name noviflumuron was evaluated for efficacy and residual activity on the German cockroach, Blattella germanica (L.). In laboratory studies evaluating residual activity, 0.05% noviflumuron suspension concentrate produced 100% nymphal mortality 120 d after application to steel and masonite substrates. Residual activity of noviflumuron was more variable on painted plywood substrates compared with stainless steel and masonite. In bioassay arenas, population reductions caused by noviflumuron were significantly greater than Archer and the untreated populations. After 16 wk, populations exposed to 0.05, 0.1, and 0.2% noviflumuron were reduced by 51.9 +/- 19.8, 62.2 +/- 6.5, and 62.6 +/- 18.4%, respectively. Control cockroach populations and populations exposed to 1.3% pyriproxyfen at labeled rate (Archer, 0.61 g/m2) increased by 1286.3 +/- 125.1 and 937.2 +/- 137.1%, respectively, at the end of 16 wk. A field study in multifamily housing complexes showed noviflumuron (0.2 and 0.5%) to provide 73.3 +/- 8.0 and 90.6 +/- 3.6% trap catch reduction at 4 wk posttreatment, respectively. There were no significant differences in the performance of noviflumuron, Maxforce FC Roach Bait Stations (0.05% [AI] fipronil), and Avert dust bait (0.05% [AI] abamectin B1). Noviflumuron shows excellent potential for use in cockroach management programs.  KEYWORDS:  MeSH Chemical: Benzamides| Hydrocarbons, Fluorinated| Insecticides| Pesticide Residues| noviflumuron MeSH: | Animals| Benzamides/majr/administration &amp; dosage| Blattellidae/majr| Hydrocarbons, Fluorinated/majr/administration &amp; dosage| Insect Control/methods| Insecticides/majr/administration &amp; dosage| Pesticide Residues| Population Density</t>
  </si>
  <si>
    <t>Ameen A, Wang C, Kaakeh W, Bennett GW, King JE, Karr LL, Xie J</t>
  </si>
  <si>
    <t>899-905</t>
  </si>
  <si>
    <t>Integration of insect parasitic nematodes (Rhabditida steinernematidae) with insecticides for control of pest mole crickets (Orthoptera: Gryllotalpidae: Scapteriscus spp.).</t>
  </si>
  <si>
    <t>Integration of insect parasitic nematodes (Rhabditida steinernematidae) with insecticides for control of pest mole crickets (Orthoptera: Gryllotalpidae: Scapteriscus spp.).    ABSTRACT:  To develop a successful integrated pest management program for pest mole crickets (Orthoptera: Gryllotalpidae: Scapteriscus spp.), it is important to ascertain the compatibility of infective juveniles of insect parasitic nematodes and chemical insecticides. Aqueous solutions of five pesticides (acephate, bifenthrin, deltamethrin, fipronil, and imidacloprid) used in turfgrass to control mole crickets were tested for compatibility with Steinernema scapterisci Nguyen &amp; Smart (Rhabditida: Steinernematidae) in the laboratory. Survival of S. scapterisci was &gt;95% in solutions of acephate, bifenthrin, and imidacloprid. Infectivity of S. scapterisci in adult Scapteriscus vicinus Scudder was &gt;60% in acephate and bifenthrin; however, infectivity was &lt;40% in imidacloprid. The entomopathogenic nematode was compatible with most insecticides tested without significantly reduced survival or infectivity.  KEYWORDS:  MeSH Chemical: Insecticides| Solutions MeSH: | Animals| Gryllidae/majr/parasitology| Insect Control/majr/methods| Insecticides/majr/administration &amp; dosage| Pest Control, Biological/majr/methods| Rhabditida/majr/drug effects| Solutions</t>
  </si>
  <si>
    <t>Barbara KA, Buss EA</t>
  </si>
  <si>
    <t>689-93</t>
  </si>
  <si>
    <t>Transient alterations in neuronal and behavioral activity following bensultap and fipronil treatment in rats.</t>
  </si>
  <si>
    <t>Transient alterations in neuronal and behavioral activity following bensultap and fipronil treatment in rats.    ABSTRACT:  In the present multilevel study, neuromodulatory effect of two insecticides, bensultap and fipronil were investigated in rats. Although the new generation of insecticides shows greater affinity to invertebrate as compared to mammalian receptors, toxic effect of these compounds in vertebrates cannot be excluded. The aim of the study was to follow the course of neuronal changes in rats for 1 week after a high-dose insecticide exposure. Alterations in synaptic excitability, in sleep-wake pattern and in behavior were analyzed using conventional in vitro brain slice method, long-lasting EEG recordings, and open-field tests. The two chemicals examined in this study induced only weak and transient effects. Bensultap, acting on nicotinic acetylcholine receptors, caused a transient decrease in neuronal excitability. Sleep and behavioral changes demonstrated a similar time course. Fipronil, on the other hand, increased excitability and its effect lasted slightly longer. All effects were greatest on the first day following 'poisoning', and measured variables usually returned to normal within a week. These results suggest that the studied compounds do have some effects on the mammalian nervous system, but this effect is usually mild and temporary.  KEYWORDS:  MeSH Chemical: Benzenesulfonates| Insecticides| Pyrazoles| bensultap| fipronil MeSH: | Animals| Behavior, Animal/majr/drug effects| Benzenesulfonates/majr/toxicity| Brain/majr/drug effects/pathology| Electric Stimulation| Electroencephalography| Evoked Potentials/drug effects| Female| Insecticides/majr/toxicity| Long-Term Potentiation/drug effects| Male| Neurons/majr/drug effects| Pyrazoles/majr/toxicity| Rats| Rats, Sprague-Dawley| Sleep Stages/drug effects</t>
  </si>
  <si>
    <t>Szegedi V, Bárdos G, Détári L, Tóth A, Banczerowski-Pelyhe I, Világi I</t>
  </si>
  <si>
    <t>67-76</t>
  </si>
  <si>
    <t>Efficacy of fipronil in the treatment of pediculosis in laboratory rats.</t>
  </si>
  <si>
    <t>Efficacy of fipronil in the treatment of pediculosis in laboratory rats.    ABSTRACT:  As parasitized rodents are not desirable experimental objects, it is important to maintain parasite-free laboratory rodent colonies. Faced with the task of eliminating pediculosis from a conventional laboratory rat colony whose individuals were intended to be used in scientific research, a drug treatment was needed which did not, or minimally, interfere with experimental results. Fipronil, a GABA(A) antagonist, is an effective drug against lice, fleas and mites currently used in domestic species. Fipronil is not absorbed, has a wide safety margin and is topically applied. The aim of this study was to treat an infected colony with Frontline Spray (0.25%-w/v-fipronil) in order to evaluate its efficacy against lice. Rats were sprayed with Frontline only once. Special procedures to prevent cross-contamination between cages were not used. Neither lice nor nits were found during any post-treatment examination. In addition, no complications were reported by any researcher after using the treated rats in their experiments. The results of this study demonstrate that fipronil in topical formulations is effective for treatment and control of sucking and biting lice infestations on laboratory rats.  KEYWORDS:  MeSH Chemical: Pyrazoles| fipronil MeSH: | Administration, Topical| Animals| Animals, Laboratory/majr| Drug Evaluation| Housing, Animal| Lice Infestations/majr/drug therapy| Pyrazoles/majr/administration &amp; dosage/therapeutic use| Rats</t>
  </si>
  <si>
    <t>Diaz SL</t>
  </si>
  <si>
    <t>Laboratory animals</t>
  </si>
  <si>
    <t>331-5</t>
  </si>
  <si>
    <t>Extraction of fipronil and thiobencarb from anaerobic water samples using solid-phase extraction.</t>
  </si>
  <si>
    <t>Extraction of fipronil and thiobencarb from anaerobic water samples using solid-phase extraction.    ABSTRACT:  Anaerobic water samples containing levels of soluble Fe(II) may form insoluble Fe(III) particulates that could hinder subsequent extraction and analysis. Solid-phase extraction (SPE) cartridges could become blocked by this material, reducing the volume that can be processed. The ability of ascorbic acid to reduce these Fe(III) colloids and/or to prevent further oxidation of Fe(II) by dissolved oxygen during sampling was investigated and compared to sample stabilization with hydrochloric acid. Ascorbic acid (5%, w/v) proved the most effective treatment because it prevented 95% of the dissolved iron in the sample from precipitating during processing, compared to 40% in untreated samples. The effect of ascorbic acid addition on degradation of 2 rice pesticides, fipronil and thiobencarb, was investigated and compared to degradation rates in water. Pesticide reduction by ascorbic acid over a 3 h period was insignificant compared to the natural degradation occurring in deionized water. While this method was shown to increase sample processing time, it also allowed the processing of large-volume anaerobic water samples (150 mL) that were previously not extractable due to rapid obstruction of the SPE cartridge.  KEYWORDS:  MeSH Chemical: Colloids| Herbicides| Insecticides| Pesticide Residues| Pesticides| Pyrazoles| Thiocarbamates| Water Pollutants, Chemical| Water| benthiocarb| Iron| Ascorbic Acid| fipronil| Hydrochloric Acid| Oxygen MeSH: | Ascorbic Acid/analysis| Chromatography, Gas| Colloids| Dose-Response Relationship, Drug| Herbicides/analysis| Hydrochloric Acid/analysis/chemistry| Insecticides/analysis| Iron/analysis| Oxygen/analysis/chemistry| Pesticide Residues/analysis| Pesticides/analysis| Pyrazoles/majr/analysis| Thiocarbamates/majr/analysis| Time Factors| Water/majr/analysis| Water Pollutants, Chemical/majr</t>
  </si>
  <si>
    <t>Doran G, Helliwell S, Eberbach P</t>
  </si>
  <si>
    <t>854-9</t>
  </si>
  <si>
    <t>Toxicity and hazard assessment of fipronil to Daphnia pulex.</t>
  </si>
  <si>
    <t>Stark JD, Vargas RI</t>
  </si>
  <si>
    <t>Efficacy of a combination of imidacloprid 10%/permethrin 50% versus fipronil 10%/(S)-methoprene 12%, against ticks in naturally infected dogs.</t>
  </si>
  <si>
    <t>Otranto D, Lia RP, Cantacessi C, Galli G, Paradies P, Mallia E, Capelli G</t>
  </si>
  <si>
    <t>130</t>
  </si>
  <si>
    <t>293-304</t>
  </si>
  <si>
    <t>Valuation of efficacy and nonrepellency of indoxacarb and fipronil-treated soil at various concentrations and thicknesses against two subterranean termites (Isoptera: Rhinotermitidae).</t>
  </si>
  <si>
    <t>Hu XP</t>
  </si>
  <si>
    <t>509-17</t>
  </si>
  <si>
    <t>Effects of interspecific competition between two urban ant species, Linepithema humile and Monomorium minimum, on toxic bait performance.</t>
  </si>
  <si>
    <t>Effects of interspecific competition between two urban ant species, Linepithema humile and Monomorium minimum, on toxic bait performance.    ABSTRACT:  We evaluated the effects of interspecific competition on ant bait performance with two urban pest ants, the Argentine ant, Linepithema humile (Mayr), and the little black ant, Monomorium minimum (Buckley). In a laboratory study, the impact of a solid sulfluramid bait on M. minimum was diminished when L. humile were present, whereas the presence of M. minimum reduced the performance of a liquid fipronil bait against L. humile. Argentine ants were not adversely affected by sulfluramid bait at any time, whereas M. minimum was unaffected by fipronil bait until 14 d of exposure. In field studies measuring diel foraging activity, M. minimum seemed to delay L. humile foraging to food stations by approximately 30 min during summer 2001. However, L. humile subsequently recruited to food stations in very high numbers, thereby displacing M. minimum. L. humile visited food stations over an entire 24-h period, whereas M. minimum was only observed visiting food stations during daylight hours. Adjusting the timing of bait placement in the field may minimize any negative effects of interspecific competition between these two species on toxic bait performance.  KEYWORDS:  MeSH Chemical: Insecticides| Pheromones| insect attractants MeSH: | Animals| Ants/majr/physiology| Behavior, Animal/majr| Competitive Behavior| Insecticides/majr| Pheromones/majr</t>
  </si>
  <si>
    <t>Alder P, Silverman J</t>
  </si>
  <si>
    <t>493-501</t>
  </si>
  <si>
    <t>Efficacy of simulated barrier treatments against laboratory colonies of Pharaoh ant.</t>
  </si>
  <si>
    <t>Buczkowski G, Scharf ME, Ratliff CR, Bennett GW</t>
  </si>
  <si>
    <t>485-92</t>
  </si>
  <si>
    <t>[Joint acute toxicity of fipronil and bata-cypermethrin to protozoa community].</t>
  </si>
  <si>
    <t>[Joint acute toxicity of fipronil and bata-cypermethrin to protozoa community].    ABSTRACT:  Compared with the toxicity test on single organism, the effects of toxic pollutants on organisms at community level are more reliable. The acute single and joint toxic effects of Fipronil and Bata-cypermethrin on freshwater protozoa community are studied in this paper. The results show that the 48h-LC50 of Fipronil and Bata-cypermethrin to the microbial community was 35.83mg x L(- 1), 1.92mg x L(-1), the joint toxicity of Bata-cypermethrin and Fipronil was antagonism in 48h with toxicity 1: 1 to freshwater protozoa community, and Additive Index was -0.08. The structure of protozoa community would change in a low concentration of Bata-cypermethrin and Fipronil mixture; the species and population of Algivores(A) and Predators Raptors (P) would reduce but Bactivoresdetrivores(B) would become predominant relatively.  KEYWORDS:  MeSH Chemical: Insecticides| Pyrazoles| Pyrethrins| cypermethrin| fipronil MeSH: | Animals| Eukaryota/majr/drug effects| Insecticides/majr/toxicity| Population Dynamics| Pyrazoles/majr/toxicity| Pyrethrins/majr/toxicity| Toxicity Tests, Acute/methods</t>
  </si>
  <si>
    <t>Liu GG, Xu HJ, Wang LX, Zheng LQ</t>
  </si>
  <si>
    <t>185-9</t>
  </si>
  <si>
    <t>Efficacy of fipronil in the treatment of feline cheyletiellosis.</t>
  </si>
  <si>
    <t>Scarampella F, Pollmeier M, Visser M, Boeckh A, Jeannin P</t>
  </si>
  <si>
    <t>129</t>
  </si>
  <si>
    <t>333-9</t>
  </si>
  <si>
    <t>Advances in the control of Ctenocephalides felis (cat flea) on cats and dogs.</t>
  </si>
  <si>
    <t>Advances in the control of Ctenocephalides felis (cat flea) on cats and dogs.    ABSTRACT:  Cat fleas are the most important ectoparasite of cats and dogs worldwide. During the past ten years, topical and oral applications of insecticides such as fipronil, imidacloprid, lufenuron and, most recently, selamectin have revolutionized cat-flea control. Recent studies show that these therapies eliminate the need to treat indoor and outdoor environments, and their use markedly reduces the severity and prevalence of flea allergic dermatitis. Surveys have yet to reveal the development of insecticide resistance to these chemical compounds. Extending the longevity of these effective host-targeted therapies should be a major goal of the veterinary community.  KEYWORDS:  MeSH Chemical: Insecticides MeSH: | Animals| Cat Diseases/majr/drug therapy/parasitology| Cats| Dog Diseases/majr/drug therapy/parasitology| Dogs| Drug Resistance| Ectoparasitic Infestations/majr/drug therapy/parasitology/veterinary| Female| Insect Control/methods| Insecticides/majr/therapeutic use| Male| Siphonaptera/majr| Treatment Outcome</t>
  </si>
  <si>
    <t>Trends in parasitology</t>
  </si>
  <si>
    <t>232-6</t>
  </si>
  <si>
    <t>Australian tick paralysis in a dog imported into the UK.</t>
  </si>
  <si>
    <t>Australian tick paralysis in a dog imported into the UK.    ABSTRACT:  NOABSTRACT. No abstract found.  KEYWORDS:  MeSH Chemical: Insecticides| Pyrazoles| fipronil MeSH: | Animals| Australia| Dog Diseases/majr/diagnosis/drug therapy| Dogs| Insecticides/therapeutic use| Pyrazoles/therapeutic use| Tick Paralysis/majr/diagnosis/drug therapy/veterinary| United Kingdom</t>
  </si>
  <si>
    <t>Adamantos S, Boag A, Church D</t>
  </si>
  <si>
    <t>327</t>
  </si>
  <si>
    <t>Comparative sublethal toxicity of nine pesticides on olfactory learning performances of the honeybee Apis mellifera.</t>
  </si>
  <si>
    <t>Comparative sublethal toxicity of nine pesticides on olfactory learning performances of the honeybee Apis mellifera.    ABSTRACT:  Using a conditioned proboscis extension response (PER) assay, honeybees (Apis mellifera L.) can be trained to associate an odor stimulus with a sucrose reward. Previous studies have shown that observations of conditioned PER were of interest for assessing the behavioral effects of pesticides on the honeybee. In the present study, the effects of sublethal concentrations of nine pesticides on learning performances of worker bees subjected to the PER assay were estimated and compared. Pesticides were tested at three concentrations. The highest concentration of each pesticide corresponded to the median lethal dose value (48-h oral LD50), received per bee and per day, divided by 20. Reduced learning performances were observed for bees surviving treatment with fipronil, deltamethrin, endosulfan, and prochloraz. A lack of behavioral effects after treatment with lambda-cyalothrin, cypermethrin, tau-fluvalinate, triazamate, and dimethoate was recorded. No-observed-effect concentrations (NOECs) for the conditioned PER were derived for the studied pesticides. Our study shows that the PER assay can be used for estimating sublethal effects of pesticides on bees. Furthermore, comparisons of sensitivity as well as the estimation of NOECs, useful for regulatory purposes, are possible.  KEYWORDS:  MeSH Chemical: Pesticides MeSH: | Animals| Bees/majr| Behavior, Animal| Discrimination Learning/majr| Dose-Response Relationship, Drug| Male| No-Observed-Adverse-Effect Level| Pesticides/majr/toxicity| Smell/majr</t>
  </si>
  <si>
    <t>Decourtye A, Devillers J, Genecque E, Le Menach K, Budzinski H, Cluzeau S, Pham-Delègue MH</t>
  </si>
  <si>
    <t>242-50</t>
  </si>
  <si>
    <t>Resistance to fipronil in Drosophila simulans: influence of two point mutations in the RDL GABA receptor subunit.</t>
  </si>
  <si>
    <t>Le Goff G, Hamon A, Bergé JB, Amichot M</t>
  </si>
  <si>
    <t>1295-305</t>
  </si>
  <si>
    <t>Inheritance of resistance and cross-resistance to deltamethrin in Plutella xylostella (Lepidoptera: Plutellidae) from Pakistan.</t>
  </si>
  <si>
    <t>Inheritance of resistance and cross-resistance to deltamethrin in Plutella xylostella (Lepidoptera: Plutellidae) from Pakistan.    ABSTRACT:  A field population of Plutella xylostella (L) from Pakistan was found to be highly resistant to deltamethrin (&gt;500-fold) but had little or no resistance to spinosad, fipronil, indoxacarb, abamectin, Bacillus thuringiensis (Bt) var kurstaki, Bt var aizawai or Cry1Ac when compared with a susceptible laboratory population, Lab-UK. A sub-population was selected for six generations (laboratory G3-G8) with deltamethrin (delta-SEL), while a second sub-population was left unselected (UNSEL). Bioassays at G9 found that selection with deltamethrin gave resistance ratios of &gt;230 compared with UNSEL (&gt;6730 compared with Lab-UK). The delta-selected population showed no apparent cross-resistance to spinosad, fipronil or indoxacarb. Logit regression analysis of F1 reciprocal crosses between delta-SEL and Lab-UK indicated that resistance to deltamethrin in the delta-SEL population was inherited as an autosomal, incompletely dominant (D(LC) = 0.67) trait. A direct test of monogenic inheritance based on a back-cross of F1 progeny with delta-SEL suggested that resistance to deltamethrin was controlled by more than one factor.Copyright 2005 Society of Chemical Industry  KEYWORDS:  MeSH Chemical: Bacillus thuringiensis Toxins| Bacterial Proteins| Bacterial Toxins| Drug Combinations| Endotoxins| Hemolysin Proteins| Insecticides| Macrolides| Nitriles| Oxazines| Pyrazoles| Pyrethrins| insecticidal crystal protein, Bacillus Thuringiensis| decamethrin| indoxacarb| abamectin| Ivermectin| fipronil| spinosad MeSH: | Animals| Bacillus thuringiensis| Bacillus thuringiensis Toxins| Bacterial Proteins| Bacterial Toxins| Drug Combinations| Endotoxins| Hemolysin Proteins| Insecticide Resistance/majr/genetics| Insecticides/majr| Ivermectin/analogs &amp; derivatives| Lepidoptera/majr/genetics| Lethal Dose 50| Macrolides| Nitriles/majr| Oxazines| Pakistan| Pyrazoles| Pyrethrins/majr</t>
  </si>
  <si>
    <t>Sayyed AH, Attique MN, Khaliq A, Wright DJ</t>
  </si>
  <si>
    <t>636-42</t>
  </si>
  <si>
    <t>Sulfone metabolite of fipronil blocks gamma-aminobutyric acid- and glutamate-activated chloride channels in mammalian and insect neurons.</t>
  </si>
  <si>
    <t>Zhao X, Yeh JZ, Salgado VL, Narahashi T</t>
  </si>
  <si>
    <t>The Journal of pharmacology and experimental therapeutics</t>
  </si>
  <si>
    <t>363-73</t>
  </si>
  <si>
    <t>Behavioral and physiological resistance of the German cockroach to gel baits (Blattodea: Blattellidae).</t>
  </si>
  <si>
    <t>Behavioral and physiological resistance of the German cockroach to gel baits (Blattodea: Blattellidae).    ABSTRACT:  A gel bait-resistant German cockroach, Blattella germanica (L.), strain Cincy was collected in Cincinnati, OH. This strain exhibited a high level of behavioral resistance to Avert (0.05% abamectin) and Maxforce FC (0.01% fipronil) gel baits. Topical application assays indicated moderate levels of physiological resistance of the Cincy strain to abamectin and fipronil. Resistance ratios (based on LD50 values from topical applications) to abamectin and fipronil were 2.5 and 8.7, respectively. The Cincy strain of had a significantly lower LD50 value to abamectin than a nonaverse field strain (Dorie) and similar LD50 values to fipronil as the Dorie strain. The aversion behavior (avoidance of gel baits) was therefore caused by food ingredients in the gel baits. The Cincy strain showed avoidance of agar containing fructose, glucose, maltose, and sucrose, which are phagostimulants to the laboratory strain. Modifications of the inert ingredients in the Maxforce FC gel bait significantly improved the efficacy against the Cincy strain. The Cincy strain produced significantly smaller oothecae and lower numbers of eggs in each egg capsule than the nonaverse Jwax and Dorie strains of cockroaches, suggesting fitness costs are associated with resistance.  KEYWORDS:  MeSH Chemical: Carbohydrates| Gels| Pheromones| Pyrazoles| insect attractants| abamectin| Ivermectin| fipronil MeSH: | Animals| Behavior, Animal| Blattellidae/majr/physiology| Carbohydrates| Food Preferences| Gels| Insecticide Resistance/majr| Ivermectin/majr/analogs &amp; derivatives| Pheromones/majr| Pyrazoles</t>
  </si>
  <si>
    <t>2067-72</t>
  </si>
  <si>
    <t>Effects of synergists on toxicity of six insecticides in parasitoid Diaeretiella rapae (Hymenoptera: Aphidiidae).</t>
  </si>
  <si>
    <t>Wu G, Jiang S, Miyata T</t>
  </si>
  <si>
    <t>2057-66</t>
  </si>
  <si>
    <t>Fipronil resistance in the diamondback moth (Lepidoptera: Plutellidae): inheritance and number of genes involved.</t>
  </si>
  <si>
    <t>2043-50</t>
  </si>
  <si>
    <t>Effect of delayed toxicity of chemical barriers to control Argentine ants (Hymenoptera: Formicidae).</t>
  </si>
  <si>
    <t>Effect of delayed toxicity of chemical barriers to control Argentine ants (Hymenoptera: Formicidae).    ABSTRACT:  Brief exposures of Argentine ants to four different insecticide treatments, bifenthrin, beta-cyfluthrin, bifenthrin + beta-cyfluthrin, and fipronil, were conducted to determine Kaplan-Meier product limit survivorship percentiles (SPs) at 21-23 and 27-29 degrees C. Bifenthrin, beta-cyfluthrin, and bifenthrin + beta-cyfluthrin provided rapid kill at 21-23 degrees C with SP10 values ranging from 11.2 to 33.7 min. Fipronil provided delayed toxicity at 21-23 degrees C with SP10 values ranging from 270 to 960 min. At 27-29 degrees C, all of the SP10 values significantly decreased. Field tests in which Argentine ants were induced to forage across insecticide-treated surfaces were used to determine the effect that speed of action has on foraging and recruitment ability, and whether these insecticides are repellent. The slower-acting fipronil allowed a greater amount of foraging and consequently a greater fraction of the colony to be exposed, whereas fast-acting bifenthrin, beta-cyfluthrin, and bifenthrin + beta-cyfluthrin inhibited recruitment, resulting in fewer ants being exposed and killed. Implications for controlling ants by using perimeter barrier treatments are discussed.  KEYWORDS:  MeSH Chemical: Insect Repellents| Insecticides| Nitriles| Pyrazoles| Pyrethrins| bifenthrin| fipronil| cyfluthrin MeSH: | Animals| Ants/majr| Insect Control/majr/methods| Insect Repellents| Insecticides/majr/administration &amp; dosage| Nitriles| Pyrazoles/administration &amp; dosage| Pyrethrins/administration &amp; dosage| Time Factors</t>
  </si>
  <si>
    <t>Soeprono AM, Rust MK</t>
  </si>
  <si>
    <t>2021-8</t>
  </si>
  <si>
    <t>Evaluation of traps and toxicants in an attract-and-kill system for Rhagoletis mendax (Diptera: Tephritidae).</t>
  </si>
  <si>
    <t>Evaluation of traps and toxicants in an attract-and-kill system for Rhagoletis mendax (Diptera: Tephritidae).    ABSTRACT:  A series of laboratory and field assays were performed to evaluate new methods for an attract-and-kill approach to control blueberry maggot, Rhagoletis mendax Curran. In laboratory assays, fly mortality was similar among insecticide-treated matted paper, plastic, and biodegradable sphere traps. Plastic and biodegradable traps baited with ammonium acetate captured significantly more flies than baited matted paper traps in field assays, whereas fly captures were similar in baited matted paper traps and unbaited plastic sphere traps. Treatments containing imidacloprid resulted in the highest amount of fly knockdown, and spheres coated with this insecticide still had significant knockdown after 6 wk of field exposure. Fly mortality was comparable on sphere traps coated with fipronil and imidacloprid, with both resulting in significantly more fly mortality than the control when flies were exposed to traps that had been weathered for 4 wk in the field. Spheres coated with acetamiprid resulted in fly mortality, but further evaluation is necessary to determine the potential of this compound. Deltamethrin was ineffective in causing fly knockdown at the rate tested. Our results indicate that fipronil and imidacloprid have potential as insecticidal coatings on either plastic or biodegradable spheres in an attract-and-kill system for control of R. mendax.  KEYWORDS:  MeSH Chemical: Acetates| Imidazoles| Insecticides| Neonicotinoids| Nitro Compounds| Pheromones| insect attractants| imidacloprid| ammonium acetate MeSH: | Acetates| Animals| Imidazoles| Insect Control/majr/instrumentation/methods| Insecticides/majr| Neonicotinoids| Nitro Compounds| Pheromones/majr| Tephritidae/majr</t>
  </si>
  <si>
    <t>Barry JD, Polavarapu S, Teixeira LA</t>
  </si>
  <si>
    <t>2006-14</t>
  </si>
  <si>
    <t>Acute human self-poisoning with the N-phenylpyrazole insecticide fipronil--a GABAA-gated chloride channel blocker.</t>
  </si>
  <si>
    <t>Mohamed F, Senarathna L, Percy A, Abeyewardene M, Eaglesham G, Cheng R, Azher S, Hittarage A, Dissanayake W, Sheriff MH, Davies W, Buckley NA, Eddleston M</t>
  </si>
  <si>
    <t>Journal of toxicology. Clinical toxicology</t>
  </si>
  <si>
    <t>955-63</t>
  </si>
  <si>
    <t>Control of immature Ixodes scapularis (Acari: Ixodidae) on rodent reservoirs of Borrelia burgdorferi in a residential community of southeastern Connecticut.</t>
  </si>
  <si>
    <t>Control of immature Ixodes scapularis (Acari: Ixodidae) on rodent reservoirs of Borrelia burgdorferi in a residential community of southeastern Connecticut.    ABSTRACT:  A 3-yr community-based study was conducted on residential properties on Mason's Island, Mystic, CT, to determine the efficacy of a rodent-targeted acaricide (fipronil) to control immature Ixodes scapularis (Say) on Peromyscus leucopus. Results indicated that modified commercial bait boxes were effective as an acaricide delivery method for reducing nymphal and larval tick infestations on white-footed mice by 68 and 84%, respectively. Passive application of fipronil significantly reduced the infection rate of Borrelia burgdorferi among white-footed mice by 53%. Moreover, the abundance of questing I. scapularis adults on treated properties was reduced by 77% and fewer were infected with spirochetes (31%) compared with untreated sites (47%) after 3 yr of treatment. Likewise, the abundance of host-seeking nymphs was significantly reduced on treated properties by &gt;50%. Finally, infection rates in flagged nymphal ticks for both B. burgdorferi and Anaplasma phagocytophilum were reduced by 67 and 64%, respectively, after only 2 yr of treatment. Results from this 3-yr trial indicate that the use of fipronil passively applied to reservoir animals by bait boxes is an environmentally acceptable means to control ticks, interrupt the natural disease transmission cycle, and reduce the risk of Lyme disease for residents of treated properties.  KEYWORDS:  MeSH Chemical: Insecticides| Pyrazoles| fipronil MeSH: | Animals| Borrelia burgdorferi/majr/isolation &amp; purification| Connecticut| Disease Reservoirs| Humans| Insecticides| Ixodes/majr/growth &amp; development/microbiology| Mice/parasitology| Pyrazoles| Rodentia/majr/parasitology| Tick Control</t>
  </si>
  <si>
    <t>Dolan MC, Maupin GO, Schneider BS, Denatale C, Hamon N, Cole C, Zeidner NS, Stafford KC</t>
  </si>
  <si>
    <t>1043-54</t>
  </si>
  <si>
    <t>An in vitro larval immersion microassay for identifying and characterizing candidate acaricides.</t>
  </si>
  <si>
    <t>An in vitro larval immersion microassay for identifying and characterizing candidate acaricides.    ABSTRACT:  We have optimized a larval immersion microassay (LIM) that offers superior sensitivity, flexibility to accommodate multiple formulations, and a robust capability for rapidly screening many compounds with a minimal requirement of test article for evaluation. Dose-response studies were conducted for representative members from the organophosphate, pyrethroid, pyrazole, carbamate, macrocyclic lactone, and formamidine chemistries against Amblyomma americanum (L.). Time-response experiments revealed that permethrin was the most rapid acting, whereas fipronil had the slowest speed-of-kill against A. americanum. Comparison of drug susceptibility profiles between multiple ixodid ticks suggests that A. americanum is an effective model for predicting compound potency against Boophilus spp. in this bioassay. The LIM is suitable for the identification and characterization of active molecules from small- and medium-sized compound or natural product libraries, and it can be a useful tool to prioritize molecules for further in vivo testing in animal models.  KEYWORDS:  MeSH Chemical: Insecticides| Pyrazoles| Permethrin| Chlorpyrifos| fipronil MeSH: | Animals| Biological Assay/methods| Chlorpyrifos| Insect Control/majr/methods| Insecticides/majr/classification/toxicity| Larva/drug effects| Permethrin| Pyrazoles| Ticks/majr/growth &amp; development</t>
  </si>
  <si>
    <t>White WH, Plummer PR, Kemper CJ, Miller RJ, Davey RB, Kemp DH, Hughes S, Smith CK, Gutierrez JA</t>
  </si>
  <si>
    <t>1034-42</t>
  </si>
  <si>
    <t>Population consequences of fipronil and degradates to copepods at field concentrations: an integration of life cycle testing with leslie matrix population modeling.</t>
  </si>
  <si>
    <t>Chandler GT, Cary TL, Bejarano AC, Pender J, Ferry JL</t>
  </si>
  <si>
    <t>6407-14</t>
  </si>
  <si>
    <t>Evaluation of selective toxicity of five pesticides against Plutella xylostella (Lep: Plutellidae) and their side-effects against Cotesia plutellae (Hym: Braconidae) and Oomyzus sokolowskii (Hym: Eulophidae).</t>
  </si>
  <si>
    <t>Shi ZH, Guo SJ, Lin WC, Liu SS</t>
  </si>
  <si>
    <t>1213-9</t>
  </si>
  <si>
    <t>Identification of the Rdl mutation in laboratory and field strains of the cat flea, Ctenocephalides felis (Siphonaptera: Pulicidae).</t>
  </si>
  <si>
    <t>Identification of the Rdl mutation in laboratory and field strains of the cat flea, Ctenocephalides felis (Siphonaptera: Pulicidae).    ABSTRACT:  In many insect species, resistance to cyclodiene insecticides is caused by amino acid substitutions at a single residue (A302) within the M2 transmembrane region of the gamma-aminobutyric acid (GABA) receptor sub-unit termed Rdl (resistance to dieldrin). These mutations (A302S and A302G) have also been shown to confer varying levels of cross-resistance to fipronil, a phenylpyrazole insecticide with a similar mode of action to cyclodienes. To investigate the possible occurrence of these mutations in the cat flea, Ctenocephalides felis (Bouché), a 176-bp fragment of the cat flea Rdl gene, encompassing the mutation site, was PCR amplified and sequenced from nine laboratory flea strains. The A302S mutation was found in eight of the nine strains analysed, although the relative frequency of the mutant allele varied between strains. Only one strain (R6) was found to be homozygous for the S302 allele in all the individuals tested, and this correlated with previous reports of low-level fipronil resistance in this strain. A PCR-based diagnostic assay, capable of screening individual fleas for this mutation, was developed and used to survey a range of fleas collected at random from veterinary clinics in the UK and USA. The A302S mutation was present at a high frequency in these domestic pet populations.2004 Society of Chemical Industry.  KEYWORDS:  MeSH Chemical: Insect Proteins MeSH: | Alleles| Amino Acid Sequence| Animals| Base Sequence| Cloning, Molecular| Insect Proteins/genetics| Insecticide Resistance/majr/genetics| Molecular Sequence Data| Mutation| Polymerase Chain Reaction| Sequence Alignment| Siphonaptera/majr/genetics</t>
  </si>
  <si>
    <t>Bass C, Schroeder I, Turberg A, Field LM, Williamson MS</t>
  </si>
  <si>
    <t>1157-62</t>
  </si>
  <si>
    <t>Effect of horizontal transfer of barrier insecticides to control Argentine ants (Hymenoptera: Formicidae).</t>
  </si>
  <si>
    <t>Effect of horizontal transfer of barrier insecticides to control Argentine ants (Hymenoptera: Formicidae).    ABSTRACT:  Horizontal transfer of three contact insecticides, bifenthrin, beta-cyfluthrin, and fipronil, was tested in laboratory colonies. Donor ants were exposed for 1 min to insecticide-treated sand substrates and placed with unexposed ant colonies at two different temperatures. Mortality was monitored to compare the ability of donors to transfer lethal doses of these insecticides to untreated individuals. Treated donor insects, live or dead, were added into colonies to determine the importance of donor behavior on lethal transfer. Fipronil was readily transferable between individuals, resulting in high mortality rates. Bifenthrin and beta-cyfluthrin were less transferable, exhibiting moderate-to-low mortality rates similar to the controls. Greater mortality occurred at 27-29 degrees C than at 21-23 degrees C for bifenthrin, but not the other treatments or controls. Colony mortality did not significantly increase when adding live donors, suggesting that necrophoresis was probably an important donor behavior in addition to grooming and trophallaxis on horizontal transfer.  KEYWORDS:  MeSH Chemical: Insecticides| Nitriles| Pyrazoles| Pyrethrins| bifenthrin| fipronil| cyfluthrin MeSH: | Animals| Ants/majr| Insect Control/methods| Insecticides/majr| Nitriles| Pyrazoles/majr| Pyrethrins/majr</t>
  </si>
  <si>
    <t>1675-81</t>
  </si>
  <si>
    <t>[Frontline contra-indicated in the rabbit].</t>
  </si>
  <si>
    <t>[Frontline contra-indicated in the rabbit].    ABSTRACT:  NOABSTRACT. No abstract found.  KEYWORDS:  MeSH Chemical: Aerosols| Antiparasitic Agents| Pyrazoles| fipronil MeSH: | Aerosols| Animals| Antiparasitic Agents/majr/therapeutic use| Contraindications| Ectoparasitic Infestations/majr/drug therapy/prevention &amp; control/veterinary| Pyrazoles/majr/therapeutic use| Rabbits/majr/parasitology| Safety Management</t>
  </si>
  <si>
    <t>Peerboom D, Lumeij JT</t>
  </si>
  <si>
    <t>671; discussion 672</t>
  </si>
  <si>
    <t>Insecticide resistance in Alabama and Florida mosquito strains of Aedes albopictus.</t>
  </si>
  <si>
    <t>Insecticide resistance in Alabama and Florida mosquito strains of Aedes albopictus.    ABSTRACT:  The susceptibility of four strains of Aedes albopictus (Skuse) to permethrin, deltamethrin, resmethrin, chlorpyrifos, malathion, propoxur, fipronil, imidacloprid, spinosad, and Bacillus thuringiensis variety israelensis (Bti) was determined. The HAmAal and MAmAal strains were collected in 2002 and 2003, respectively, from Huntsville and Mobile, AL, and the VBFmAal and SFmAal strains were collected in 1998 from Vero Beach and southern Florida, respectively. The HAmAal strain showed a 22-fold elevated level of resistance to deltamethrin compared with the susceptible Ikaken laboratory strain, whereas the VBFmAal strain showed a six-fold lower sensitivity to deltamethrin compared with Ikaken. However, comparison of resistance ratios for deltamethrin at LC50 and LC90 (21-fold) and the gradual slopes of dose-response curves indicated that the field population of this mosquito strain was heterogenous in response to deltamethrin. All four mosquito strains showed elevated levels of resistance to chlorpyrifos, with resistance ratios from 10 to 33. Nevertheless, except for the relatively low resistance to deltamethrin and chlorpyrifos, all mosquito strains showed a similar susceptibility or lower tolerance to the remaining insecticides tested compared with the susceptible Ikaken strain, even though some, such as permethrin, resmethrin, malathion, and Bti, have been used in the field for a long time, especially in Alabama. These results indicate that the development of resistance to insecticides in Ae. albopictus is slow and conventional insecticides, such as permethrin, resmethrin, malathion, and Bti, and relatively new insecticides, such as fipronil, imidacloprid, and spinosad, may all be valuable for the management of this important mosquito.  KEYWORDS:  MeSH Chemical: Insecticides MeSH: | Aedes/majr| Animals| Florida| Insecticide Resistance/majr| Insecticides/majr/classification| Parasitic Sensitivity Tests</t>
  </si>
  <si>
    <t>Liu H, Cupp EW, Guo A, Liu N</t>
  </si>
  <si>
    <t>946-52</t>
  </si>
  <si>
    <t>Dynamics of fipronil residue in vegetable-field ecosystem.</t>
  </si>
  <si>
    <t>Dynamics of fipronil residue in vegetable-field ecosystem.    ABSTRACT:  Fipronil insecticide has been widely used to control vegetable pests in China recently. The research was conducted to evaluate the fate of fipronil in vegetable-field ecosystem and provide the scientific basis of using this insecticide. Developed on the analytical methods of fipronil residue and its four metabolisms, the degradation dynamics of their residue in a vegetable and the soil of the vegetable fields was studied. The results showed that (1) degradation of fipronil was faster in pakchoi (half-life 2.6 days) than in soil (half-life 7.3 days); (2) degradation reaction occurred in soil was governed mainly by photodegradation and oxidization accompanying with production of the metabolites, MB46513 and MB46136. Reduction and hydrolyzation played little role in the degradation process. In pakchoi, degradation was mainly contributed by reduction though oxidization and hydrolyzation occurred simultaneously. The metabolite products were MB45950, MB46136 and RPA200766; (3) the final residue in pakchoi was at a level of 0.003 mg kg(-1), which was much lower than the USA's upper limit of 0.04 mg kg(-1) in rice. Therefore, a dosage of 24 g hm(-2) was suggested and considered as safe to human beings and animals.  KEYWORDS:  MeSH Chemical: Insecticides| Pyrazoles| Soil| fipronil MeSH: | Biodegradation, Environmental| China| Chromatography, Gas| Ecosystem/majr| Half-Life| Insecticides/metabolism/pharmacokinetics| Kinetics| Photolysis| Pyrazoles/majr/chemistry/metabolism/pharmacokinetics| Soil/majr/analysis| Vegetables/majr/metabolism</t>
  </si>
  <si>
    <t>Zhou P, Lu Y, Liu B, Gan JJ</t>
  </si>
  <si>
    <t>1691-6</t>
  </si>
  <si>
    <t>[Efficacy of Fipronil in the control of the peridomiciliary cycle of Triatoma infestans in an area resistant to Deltamethrin].</t>
  </si>
  <si>
    <t>[Efficacy of Fipronil in the control of the peridomiciliary cycle of Triatoma infestans in an area resistant to Deltamethrin].    ABSTRACT:  This study tested the efficacy of liquid Fipronil (1.0%) against Triatoma infestans, administered by pouring on birds and mammals both in laboratory and field conditions. In the laboratory a chicken, dog, and goat were treated with Fipronil, after which deltamethrin-resistant stage III T. infestans nymphs were fed on them. The control group used same-stage nymphs reared in laboratory. During the field phase, Fipronil was used to treat 4 dogs, 1 cat, and 2 broody hens. Intradomiciliary infestation was treated using aerothermics. In laboratory, nymphal mortality was 100.0% after 7 days and 88.8% after 30 days. In the field, there was a 65.4% decrease in the triatomine density rate after 30 days.  KEYWORDS:  MeSH Chemical: Insecticides| Nitriles| Pyrazoles| Pyrethrins| decamethrin| fipronil MeSH: | Animals| Cats| Chagas Disease/prevention &amp; control| Chickens| Dogs| Drug Evaluation| Female| Goats| Insect Vectors/majr| Insecticide Resistance| Insecticides/majr| Nitriles/majr| Nymph/drug effects| Pyrazoles/majr| Pyrethrins/majr| Time Factors| Triatoma/majr</t>
  </si>
  <si>
    <t>Gentile AG, Sartini JL, Campo MC, Sánchez JF</t>
  </si>
  <si>
    <t>Cadernos de saude publica</t>
  </si>
  <si>
    <t>1240-8</t>
  </si>
  <si>
    <t>Efficacy of fipronil/(S)-methoprene combination spot-on for dogs against shed eggs, emerging and existing adult cat fleas (Ctenocephalides felis, Bouché).</t>
  </si>
  <si>
    <t>Young DR, Jeannin PC, Boeckh A</t>
  </si>
  <si>
    <t>125</t>
  </si>
  <si>
    <t>397-407</t>
  </si>
  <si>
    <t>Evaluation of the prophylactic effect and curative efficacy of fipronil 1% pour on (Topline) on post-castration scrotal myiasis caused by Cochliomyia hominivorax in cattle.</t>
  </si>
  <si>
    <t>Lima WS, Malacco MA, Bordin EL, Oliveira EL</t>
  </si>
  <si>
    <t>373-7</t>
  </si>
  <si>
    <t>Kinetic and pharmacological characterization of desensitizing and non-desensitizing glutamate-gated chloride channels in cockroach neurons.</t>
  </si>
  <si>
    <t>Zhao X, Salgado VL, Yeh JZ, Narahashi T</t>
  </si>
  <si>
    <t>967-80</t>
  </si>
  <si>
    <t>A method to quantify and analyze the foraging activity of honey bees: relevance to the sublethal effects induced by systemic insecticides.</t>
  </si>
  <si>
    <t>Colin ME, Bonmatin JM, Moineau I, Gaimon C, Brun S, Vermandere JP</t>
  </si>
  <si>
    <t>387-95</t>
  </si>
  <si>
    <t>Cross-resistance potential of fipronil in Musca domestica.</t>
  </si>
  <si>
    <t>Kristensen M, Jespersen JB, Knorr M</t>
  </si>
  <si>
    <t>894-900</t>
  </si>
  <si>
    <t>Topical flea and tick pesticides and the risk of transitional cell carcinoma of the urinary bladder in Scottish Terriers.</t>
  </si>
  <si>
    <t>Topical flea and tick pesticides and the risk of transitional cell carcinoma of the urinary bladder in Scottish Terriers.    ABSTRACT:  To determine whether use of topical flea and tick products increases the risk of transitional cell carcinoma (TCC) of the urinary bladder in Scottish Terriers.Case-control study.87 adult Scottish Terriers with TCC (cases) and 83 adult Scottish Terriers with other health-related conditions (controls).Owners of study dogs were recruited through private veterinary practices and the Scottish Terrier Club of America. History of exposure to flea and tick products 1 year prior to diagnosis of TCC for case dogs and during a comparable period for control dogs was obtained through a questionnaire. Risk of TCC associated with exposure to flea and tick products was determined by means of univariate and multiple logistic regression analysis.After adjustment for host factors, Scottish Terriers treated with topical spot-on flea and tick products containing fipronil or imidacloprid did not have an increased risk of TCC, compared with Scottish Terriers that had never been exposed to any flea and tick products. The risk of TCC associated with use of older topical flea and tick products such as shampoos, dips, powders, sprays, and collars could not be evaluated because of the low number of owners in the study population that had used such products.Results suggest that use of topical spot-on flea and tick products does not increase the risk of TCC in Scottish Terriers.  KEYWORDS:  MeSH Chemical: Insecticides MeSH: | Administration, Topical| Animals| Carcinoma, Transitional Cell/majr/chemically induced/epidemiology/veterinary| Case-Control Studies| Confidence Intervals| Dog Diseases/majr/chemically induced/epidemiology| Dogs| Environmental Exposure/majr| Female| Insecticides/majr/administration &amp; dosage/adverse effects| Logistic Models| Male| Odds Ratio| Risk Factors| Urinary Bladder Neoplasms/majr/chemically induced/epidemiology/veterinary</t>
  </si>
  <si>
    <t>Raghavan M, Knapp DW, Dawson MH, Bonney PL, Glickman LT</t>
  </si>
  <si>
    <t>225</t>
  </si>
  <si>
    <t>389-94</t>
  </si>
  <si>
    <t>Genetics of spinosad resistance in a multi-resistant field-selected population of Plutella xylostella.</t>
  </si>
  <si>
    <t>Genetics of spinosad resistance in a multi-resistant field-selected population of Plutella xylostella.    ABSTRACT:  Resistance to the bacteria-derived insecticides spinosad (Conserve), abamectin (Vertimec), Bacillus thuringiensis var kurstaki (Btk) (Dipel), B thuringiensis var aizawai (Bta) (Xentari), B thuringiensis crystal endotoxins Cry1Ac and Cry1Ca, and to the synthetic insecticide fipronil was estimated in a freshly-collected field population (CH1 strain) of Plutella xylostella (L) from the Cameron Highlands, Malaysia. Laboratory bioassays at G1 indicated significant levels of resistance to spinosad, abamectin, Cry1Ac, Btk, Cry1Ca, fipronil and Bta when compared with a laboratory insecticide-susceptible population. Logit regression analysis of F1 reciprocal crosses indicated that resistance to spinosad in the CH1 population was inherited as a co-dominant trait. At the highest dose of spinosad tested, resistance was close to completely recessive, while at the lowest dose it was incompletely dominant. A direct test of monogenic inheritance based on a back-cross of F1 progeny with CH1 suggested that resistance to spinosad was controlled by a single locus.  KEYWORDS:  MeSH Chemical: Bacillus thuringiensis Toxins| Bacillus thuringiensis protoxin| Bacterial Proteins| Bacterial Toxins| Drug Combinations| Endotoxins| Hemolysin Proteins| Insecticides| Macrolides| Protein Precursors| Pyrazoles| insecticidal crystal protein, Bacillus Thuringiensis| abamectin| Ivermectin| fipronil| spinosad MeSH: | Animals| Bacillus thuringiensis/growth &amp; development| Bacillus thuringiensis Toxins| Bacterial Proteins/toxicity| Bacterial Toxins/toxicity| Drug Combinations| Endotoxins/toxicity| Genes, Dominant/genetics| Genes, Recessive/genetics| Genetic Complementation Test| Hemolysin Proteins| Insecticide Resistance/genetics| Insecticides/majr/toxicity| Ivermectin/majr/analogs &amp; derivatives/toxicity| Macrolides/majr/toxicity| Moths/majr/drug effects/genetics/metabolism| Protein Precursors/toxicity| Pyrazoles/toxicity</t>
  </si>
  <si>
    <t>Sayyed AH, Omar D, Wright DJ</t>
  </si>
  <si>
    <t>827-32</t>
  </si>
  <si>
    <t>Role of dissolved organic matter, nitrate, and bicarbonate in the photolysis of aqueous fipronil.</t>
  </si>
  <si>
    <t>Role of dissolved organic matter, nitrate, and bicarbonate in the photolysis of aqueous fipronil.    ABSTRACT:  A multivariate kinetic model of aqueous fipronil photodegradation was developed as a function of dissolved organic matter (DOM), bicarbonate, and nitrate at concentrations that bracketthose commonly observed in natural waters (ca. 0-10 mg/L). Several pathways were available for fipronil photodegradation in this system, including direct photolysis and indirect photooxidation by species produced during the illumination of natural waters (e.g., 3NOM*, 1O2*, *OH, *CO3(1-), *OOR, *OOH, e(aq)-, O2(*-)). Product studies indicated thatfipronil was quantitatively converted to fipronil desulfinyl, a product that is associated with direct photolysis alone. DOM was the only variable that affected fipronil degradation; it decreased the rate of fipronil photodegradation primarily through competitive light absorption (i.e., attenuation) and the quenching of fipronil*. The addition of sodium chloride (30 percent per thousand) resulted in a more rapid rate (approximately 20%) of fipronil loss in comparison to equivalent experiments performed without sodium chloride, implying that fipronil may be more photolabile in marine environments.  KEYWORDS:  MeSH Chemical: Bicarbonates| Nitrates| Organic Chemicals| Pyrazoles| Water Pollutants, Chemical| fipronil MeSH: | Bicarbonates/majr/chemistry| Models, Chemical| Nitrates/majr/chemistry| Organic Chemicals/chemistry| Photochemistry| Pyrazoles/majr/analysis/radiation effects| Solubility| Ultraviolet Rays/majr| Water Pollutants, Chemical/majr/analysis/radiation effects</t>
  </si>
  <si>
    <t>Walse SS, Morgan SL, Kong L, Ferry JL</t>
  </si>
  <si>
    <t>3908-15</t>
  </si>
  <si>
    <t>The effects of the contemporary-use insecticide (fipronil) in an estuarine mesocosm.</t>
  </si>
  <si>
    <t>The effects of the contemporary-use insecticide (fipronil) in an estuarine mesocosm.    ABSTRACT:  To examine the effects of environmentally realistic fipronil concentrations on estuarine ecosystems, replicated mesocosms containing intact marsh plots and seawater were exposed to three treatments of fipronil (150, 355, and 5000 ng/L) and a Control. Juvenile fish (Cyprinidon variegatus), juvenile clams (Mercenaria mercenaria), oysters (Crassostrea virginica), and grass shrimp (Palaemonetes pugio) were added prior to fipronil in an effort to quantify survival, growth, and the persistence of toxicity during the planned 28-day exposure. Results indicated that there were no fipronil-associated effects on the clams, oysters, or fish. Shrimp were sensitive to the highest two concentrations (40% survival at 355 ng/L and 0% survival at 5000 ng/L). Additionally, the highest fipronil treatment (5000 ng/L) was toxic to shrimp for 6 weeks post dose. These results suggest that fipronil may impact shrimp populations at low concentrations and further use in coastal areas should be carefully assessed.  KEYWORDS:  MeSH Chemical: Insecticides| Pyrazoles| fipronil MeSH: | Animals| Bivalvia/drug effects| Ecosystem/majr| Fishes| Fresh Water| Insecticides/majr/toxicity| Palaemonidae/drug effects| Pyrazoles/majr/toxicity| Seawater| Toxicity Tests| Water Pollution, Chemical/majr</t>
  </si>
  <si>
    <t>Wirth EF, Pennington PL, Lawton JC, DeLorenzo ME, Bearden D, Shaddrix B, Sivertsen S, Fulton MH</t>
  </si>
  <si>
    <t>365-71</t>
  </si>
  <si>
    <t>Accidental dermal and inhalation exposure with fipronil--a case report.</t>
  </si>
  <si>
    <t>Accidental dermal and inhalation exposure with fipronil--a case report.    ABSTRACT:  Fipronil which has initiated the new generation of insecticides and possesses greater affinity at GABA receptors in insects than humans is supposed to be safer than the old generation of insecticides. Dermal and inhalation exposure to fipronil has not been reported in the literature.A 50-year-old male was admitted to the Clinic after 5h of spraying his field with the solution of fipronil. The patient was fully conscious with the BP and HR within normal range. There were no seizures, other neurological deficits, signs of conjunctivitis or skin irritation. Physical examinations and biochemical results were normal. The patient complained of a headache, nausea, vertigo and weakness. All symptoms resolved spontaneously after about 5h. During hospitalization and the follow up after three weeks he was asymptomatic.Further investigations should be carried on to evaluate the risk of fipronil in humans. The benzodiazepines are drugs of choice during seizures, B1 agonists and steroids may be useful during severe inhalation exposure.  KEYWORDS:  MeSH Chemical: Insecticides| Pyrazoles| fipronil MeSH: | Accidents, Occupational/majr| Administration, Cutaneous| Humans| Inhalation Exposure| Insecticides/majr/poisoning| Male| Middle Aged| Occupational Exposure/majr/adverse effects/analysis| Pyrazoles/majr/poisoning| Skin Absorption/majr/physiology</t>
  </si>
  <si>
    <t>Chodorowski Z, Anand JS</t>
  </si>
  <si>
    <t>189-90</t>
  </si>
  <si>
    <t>Insecticide resistance and cross-resistance in Alabama and Florida strains of Culex quinquefasciatus [correction].</t>
  </si>
  <si>
    <t>Insecticide resistance and cross-resistance in Alabama and Florida strains of Culex quinquefasciatus [correction].    ABSTRACT:  Insecticide resistance and cross-resistance was determined for three strains of Culex quinquefasciatus Say in the southeastern United States. HAmCq and MAmCq strains were collected in 2002 from Huntsville and Mobile, AL. The VBFmCq strain was collected in 1998 from Vero Beach, FL. VBFmCq, HAmCq, and MAmCq larvae showed resistance to permethrin with resistance ratios of 13, 100, and 940, respectively, compared with the susceptible S-Lab strain. Levels of resistance in HAmCq and MAmCq larvae were 200- and 830-fold to resmethrin and 4- and 70-fold to malathion, respectively. VBFmCq, HAmCq, and MAmCq strains all demonstrated a great ability to develop tolerance and/or cross-resistance to different insecticides, including deltamethrin (50-, 100-, and 300-fold), chlorpyrifos (150-, 33-, and 720-fold), fipronil (10-, 5-, and 15-fold), and imidacloprid (7.5-, 5- and 10-fold, respectively). Comparison of resistance ratios for pyrethroids, organophosphates, and imidacloprid at LC50 and LC90 and gradual slopes of dose-response curves indicated that VBFmCq, HAmCq, and MAmCq were heterozygous in response to these insecticides. All three strains showed high levels of susceptibility to Bacillus thuringiensis variety israelensis (Bti) and spinosad, although these mosquitoes had been extensively exposed to Bti. Thus, we conclude that Bti and spinosad may be valuable for the management of Cx. quinquefasciatus, especially in situations where local strains are highly resistant to other insecticides.  KEYWORDS:  MeSH Chemical: Permethrin MeSH: | Alabama| Animals| Culex/majr/classification/drug effects/physiology| Florida| Insecticide Resistance/majr/physiology| Permethrin| Sensitivity and Specificity</t>
  </si>
  <si>
    <t>Liu H, Cupp EW, Micher KM, Guo A, Liu N</t>
  </si>
  <si>
    <t>Determination of poultry feed-through insecticide activity in an in vivo anticoccidial assay.</t>
  </si>
  <si>
    <t>Determination of poultry feed-through insecticide activity in an in vivo anticoccidial assay.    ABSTRACT:  The ability of an in vivo anticoccidial assay to identify potential feed-through insecticides was demonstrated using first-instar Lucilia sericata on droppings from chicks fed medicated diets. Cyromazine, a commercially available feed-through insect growth regulator, ivermectin, diflubenzuron, fipronil, permethrin, and 2 experimental compounds were effective in varying degrees in killing L. sericata larvae. Eleven coccidiostats were effective against the protozoan parasites (Eimeria spp.) at commercially used levels, whereas they were ineffective against Lucilia larvae.  KEYWORDS:  MeSH Chemical: Coccidiostats| Insecticides| Triazines| Permethrin| cyromazine MeSH: | Animal Feed| Animals| Chickens| Coccidiostats/majr/pharmacology| Diptera/majr/drug effects| Eimeria/majr/drug effects| Feces/majr/chemistry| Insecticides/majr/analysis/pharmacology| Permethrin/analysis/pharmacology| Triazines/analysis/pharmacology</t>
  </si>
  <si>
    <t>Ostlind DA, Misura AS, Tamas T, Andersen DR, Felcetto T, Smith SK, Mickle WG</t>
  </si>
  <si>
    <t>The Journal of parasitology</t>
  </si>
  <si>
    <t>421-2</t>
  </si>
  <si>
    <t>GABA receptor antagonists and insecticides: common structural features of 4-alkyl-1-phenylpyrazoles and 4-alkyl-1-phenyltrioxabicyclooctanes.</t>
  </si>
  <si>
    <t>Sammelson RE, Caboni P, Durkin KA, Casida JE</t>
  </si>
  <si>
    <t>3345-55</t>
  </si>
  <si>
    <t>Fipronil modulation of GABAA receptor single-channel currents.</t>
  </si>
  <si>
    <t>Fipronil modulation of GABAA receptor single-channel currents.    ABSTRACT:  Fipronil is the first phenylpyrazole insecticide introduced for pest control. Although fipronil is known to inhibit GABA receptors, the detailed mechanism of action remains to be seen. In order to elucidate the mechanism of fipronil interaction with the mammalian GABAA system, single-channel patch clamp experiments were performed using rat dorsal root ganglion neurons. The amplitude of main conductance state (27pS) current was not significantly altered by co-application of 10 microM fipronil and 10 microM GABA. The histograms of open time distribution were fitted to a sum of three exponential functions. After application of 10 microM fipronil, the proportion of the fastest component increased slightly and that of the slowest component decreased slightly. Thus, the mean open time was decreased from 11.4 ms to 7.8 ms by fipronil. The histograms of closed time distribution were fitted to a sum of four exponential functions. Fipronil 10 microM prolonged the slowest time constant resulting in a prolongation of the mean closed time from 29.7 ms to 52.8 ms. Thus, the frequency of channel openings was reduced. Thus, the fipronil suppression of GABA-induced whole-cell currents is caused in part by decreases in the channel open time and the frequency of channel openings.  KEYWORDS:  MeSH Chemical: Insecticides| Ion Channels| Pyrazoles| Receptors, GABA-A| gamma-Aminobutyric Acid| fipronil MeSH: | Animals| Animals, Newborn| Cells, Cultured| Ganglia, Spinal/cytology| Insecticides/majr/pharmacology| Ion Channels/majr/drug effects/physiology| Membrane Potentials/drug effects| Neurons/drug effects/physiology| Patch-Clamp Techniques| Pyrazoles/majr/pharmacology| Rats| Receptors, GABA-A/majr/drug effects/physiology| Time Factors| gamma-Aminobutyric Acid/pharmacology</t>
  </si>
  <si>
    <t>Ikeda T, Nagata K, Kono Y, Yeh JZ, Narahashi T</t>
  </si>
  <si>
    <t>487-92</t>
  </si>
  <si>
    <t>Impacts of residual insecticide barriers on perimeter-invading ants, with particular reference to the odorous house ant, Tapinoma sessile.</t>
  </si>
  <si>
    <t>Scharf ME, Ratliff CR, Bennett GW</t>
  </si>
  <si>
    <t>601-5</t>
  </si>
  <si>
    <t>Off-label treatment for otoacariosis.</t>
  </si>
  <si>
    <t>Off-label treatment for otoacariosis.    ABSTRACT:  NOABSTRACT. No abstract found.  KEYWORDS:  MeSH Chemical: Insecticides| Pyrazoles| fipronil MeSH: | Administration, Topical| Animals| Cat Diseases/majr/drug therapy/pathology| Cats| Drug Labeling| Ear Diseases/majr/drug therapy/veterinary| Female| Insecticides/majr/adverse effects| Male| Mite Infestations/majr/drug therapy/veterinary| Mites/majr| Pyrazoles/majr/adverse effects| Vestibular Diseases/chemically induced/veterinary</t>
  </si>
  <si>
    <t>Hutt JH</t>
  </si>
  <si>
    <t>574; author reply 574</t>
  </si>
  <si>
    <t>In vitro metabolism of fipronil by human and rat cytochrome P450 and its interactions with testosterone and diazepam.</t>
  </si>
  <si>
    <t>Tang J, Amin Usmani K, Hodgson E, Rose RL</t>
  </si>
  <si>
    <t>147</t>
  </si>
  <si>
    <t>319-29</t>
  </si>
  <si>
    <t>Effective treatment and control of biting lice, Felicola subrostratus (Nitzsch in Burmeister, 1838), on cats using fipronil formulations.</t>
  </si>
  <si>
    <t>Pollmeier M, Pengo G, Longo M, Jeannin P</t>
  </si>
  <si>
    <t>157-65</t>
  </si>
  <si>
    <t>Current trends in the treatment of Sarcoptes, Cheyletiella and Otodectes mite infestations in dogs and cats.</t>
  </si>
  <si>
    <t>Current trends in the treatment of Sarcoptes, Cheyletiella and Otodectes mite infestations in dogs and cats.    ABSTRACT:  For a number of reasons, several of the more 'traditional' ectoparasiticides in the small animal veterinarian's armoury have been withdrawn over the past few years. New, safer products which are long-acting and easier to apply than the conventional dips, rinses and aerosol sprays of the past have replaced them. However, relatively few such novel acaricidal preparations have become commercially available. Consequently, practitioners and researchers frequently experiment with the drugs they have at their disposal to assess their efficacy against a variety of target acarids when used at different dosages and/or via different routes of administration, compared with those recommended by the manufacturer. This paper reviews the anecdotal and peer-reviewed reports describing the use of modern acaricides in dogs and cats that have recently appeared in the veterinary literature. It should be stressed, however, that no medicine should be prescribed for extra-label use without the informed consent of the owner.  KEYWORDS:  MeSH Chemical: Insecticides| Macrolides| Pyrazoles| Toluidines| amitraz| Ivermectin| selamectin| moxidectin| fipronil MeSH: | Administration, Cutaneous| Administration, Oral| Animals| Cat Diseases/majr/drug therapy| Cats| Clinical Trials as Topic| Dog Diseases/majr/drug therapy| Dogs| Insecticides/majr/administration &amp; dosage| Ivermectin/majr/administration &amp; dosage/analogs &amp; derivatives| Macrolides/administration &amp; dosage| Mite Infestations/majr/drug therapy/veterinary| Mites/majr/classification| Pyrazoles/administration &amp; dosage| Scabies/drug therapy/veterinary| Toluidines/administration &amp; dosage</t>
  </si>
  <si>
    <t>Curtis CF</t>
  </si>
  <si>
    <t>108-14</t>
  </si>
  <si>
    <t>Fipronil is a potent open channel blocker of glutamate-activated chloride channels in cockroach neurons.</t>
  </si>
  <si>
    <t>Fipronil is a potent open channel blocker of glutamate-activated chloride channels in cockroach neurons.    ABSTRACT:  Fipronil, a phenylpyrazole insecticide, displays high insecticidal activity and reduced mammalian toxicity. To better elucidate the mechanism of its selective toxicity between insects and mammals and activity against dieldrin-resistant insects, we studied fipronil action on glutamate-gated chloride channels (GluCls), unique invertebrate ligand-gated chloride channels, in cockroach thoracic ganglion neurons, using the whole-cell patch clamp technique. Glutamate evoked two types of chloride currents, a desensitizing current and a nondesensitizing current. Fipronil differentially inhibited these two types of currents with different potencies and with different rates of reversibility. Fipronil inhibited the desensitizing and nondesensitizing GluCls with IC50 values of 801 and 10 nM, respectively. Kinetic analysis revealed that fipronil blocks required channel opening. Recovery of the desensitizing current from fipronil block required channel opening, whereas recovery of nondesensitizing current from block was independent of channel opening. The high potency of fipronil against the nondesensitizing current was due to a slow unblocking rate constant. In addition, when the nondesensitizing GluCls were occupied by picrotoxinin, the receptors became less sensitive to fipronil block. It is concluded that GluCls are a critical target for fipronil, especially for the selective toxicity between mammals and insects, and that fipronil block of GluCls may play a role in the lack of the cross-resistance with dieldrin.  KEYWORDS:  MeSH Chemical: Chloride Channels| Insecticides| Pyrazoles| glutamate-gated chloride channels| Glutamic Acid| fipronil MeSH: | Animals| Chloride Channels/majr/drug effects/metabolism| Cockroaches| Glutamic Acid/metabolism| Insecticides/pharmacology| Kinetics| Neurons/majr/drug effects/metabolism| Pyrazoles/majr/pharmacology</t>
  </si>
  <si>
    <t>310</t>
  </si>
  <si>
    <t>192-201</t>
  </si>
  <si>
    <t>Toxicity, repellency, and horizontal transmission of fipronil in the formosan subterranean termite (Isoptera: Rhinotermitidae).</t>
  </si>
  <si>
    <t>Toxicity, repellency, and horizontal transmission of fipronil in the formosan subterranean termite (Isoptera: Rhinotermitidae).    ABSTRACT:  Toxicity of fipronil was evaluated against field-collected Coptoteres formosanus Shiraki. In topical application assays, fipronil was highly effective against both workers and soldiers at very low doses. Acute toxicity after 24 h was significantly greater in workers than in soldiers. The LD50s were 2.59- and 2.91-fold greater with soldiers than with workers from the two tested colonies. The LD50s of fipronil at 72 h after treatment were &lt;2.0 ng/insect, with no significant differences regarding the tested workers/soldiers or colonies. Treated soldiers placed with untreated workers significantly increased worker mortality. However, there was no significant horizontal transmission of fipronil from treated workers to untreated soldiers. Fipronil at rates of 0.063% or less showed no repellency, whereas sand treatments of 0.125% fipronil were repellent to termite workers.  KEYWORDS:  MeSH Chemical: Insect Repellents| Insecticides| Pyrazoles| fipronil MeSH: | Animals| Insect Repellents/majr| Insecticides/majr/administration &amp; dosage| Isoptera/majr| Pyrazoles/majr/administration &amp; dosage</t>
  </si>
  <si>
    <t>Ibrahim SA, Henderson G, Fei H</t>
  </si>
  <si>
    <t>461-7</t>
  </si>
  <si>
    <t>Effects of exposure duration on transfer of nonrepellent termiticides among workers of Coptotermes formosanus Shiraki (Isoptera: Rhinotermitidae).</t>
  </si>
  <si>
    <t>Effects of exposure duration on transfer of nonrepellent termiticides among workers of Coptotermes formosanus Shiraki (Isoptera: Rhinotermitidae).    ABSTRACT:  The potential for transfer of nonrepellent termiticide toxicants between workers of the Formosan subterranean termite, Coptotermes formosanus Shiraki, was examined using two commercially available pesticide formulations and a simple donor-recipient model modified from current methods in the literature. Pesticides used were imidacloprid, formulated as Premise 75 WP, and fipronil, formulated as Termidor SC, in concentrations of 1, 10, and 100 ppm (weight of active ingredient/weight of sand) in sand. The results of the first experiment showed a significant increase in recipient mortality over control mortality when donor workers were treated with 100 ppm imidacloprid or 100 ppm fipronil. Although all three colonies studied were affected, one colony (colony 3) was affected to a significantly greater extent than the other colonies. This effect was not correlated with termite body size (dry mass). In a second study, recipient mortality was evaluated after exposure of donors to 1 ppm insecticide for 3, 6, 12, or 24 h, Recipient mortality indicated that these exposures did not consistently lead to lethal transfer of the insecticides.  KEYWORDS:  MeSH Chemical: Imidazoles| Insecticides| Neonicotinoids| Nitro Compounds| Pyrazoles| imidacloprid| fipronil MeSH: | Animals| Imidazoles/administration &amp; dosage| Insecticides/majr/administration &amp; dosage| Isoptera/majr| Neonicotinoids| Nitro Compounds| Pyrazoles/administration &amp; dosage| Time Factors</t>
  </si>
  <si>
    <t>Shelton TG, Grace JK</t>
  </si>
  <si>
    <t>456-60</t>
  </si>
  <si>
    <t>An enzyme-linked immunosorbent assay for lipovitellin quantification in copepods: a screening tool for endocrine toxicity.</t>
  </si>
  <si>
    <t>Volz DC, Chandler GT</t>
  </si>
  <si>
    <t>298-305</t>
  </si>
  <si>
    <t>Fipronil effects on estuarine copepod (Amphiascus tenuiremis) development, fertility, and reproduction: a rapid life-cycle assay in 96-well microplate format.</t>
  </si>
  <si>
    <t>Chandler GT, Cary TL, Volz DC, Walse SS, Ferry JL, Klosterhaus SL</t>
  </si>
  <si>
    <t>117-24</t>
  </si>
  <si>
    <t>Phenylpyrazole insecticide fipronil induces male infertility in the estuarine meiobenthic crustacean Amphiascus tenuiremis.</t>
  </si>
  <si>
    <t>Cary TL, Chandler GT, Volz DC, Walse SS, Ferry JL</t>
  </si>
  <si>
    <t>522-8</t>
  </si>
  <si>
    <t>The fate of fipronil in modular estuarine mesocosms.</t>
  </si>
  <si>
    <t>The fate of fipronil in modular estuarine mesocosms.    ABSTRACT:  The degradation and corresponding product manifold for the pesticide fipronil was determined in three replicate estuarine mesocosms. Aqueous fipronil concentrations rapidly decreased over the 672 h timescale of the experiment (95% removal). Loss was apparently first-order in fipronil, although there appeared to be a change in the removal mechanism after 96 h that corresponded to a dramatic slowdown in its disappearance. The reduction product of fipronil, fipronil sulfide, was not detected in the water column; however, it formed rapidly in sediments and was identified as the major product of fipronil degradation in the system (20% yield at 672 h, with respect to initial fipronil concentration). Fipronil sulfone is thought to form primarily via biological oxidation; and, although it was generated rapidly in the water column (10% yield), only trace amounts were detected in the sediment (1% yield). The direct photolysis product of fipronil, fipronil desulfinyl, was present in all samples; it formed rapidly in the water column (4% yield) and partitioned into the sediment phase (7% yield) over the course of the experiment. The mass balance on fipronil and associated products was 42% at 672 h.  KEYWORDS:  MeSH Chemical: Insecticides| Pyrazoles| Water Pollutants, Chemical| fipronil MeSH: | Ecosystem/majr| Geologic Sediments/chemistry| Insecticides/majr/metabolism| Oxidation-Reduction| Photochemistry| Pyrazoles/majr/metabolism| Water Pollutants, Chemical/majr/metabolism</t>
  </si>
  <si>
    <t>Walse SS, Pennington PL, Scott GI, Ferry JL</t>
  </si>
  <si>
    <t>Insecticidal activity of the enantiomers of fipronil.</t>
  </si>
  <si>
    <t>Insecticidal activity of the enantiomers of fipronil.    ABSTRACT:  The two enantiomers of the insecticide fipronil were made by preparative HPLC. The insecticidal activities of the racemic mixture and the two enantiomers against selected agricultural or household pests (cotton stainer, Dysdercus cingulatus F; grain weevil, Sitophilus granarius L and house fly, Musca domestica L) were determined. There was no significant difference in acute or residual activity between the racemic mixture and the enantiomers of fipronil, indicating that there is no preferred chiral form of the compound in these key species of important insects. This observation clearly suggests that there is no major scope for marketing the insecticide in a one-enantiomer form.  KEYWORDS:  MeSH Chemical: Insecticides| Pyrazoles| fipronil MeSH: | Animals| Chromatography, High Pressure Liquid| Coleoptera/drug effects| Female| Heteroptera/drug effects| Houseflies/drug effects| Insecta/majr/drug effects| Insecticides/majr/chemical synthesis/toxicity| Lethal Dose 50| Male| Pyrazoles/majr/chemical synthesis/toxicity| Stereoisomerism</t>
  </si>
  <si>
    <t>Teicher HB, Kofoed-Hansen B, Jacobsen N</t>
  </si>
  <si>
    <t>1273-5</t>
  </si>
  <si>
    <t>Origin and extent of resistance to fipronil in the German cockroach, Blattella germanica (L.) (Dictyoptera: Blattellidae).</t>
  </si>
  <si>
    <t>Holbrook GL, Roebuck J, Moore CB, Waldvogel MG, Schal C</t>
  </si>
  <si>
    <t>1548-58</t>
  </si>
  <si>
    <t>Reproductive adverse effects of fipronil in Wistar rats.</t>
  </si>
  <si>
    <t>Reproductive adverse effects of fipronil in Wistar rats.    ABSTRACT:  The purpose of the present study was to investigate possible reproductive adverse effects of fipronil (Frontline TopSpot) in female Wistar rats. The pesticide was topically applied to rats (single dose) at different concentrations (70, 140 and 280 mg/kg) and hormonal analysis, estrous cycle, and pregnancy and outcome data were determined. Treatment with fipronil altered cyclicity of female rats lengthening the estrous cycle (days) after a single topic administration of 70 mg/kg (9.7+/-1.18) or 280 mg/kg (14.5+/-1.45) when compared to control (4.8+/-0.17). In the mating study fipronil reduced the pregnancy index (67%) in the highest dose group (280 mg/kg). Plasma progesterone and estradiol levels, obtained in different periods after treatment with fipronil (70 mg/kg), were significantly different 96 h after treatment, when compared to controls. In summary, the results of the present study indicate that fipronil may alter the normal functioning of the endocrine system and cause adverse reproductive effects in female rats.  KEYWORDS:  MeSH Chemical: Insecticides| Pyrazoles| Progesterone| Estradiol| fipronil MeSH: | Animals| Estradiol/blood| Estrus/drug effects| Female| Insecticides/majr/toxicity| Pregnancy| Pregnancy Outcome| Progesterone/blood| Pyrazoles/majr/toxicity| Rats| Rats, Wistar| Reproduction/majr/drug effects</t>
  </si>
  <si>
    <t>Ohi M, Dalsenter PR, Andrade AJ, Nascimento AJ</t>
  </si>
  <si>
    <t>121-7</t>
  </si>
  <si>
    <t>Fipronil modulation of glutamate-induced chloride currents in cockroach thoracic ganglion neurons.</t>
  </si>
  <si>
    <t>Ikeda T, Zhao X, Kono Y, Yeh JZ, Narahashi T</t>
  </si>
  <si>
    <t>807-15</t>
  </si>
  <si>
    <t>Chloride channels as tools for developing selective insecticides.</t>
  </si>
  <si>
    <t>Bloomquist JR</t>
  </si>
  <si>
    <t>145-56</t>
  </si>
  <si>
    <t>Phenylpyrazole insecticide photochemistry, metabolism, and GABAergic action: ethiprole compared with fipronil.</t>
  </si>
  <si>
    <t>Phenylpyrazole insecticide photochemistry, metabolism, and GABAergic action: ethiprole compared with fipronil.    ABSTRACT:  Ethiprole differs from fipronil, the major phenylpyrazole insecticide, only in an ethylsulfinyl substituent replacing the trifluoromethylsulfinyl moiety. This study compares their photochemistry, metabolism, action at the gamma-aminobutyric acid (GABA) receptor, and insecticidal potency. On exposure to sunlight as a thin film, ethiprole undergoes oxidation (major), reduction, and desethylsulfinylation but not desulfinylation whereas the major photoreaction for fipronil is desulfinylation. Metabolic sulfone formation is more rapid with ethiprole than fipronil in human expressed CYP3A4 in vitro and mouse brain and liver in vivo. High biological activity is observed for the sulfide, sulfoxide, sulfone, and desulfinyl derivatives in both the ethiprole and the fipronil series in GABA receptor assays (human recombinant beta3 homomer and house fly head membranes) with [(3)H]EBOB and in topical toxicity to house flies with and without the P450-inhibiting synergist piperonyl butoxide. On an overall basis, the ethiprole series is very similar in potency to the fipronil series.  KEYWORDS:  MeSH Chemical: Insecticides| Pyrazoles| Receptors, GABA| Recombinant Proteins| Sulfones| ethiprole| Cytochrome P-450 Enzyme System| CYP3A protein, human| Cytochrome P-450 CYP3A| CYP3A4 protein, human| fipronil MeSH: | Animals| Brain/metabolism| Chromatography, High Pressure Liquid| Cytochrome P-450 CYP3A| Cytochrome P-450 Enzyme System/metabolism| Gas Chromatography-Mass Spectrometry| Houseflies| Humans| Insecticides/majr/chemistry/metabolism/pharmacology| Liver/metabolism| Male| Mice| Oxidation-Reduction| Photochemistry| Pyrazoles/majr/chemistry/metabolism/pharmacology| Receptors, GABA/majr/drug effects/metabolism| Recombinant Proteins| Sulfones/metabolism</t>
  </si>
  <si>
    <t>Caboni P, Sammelson RE, Casida JE</t>
  </si>
  <si>
    <t>7055-61</t>
  </si>
  <si>
    <t>Effects of fipronil and chlorpyrifos on endocrine-related endpoints in female grass shrimp (Palaemonetes pugio).</t>
  </si>
  <si>
    <t>Effects of fipronil and chlorpyrifos on endocrine-related endpoints in female grass shrimp (Palaemonetes pugio).    ABSTRACT:  NOABSTRACT. No abstract found.  KEYWORDS:  MeSH Chemical: Ecdysteroids| Insecticides| Pyrazoles| Vitellogenins| Water Pollutants, Chemical| Cholesterol| Chlorpyrifos| fipronil MeSH: | Animals| Body Weight| Chlorpyrifos/majr/toxicity| Cholesterol/analysis| Dose-Response Relationship, Drug| Ecdysteroids/analysis| Female| Insecticides/majr/toxicity| Palaemonidae/majr/physiology| Pyrazoles/majr/toxicity| Vitellogenins/analysis/biosynthesis| Water Pollutants, Chemical/majr/toxicity</t>
  </si>
  <si>
    <t>Volz DC, Wirth EF, Fulton MH, Scott GI, Strozier E, Block DS, Ferry JL, Walse SS, Chandler GT</t>
  </si>
  <si>
    <t>497-503</t>
  </si>
  <si>
    <t>Synthesis of a tritium-labeled, fipronil-based, highly potent, photoaffinity probe for the GABA receptor.</t>
  </si>
  <si>
    <t>Synthesis of a tritium-labeled, fipronil-based, highly potent, photoaffinity probe for the GABA receptor.    ABSTRACT:  3-[4-[1-(2,6-dichloro-4-trifluoromethylphenyl)pyrazolo]]-3-(trifluoromethyl)diazirine is a fipronil-based (i.e. fiprole), high-affinity probe for the GABA receptor. For synthesis of the tritium-labeled version of this trifluoromethyldiazirinylfiprole ([(3)H]TDF) the required intermediate, 3-[4-[1-(2,6-dichloro-3-iodo-4-trifluoromethylphenyl)-5-iodopyrazolo]]-3-(trifluoromethyl)diazirine, was prepared in 10 steps from pyrazole and 3,5-dichloro-4-fluorobenzotrifluoride. One of the key transformations was lithiation and subsequent iodination of the 4-(2,2,2-trifluoro-1-hydroxyethyl)pyrazole intermediate. The last step involved reduction of the diiodofiprole with tritium, Pd/C, and triethylamine in ethyl acetate and afforded [(3)H]TDF with a specific activity of 15 Ci/mmol and 99% radiopurity.  KEYWORDS:  MeSH Chemical: 3-(4-(1-(2,6-dichloro-4-trifluoromethylphenyl)pyrazolo))-3-(trifluoromethyl)diazirine| Azirines| GABA Antagonists| Photoaffinity Labels| Pyrazoles| Tritium| fipronil MeSH: | Azirines/majr/chemical synthesis/chemistry| GABA Antagonists/majr/chemical synthesis/chemistry| Molecular Structure| Photoaffinity Labels/majr/chemical synthesis/chemistry| Pyrazoles/majr/chemical synthesis/chemistry| Tritium</t>
  </si>
  <si>
    <t>Sammelson RE, Casida JE</t>
  </si>
  <si>
    <t>The Journal of organic chemistry</t>
  </si>
  <si>
    <t>8075-9</t>
  </si>
  <si>
    <t>Comparison of the activity of selamectin, fipronil, and imidacloprid against flea larvae (Ctenocephalides felis felis) in vitro.</t>
  </si>
  <si>
    <t>McTier TL, Evans NA, Martin-Short M, Gration K</t>
  </si>
  <si>
    <t>45-50</t>
  </si>
  <si>
    <t>Improvement of German cockroach (Dictyoptera: Blattellidae) population control by fragmented distribution of gel baits.</t>
  </si>
  <si>
    <t>Improvement of German cockroach (Dictyoptera: Blattellidae) population control by fragmented distribution of gel baits.    ABSTRACT:  The aim of this study was to test the efficiency of gels in relation to fragmentation of baits and population density against the German cockroach, Blattella germanica (L.). We hypothesized that the efficiency of cockroach control could be improved by fragmentation of gel baits, i.e., by distributing the same amount of bait in several small drops instead of one large one. Our results show that bait fragmentation increased the number of cockroaches gaining access to the gel. However, bait fragmentation increased cockroach mortality only at high population densities. Our results allow us to recommend modulation of bait application in relation to cockroach population density. At low population densities (42 individuals/m2), the recommended dose, one single 30-mg drop/m2, can be applied. At high population densities (&gt; or = 208 individuals/m2), the same recommended dose would be more efficient if applied as several 3-mg drops.  KEYWORDS:  MeSH Chemical: Gels| Insecticides| Pyrazoles| fipronil MeSH: | Animals| Blattellidae/majr| Gels| Insect Control/majr/methods| Insecticides/majr/administration &amp; dosage| Population Density| Pyrazoles/majr/administration &amp; dosage</t>
  </si>
  <si>
    <t>Durier V, Rivault C</t>
  </si>
  <si>
    <t>1254-8</t>
  </si>
  <si>
    <t>Evaluation of K9 Advantix vs. Frontline Plus topical treatments to repel brown dog ticks (Rhipicephalus sanguineus) on dogs.</t>
  </si>
  <si>
    <t>Evaluation of K9 Advantix vs. Frontline Plus topical treatments to repel brown dog ticks (Rhipicephalus sanguineus) on dogs.    ABSTRACT:  NOABSTRACT. No abstract found.  KEYWORDS:  MeSH Chemical: Imidazoles| Insecticides| Neonicotinoids| Nitro Compounds| Pyrazoles| imidacloprid| Permethrin| Methoprene| fipronil MeSH: | Animals| Dog Diseases/majr/microbiology/parasitology/prevention &amp; control| Dogs| Drug Therapy, Combination| Ehrlichiosis/prevention &amp; control/veterinary| Female| Imidazoles/administration &amp; dosage| Insecticides/majr/administration &amp; dosage| Male| Methoprene/administration &amp; dosage| Neonicotinoids| Nitro Compounds| Permethrin/administration &amp; dosage| Pyrazoles/administration &amp; dosage| Tick Infestations/majr/parasitology/prevention &amp; control/veterinary| Ticks/majr/drug effects| Treatment Outcome</t>
  </si>
  <si>
    <t>Young DR, Arther RG, Davis WL</t>
  </si>
  <si>
    <t>90 Suppl 3</t>
  </si>
  <si>
    <t>S116-8</t>
  </si>
  <si>
    <t>Effects of boric acid, fipronil, hydramethylnon, and diflubenzuron baits on colonies of ghost ants (Hymenoptera: Formicidae).</t>
  </si>
  <si>
    <t>Effects of boric acid, fipronil, hydramethylnon, and diflubenzuron baits on colonies of ghost ants (Hymenoptera: Formicidae).    ABSTRACT:  Laboratory colonies of the ghost ant, Tapinoma melanocephalum (F.) were administered sugar solution (10%) baits containing the insecticides boric acid, fipronil (REGENT), hydramethylnon (SIEGE), or diflubenzuron (DIMILN). Colonies were exposed to the baits for 21 d, and development of workers, queens, and brood (larvae and pupae) was observed for 4 wk. Fipronil (0.05%) caused 100% mortality in all colonies the first week. With boric acid (0.5%), 100% mortality of workers, queens, and brood was reached at the end of the third week. With hydramethylnon (2%), 83% of the colonies disappeared at the end of the fourth week, but some queens were still alive 9 wk after the trial started. Diflubenzuron (1%) behaved similarly to the control, although in some colonies, the brood production increased, whereas in other colonies, the queens disappeared. In the control colonies, workers, queens, and brood were always observed even up to 9 wk.  KEYWORDS:  MeSH Chemical: Boric Acids| Insecticides| Pyrazoles| Pyrimidinones| hydramethylnon| Diflubenzuron| fipronil| boric acid MeSH: | Animals| Ants/majr/drug effects/physiology| Boric Acids/administration &amp; dosage/pharmacology| Diflubenzuron/administration &amp; dosage/pharmacology| Insecticides/majr/administration &amp; dosage/pharmacology| Population Dynamics| Pyrazoles/administration &amp; dosage/pharmacology| Pyrimidinones/administration &amp; dosage/pharmacology</t>
  </si>
  <si>
    <t>Ulloa-Chacón P, Jaramillo GI</t>
  </si>
  <si>
    <t>856-62</t>
  </si>
  <si>
    <t>Determining the foraging range and origin of resurgence after treatment of Argentine ant (Hymenoptera: Formicidae) in urban areas.</t>
  </si>
  <si>
    <t>Determining the foraging range and origin of resurgence after treatment of Argentine ant (Hymenoptera: Formicidae) in urban areas.    ABSTRACT:  The foraging range and distribution of Argentine ant, Linepithema humile (Mayr), colonies in urban areas of southern California extended at least 61 m (200 feet) from feeding stations and structures. Ants were fed at 25% sucrose feeding stations containing 0.01% fluorescent brighter (FB28). Within 14 d, from 77-90% of the ants sampled next to the feeding stations were positive for FB28. The percentage of ants with FB28 declined gradually to approximately 55% 61 m away from the feeding station. The percentage of marked ants in the controls didn't change over the 4-wk-test period. There were approximately 290,000 ants visiting the monitored stations each night before treatments. The 0.0001% fipronil baits and 0.06% fipronil SC sprays provided significant reductions in at least 4 wk. The percentage of ants marked with FB28 decreased significantly in both bait and spray treatments over 4 wk suggesting that the resurgence of ants in treated areas were because of immigration from untreated areas. It is likely that much larger areas will need to be treated to control Argentine ants in urban settings, especially if baits are being used.  KEYWORDS:  MeSH Chemical: Insecticides| Pyrazoles| Sucrose| fipronil MeSH: | Animal Migration/majr| Animals| Ants/majr/drug effects/physiology| California| Environment/majr| Feeding Behavior/majr/drug effects/physiology| Insect Control| Insecticides/majr/pharmacology| Pyrazoles/majr/pharmacology| Sucrose/administration &amp; dosage/pharmacology</t>
  </si>
  <si>
    <t>Vega SY, Rust MK</t>
  </si>
  <si>
    <t>844-9</t>
  </si>
  <si>
    <t>Toxicity and pathogenicity of Metarhizium anisopliae var. acridum (Deuteromycotina, Hyphomycetes) and fipronil to the fringe-toed lizard Acanthodactylus dumerili (Squamata: Lacertidae).</t>
  </si>
  <si>
    <t>Peveling R, Demba SA</t>
  </si>
  <si>
    <t>1437-47</t>
  </si>
  <si>
    <t>Operational note effects of fipronil and lambda-cyhalothrin against larval Anopheles quadrimaculatus and nontarget aquatic mosquito predators in Arkansas small rice plots.</t>
  </si>
  <si>
    <t>Dennett JA, Bernhardt JL, Meisch MV</t>
  </si>
  <si>
    <t>172-4</t>
  </si>
  <si>
    <t>A case of accidental ingestion of ant bait containing fipronil.</t>
  </si>
  <si>
    <t>A case of accidental ingestion of ant bait containing fipronil.    ABSTRACT:  A 77-year-old woman accidentally ingested a commercial ant bait containing fipronil without development of obvious toxicity, supporting the safety of this new insecticide as demonstrated in animal studies. However, concentrated agricultural products may be more toxic, and the potential for seizures should not be overlooked. The pharmacological action, mechanism of selective insect toxicity, and clinical effects of fipronil are discussed.  KEYWORDS:  MeSH Chemical: Insecticides| Pyrazoles| fipronil MeSH: | Accidents, Home| Aged| Animals| Ants/majr| Female| Humans| Insect Control/majr| Insecticides/majr/poisoning| Pyrazoles/majr/poisoning| Sensation Disorders/majr/chemically induced</t>
  </si>
  <si>
    <t>Fung HT, Chan KK, Ching WM, Kam CW</t>
  </si>
  <si>
    <t>245-8</t>
  </si>
  <si>
    <t>RdlDv, a novel GABA-gated chloride channel gene from the American dog tick Dermacentor variabilis.</t>
  </si>
  <si>
    <t>RdlDv, a novel GABA-gated chloride channel gene from the American dog tick Dermacentor variabilis.    ABSTRACT:  The American dog tick Dermacentor variabilis is a major transmitter of bacterial and viral pathogens in human and animal populations, and compounds active against this species would benefit both human and animal health. Invertebrate GABA-gated chloride channels are validated targets of commonly used insecticides and acaricides. We cloned a novel member of the invertebrate GABA-gated chloride channel gene family from Dermacentor variabilis, RdlDv. The closest homologue of the predicted gene product of RdlDv is the RDL protein encoded by the GABA-gated chloride channel gene Drosophila Rdl (Resistance to Dieldrin), with which it shares 64% amino acid identity. When expressed in Xenopus oocytes, RdlDv produces GABA-activated currents blocked by the known insecticides and RDL antagonists fipronil and picrotoxinin. These results suggest that RdlDv encodes a GABA-gated chloride channel subunit, making it a potential target for compounds active against the tick D. variabilis.  KEYWORDS:  MeSH Chemical: Chloride Channels| Drosophila Proteins| Insect Proteins| Pyrazoles| Rdl protein, Drosophila| Receptors, GABA-A| Recombinant Proteins| Picrotoxin| gamma-Aminobutyric Acid| picrotoxinin| Dieldrin| fipronil MeSH: | Amino Acid Sequence| Animals| Chloride Channels/majr/genetics/metabolism| Cloning, Molecular| Dermacentor/majr/genetics| Dieldrin/antagonists &amp; inhibitors| Dogs/majr/parasitology| Drosophila Proteins/majr| Insect Proteins/biosynthesis/genetics| Insecticide Resistance/genetics| Ion Channel Gating| Molecular Sequence Data| Oocytes/metabolism| Patch-Clamp Techniques| Picrotoxin/majr/analogs &amp; derivatives/pharmacology| Pyrazoles/pharmacology| Receptors, GABA-A/majr/genetics| Recombinant Proteins/biosynthesis/genetics| Sequence Homology, Amino Acid| Xenopus| gamma-Aminobutyric Acid/majr/metabolism/pharmacology</t>
  </si>
  <si>
    <t>Zheng Y, Priest B, Cully DF, Ludmerer SW</t>
  </si>
  <si>
    <t>595-9</t>
  </si>
  <si>
    <t>Differential sensitivity of two insect GABA-gated chloride channels to dieldrin, fipronil and picrotoxinin.</t>
  </si>
  <si>
    <t xml:space="preserve">Differential sensitivity of two insect GABA-gated chloride channels to dieldrin, fipronil and picrotoxinin.    ABSTRACT:  In the central nervous system of both vertebrates and invertebrates inhibitory neurotransmission is mainly achieved through activation of gamma-aminobutyric acid (GABA) receptors. Extensive studies have established the structural and pharmacological properties of vertebrate GABA receptors. Although the vast majority of insect GABA-sensitive responses share some properties with vertebrate GABAA receptors, peculiar pharmacological properties of these receptors led us to think that several GABA-gated chloride channels are present in insects. We describe here the pharmacological properties of two GABA receptor subtypes coupled to a chloride channel on dorsal unpaired median (DUM) neurones of the adult male cockroach. Long applications of GABA induce a large biphasic hyperpolarization, consisting of an initial transient hyperpolarization followed by a slow phase of hyperpolarization that is not quickly desensitized. With GABA, the transient hyperpolarization is sensitive to picrotoxinin, fipronil and dieldrin whereas the slow response is insensitive to these insecticides.When GABA is replaced by muscimol and cis-4-aminocrotonic acid (CACA) a biphasic hyperpolarization consisting of an initial transient hyperpolarization followed by a sustained phase is evoked which is blocked by picrotoxinin and fipronil. Exposure to dieldrin decreases only the early phase of the muscimol and CACA-induced biphasic response, suggesting that two GABA-gated chloride channel receptor subtypes are present in DUM neurones. This study describes, for the first time, a dieldrin resistant component different to the dieldrin- and picrotoxinin-resistant receptor found in several insect species.  KEYWORDS: </t>
  </si>
  <si>
    <t>Le Corronc H, Alix P, Hue B</t>
  </si>
  <si>
    <t>419-431</t>
  </si>
  <si>
    <t>Differential actions of fipronil and dieldrin insecticides on GABA-gated chloride channels in cockroach neurons.</t>
  </si>
  <si>
    <t>306</t>
  </si>
  <si>
    <t>914-24</t>
  </si>
  <si>
    <t>The pharmacology of spontaneously open alpha 1 beta 3 epsilon GABA A receptor-ionophores.</t>
  </si>
  <si>
    <t>The pharmacology of spontaneously open alpha 1 beta 3 epsilon GABA A receptor-ionophores.    ABSTRACT:  Human alpha(1)beta(3) epsilon GABA(A) receptors were expressed in Xenopus oocytes and examined using the conventional two-electrode voltage-clamp technique and compared to alpha(1)beta(3)gamma(2) receptors. The effects of several GABA(A) agonists were studied, and the allosteric modulation of the channel by a number of GABAergic modulators investigated. The presence of the epsilon subunit increased the potency and efficacy of direct activation by partial GABA(A) agonists (piperidine-4-sulphonic acid and thio-4-PIOL), pentobarbital and neuro-steroids. Direct activation by 3-hydroxylated neurosteroids was restricted to 3alpha epimers, while chirality at C5 was indifferent. The 3beta-sulfate esters of pregnenolone and dehydroepiandrosterone inhibited the spontaneous currents with efficacies higher, while bicuculline methiodide and SR 95531 did so lower than picrotoxin and TBPS. Furosemide, fipronil, triphenylcyanoborate and Zn(2+) blocked the spontaneous currents of alpha(1)beta(3) epsilon receptors with different efficacies. Flunitrazepam and 4'-chlorodiazepam inhibited the spontaneous currents with micromolar potencies. In conclusion, spontaneously active alpha(1)beta(3) epsilon GABA(A) receptors can be potentiated and blocked by GABAergic agents within a broad range of efficacy.  KEYWORDS:  MeSH Chemical: GABA Agonists| GABA Antagonists| GABA Modulators| GABRA1 protein, human| GABRB3 protein, human| GABRE protein, human| Protein Subunits| Receptors, GABA-A MeSH: | Allosteric Regulation| Animals| Female| GABA Agonists/pharmacology| GABA Antagonists/pharmacology| GABA Modulators/pharmacology| Humans| In Vitro Techniques| Ion Channel Gating| Oocytes| Patch-Clamp Techniques| Protein Subunits/drug effects/physiology| Receptors, GABA-A/majr/drug effects/physiology| Xenopus laevis</t>
  </si>
  <si>
    <t>Maksay G, Thompson SA, Wafford KA</t>
  </si>
  <si>
    <t>Neuropharmacology</t>
  </si>
  <si>
    <t>994-1002</t>
  </si>
  <si>
    <t>Genetically engineered corn rootworm resistance: potential for reduction of human health effects from pesticides.</t>
  </si>
  <si>
    <t>Genetically engineered corn rootworm resistance: potential for reduction of human health effects from pesticides.    ABSTRACT:  Insecticide use, grower preferences regarding genetically engineered (GE) corn resistant to corn rootworm (CRW), and the health effects of using various CRW insecticides (organophosphates, pyrethroids, fipronil and carbamates) are reviewed for current and future farm practices.Pest damage to corn has been reduced only one-third by insecticide applications. Health costs from insecticide use appear significant, but costs attributable to CRW control are not quantifiable from available data. Methods reducing health-related costs of insecticide-based CRW control should be evaluated. As a first step, organophosphate insecticide use has been reduced as they have high acute toxicity and risk of long-term neurological consequences. A second step is to use agents which more specifically target the CRW.Whereas current insecticides may be poisonous to many species of insects, birds, mammals and humans, a protein derived from Bacillus thurigiensis and produced in plants via genetic modification can target the specific insect of CRW (Coleoptra), sparing other insect and non-insect species from injury.  KEYWORDS:  MeSH Chemical: Insecticides MeSH: | Animals| Consumer Product Safety| Food, Genetically Modified/majr| Insecta/majr| Insecticide Resistance| Insecticides/majr/adverse effects| Pest Control, Biological/majr/economics/methods| Plant Roots| Plants, Genetically Modified/majr| Zea mays/majr/genetics/growth &amp; development</t>
  </si>
  <si>
    <t>Oehme FW, Pickrell JA</t>
  </si>
  <si>
    <t>17-28</t>
  </si>
  <si>
    <t>Efficacy of Fipronil and Propoxur in the control of German cockroaches (Dictyoptera: Blatellidae).</t>
  </si>
  <si>
    <t>Efficacy of Fipronil and Propoxur in the control of German cockroaches (Dictyoptera: Blatellidae).    ABSTRACT:  A field trial for comparative evaluation of chemicals Fipronil gel, Propoxur spray and bait was carried out. The results in the Fipronil treated area indicate a reduction of 89%, 100% and 98% in cockroach infestation by days 7, 30 and 60, whereas the reduction in Propoxur spray treated area during the same period was 88%, 91% and 87% respectively. Propoxur bait was not found to be effective in reducing the cockroach infestation; rather a build up of the cockroach infestation was noticed in the treated site. The study reports the efficacy of Fipronil gel treatment over conventional insecticidal formulations in the control of cockroach infestation in cookhouses of urban households.  KEYWORDS:  MeSH Chemical: Insecticides| Pyrazoles| Propoxur| fipronil MeSH: | Animals| Cockroaches/majr| Housing| Humans| Insect Control/methods| Insecticides/majr| Propoxur/majr| Pyrazoles/majr| Urban Population</t>
  </si>
  <si>
    <t>Tilak R, Tilak VW, Yadav JD, Gupta KK</t>
  </si>
  <si>
    <t>The Journal of communicable diseases</t>
  </si>
  <si>
    <t>65-9</t>
  </si>
  <si>
    <t>Horizontal and trophic transfer of diflubenzuron and fipronil among grasshoppers (Melanoplus sanguinipes) and between grasshoppers and darkling beetles (Tenebrionidae).</t>
  </si>
  <si>
    <t>Smith DI, Lockwood JA</t>
  </si>
  <si>
    <t>377-82</t>
  </si>
  <si>
    <t>Impact of fipronil on crustacean aquatic organisms in a paddy field-fishpond ecosystem.</t>
  </si>
  <si>
    <t>Impact of fipronil on crustacean aquatic organisms in a paddy field-fishpond ecosystem.    ABSTRACT:  NOABSTRACT. No abstract found.  KEYWORDS:  MeSH Chemical: Insecticides| Pyrazoles| Water Pollutants, Chemical| fipronil MeSH: | Agriculture| Animals| Aquaculture| Brachyura/majr| Insecticides/majr/adverse effects| Oryza| Penaeidae/majr| Pest Control| Pyrazoles/majr/adverse effects| Water Pollutants, Chemical/majr/adverse effects</t>
  </si>
  <si>
    <t>Shan Z, Wang L, Cai D, Gong R, Zhu Z, Yu F</t>
  </si>
  <si>
    <t>746-52</t>
  </si>
  <si>
    <t>Evaluation of fipronil spot-on in the treatment of flea allergic dermatitis in dogs.</t>
  </si>
  <si>
    <t>Evaluation of fipronil spot-on in the treatment of flea allergic dermatitis in dogs.    ABSTRACT:  The purpose of this study was to evaluate the effectiveness of treatment with 10 per cent fipronil solution for controlling signs of flea allergic dermatitis in dogs under field conditions. Thirty-one client-owned dogs with flea allergic dermatitis were treated with three monthly applications of 10 per cent fipronil solution. Flea counts and pruritus were significantly reduced at all post-treatment visits. At the final visit, on day 90, flea counts were reduced by 98 per cent, and pruritus was reduced or eliminated in 84 per cent of the study dogs. Dermatological lesion scores for erythema, crusts, scales and papules were also significantly improved by the final visit. The overall assessment of efficacy on day 90 was 'excellent' to 'good' for 87 per cent of the study dogs. The results demonstrate that treatment with monthly topical applications of 10 per cent fipronil solution is effective in reducing the prevalence and severity of signs of flea allergic dermatitis in dogs.  KEYWORDS:  MeSH Chemical: Insecticides| Pyrazoles| fipronil MeSH: | Administration, Cutaneous| Animals| Dermatitis, Allergic Contact/majr/drug therapy/veterinary| Dog Diseases/majr/drug therapy/parasitology| Dogs| Ectoparasitic Infestations/majr/drug therapy/veterinary| Female| Insecticides/majr/administration &amp; dosage/therapeutic use| Male| Pyrazoles/majr/administration &amp; dosage/therapeutic use| Siphonaptera/majr| Skin Tests| Treatment Outcome</t>
  </si>
  <si>
    <t>Medleau L, Clekis T, McArthur TR, Alva R, Barrick RA, Jeannin P, Irwin J</t>
  </si>
  <si>
    <t>The Journal of small animal practice</t>
  </si>
  <si>
    <t>71-5</t>
  </si>
  <si>
    <t>[An experimental tool essential for the evaluation of insecticides: the testing huts].</t>
  </si>
  <si>
    <t>Darriet F, N'Guessan R, Hougard JM, Traoré-Lamizana M, Carnevale P</t>
  </si>
  <si>
    <t>Bulletin de la Societe de pathologie exotique (1990)</t>
  </si>
  <si>
    <t>95</t>
  </si>
  <si>
    <t>299-303</t>
  </si>
  <si>
    <t>Toxicity of the insecticides fipronil and endosulfan to selected life stages of the grass shrimp (Palaemonetes pugio).</t>
  </si>
  <si>
    <t>Toxicity of the insecticides fipronil and endosulfan to selected life stages of the grass shrimp (Palaemonetes pugio).    ABSTRACT:  NOABSTRACT. No abstract found.  KEYWORDS:  MeSH Chemical: Hydrocarbons, Chlorinated| Insecticides| Pyrazoles| Water Pollutants, Chemical| Endosulfan| fipronil MeSH: | Animals| Endosulfan/majr/toxicity| Hydrocarbons, Chlorinated/majr| Insecticides/majr/toxicity| Larva| Lethal Dose 50| Palaemonidae/majr/drug effects/growth &amp; development| Pyrazoles/majr/toxicity| Water Pollutants, Chemical/majr/toxicity</t>
  </si>
  <si>
    <t>Key PB, Chung KW, Opatkiewicz AD, Wirth EF, Fulton MH</t>
  </si>
  <si>
    <t>533-40</t>
  </si>
  <si>
    <t>Comparative speed of kill between nitenpyram, fipronil, imidacloprid, selamectin and cythioate against adult Ctenocephalides felis (Bouché) on cats and dogs.</t>
  </si>
  <si>
    <t>Schenker R, Tinembart O, Humbert-Droz E, Cavaliero T, Yerly B</t>
  </si>
  <si>
    <t>249-54</t>
  </si>
  <si>
    <t>Fipronil metabolism and dissipation in a simplified aquatic ecosystem.</t>
  </si>
  <si>
    <t>Fipronil metabolism and dissipation in a simplified aquatic ecosystem.    ABSTRACT:  Several phenylpyrazole derivatives are selective inhibitors of chloride channel activities in insects. In this chemical family, fipronil is a powerful insecticide now widely used for several purposes. The dissipation of this molecule in a simplified aquatic ecosystem has been studied for 3 months, using (14)C-labeled fipronil. The main features of the complex process leading to fipronil transformation in this system were the following. The fipronil aqueous solution was submitted to two chemical transformations: the photodependent desulfuration of the side chain bound to the 4-position of the heterocyclic ring and the chemical hydrolysis of the nitrile function bound to the 3-position. Fipronil, rapidly transferred from the water solution to the organic matter, was protected from the previously mentioned chemical transformations but evolved to give two main metabolites, which were either reduced or oxidized in the side chain on the 4-position. These derivatives were powerful insecticides as shown by LC(50) measurements on Aedes aegypti larvae (LC(50) for CF(3)-S-R and CF(3)-SO(2)-R = 8.8 nM). During the course of this experiment, nitrile hydrolysis took place slowly, originating either from the chemical hydrolysis in the aqueous solution or from enzymatic hydrolysis inside the microbial biomass. The fipronil-amide (3-NH(2)-CO-R') derivative, although much more polar than fipronil itself, was mostly bound to the organic matter. Other more polar derivatives were also detected but in very small amounts. No (14)CO emission was observed during the experiment.  KEYWORDS:  MeSH Chemical: Carbon Radioisotopes| Insecticides| Nitriles| Pyrazoles| Solutions| Water| Sulfur| fipronil MeSH: | Aedes| Animals| Carbon Radioisotopes| Ecosystem| Hydrolysis| Insecticides/majr/chemistry| Larva| Light| Nitriles/chemistry| Pyrazoles/majr/chemistry/metabolism| Solutions| Sulfur/chemistry| Time Factors| Water</t>
  </si>
  <si>
    <t>Aajoud A, Ravanel P, Tissut M</t>
  </si>
  <si>
    <t>1347-52</t>
  </si>
  <si>
    <t>Assay of fipronil efficacy to prevent canine monocytic ehrlichiosis in endemic areas.</t>
  </si>
  <si>
    <t>Davoust B, Marié JL, Mercier S, Boni M, Vandeweghe A, Parzy D, Beugnet F</t>
  </si>
  <si>
    <t>Preference of food particle size among several urban ant species.</t>
  </si>
  <si>
    <t>Hooper-Bùi LM, Appel AG, Rust MK</t>
  </si>
  <si>
    <t>1222-8</t>
  </si>
  <si>
    <t>ICON rice seed treatment toxicity to crayfish (Procambarus clarkii) in experimental rice paddies.</t>
  </si>
  <si>
    <t>Biever RC, Hoberg JR, Jacobson B, Dionne E, Sulaiman M, McCahon P</t>
  </si>
  <si>
    <t>167-74</t>
  </si>
  <si>
    <t>Simple method for the determination of trace levels of pesticides in honeybees using matrix solid-phase dispersion and gas chromatography.</t>
  </si>
  <si>
    <t>Simple method for the determination of trace levels of pesticides in honeybees using matrix solid-phase dispersion and gas chromatography.    ABSTRACT:  A simple multiresidue method for the determination of insecticides in honeybees is described. The developed method is based on the matrix solid-phase dispersion technique. A total number of 12 insecticides (azinfos-methyl, buprofezin, chlorpyriphos, chlorpyriphos-methyl, diazinon, ethion, fenitrothion, fipronil, methidathion, phosalone, pirimicarb, propoxur) used on flowering fields are determined by this method. The method uses Florisil and silica as dispersing agents, alumina and silica as cleanup adsorbents and a low polarity solvent system to elute pesticide residues from the honeybee samples. The insecticides were quantified using capillary gas chromatography with a nitrogen-phosphorus detector. The method has shown good recovery (70-110%) for various levels of spiked samples (0.01-1.0 mg/kg). The relative standard deviations were in the range of 2-8% for all pesticides studied. The limits of detection were in the range of 0.005-0.05 mg/kg. The procedure can be applied for the determination of residues of low-polarity and medium polarity pesticides in honeybee samples.  KEYWORDS:  MeSH Chemical: Pesticide Residues MeSH: | Animals| Bees/majr| Chromatography, Gas/majr/methods| Pesticide Residues/majr/analysis| Sensitivity and Specificity</t>
  </si>
  <si>
    <t>Morzycka B</t>
  </si>
  <si>
    <t>982</t>
  </si>
  <si>
    <t>267-73</t>
  </si>
  <si>
    <t>Fipronil: environmental fate, ecotoxicology, and human health concerns.</t>
  </si>
  <si>
    <t>Tingle CC, Rother JA, Dewhurst CF, Lauer S, King WJ</t>
  </si>
  <si>
    <t>Reviews of environmental contamination and toxicology</t>
  </si>
  <si>
    <t>1-66</t>
  </si>
  <si>
    <t>Cabbage root fly control using non-organophosphorus insecticides.</t>
  </si>
  <si>
    <t>Cabbage root fly control using non-organophosphorus insecticides.    ABSTRACT:  The need to find non-organophosphorus insecticides to control the cabbage root fly has never been so urgent. Of the six non-OP insecticides tested, fipronil was the most effective but spinosad, diflubenzuron and cyromazine also showed considerable promise. As expected, the transplant drenches (34 mg active ingredient (a.i./plant) were more effective than the module drenches (5 mg a.i./plant), which in turn were more effective than the film-coated seed treatments (0.001 mg a.i./plant), simply because of the different amounts of insecticide applied per plant. One remaining major problem is that, even if effective non-OP insecticides can be found, the manufacturers may still not support their insecticides being applied to minor crops such as field vegetables.  KEYWORDS:  MeSH Chemical: Insecticides| Pesticide Residues MeSH: | Animals| Brassica/majr/parasitology| Diptera/majr| Dose-Response Relationship, Drug| Insect Control/majr/methods| Insecticides/majr| Pesticide Residues| Random Allocation</t>
  </si>
  <si>
    <t>Jukes AA, Collier RH, Finch S</t>
  </si>
  <si>
    <t>Mededelingen (Rijksuniversiteit te Gent. Fakulteit van de Landbouwkundige en Toegepaste Biologische Wetenschappen)</t>
  </si>
  <si>
    <t>2a</t>
  </si>
  <si>
    <t>395-402</t>
  </si>
  <si>
    <t>Effect of tolerance to insecticides on substrate penetration by Formosan subterranean termites (Isoptera: Rhinotermitidae).</t>
  </si>
  <si>
    <t>Effect of tolerance to insecticides on substrate penetration by Formosan subterranean termites (Isoptera: Rhinotermitidae).    ABSTRACT:  Seven selected insecticides were applied to three substrates and bioassayed for barrier efficacy and toxicity against the Formosan subterranean termite, Coptotermes formosanus Shiraki, originating from colonies that differed in their tolerance to the insecticides. A profound substrate effect was seen with all insecticides tested. Sand was the most difficult substrate to penetrate and caused faster and greater mortality of C. formosanus. Increased tolerance in C. formosanus was accompanied by a decrease in penetration of treated substrata with chlordane, methoxychlor, chlorpyrifos, and deltamethrin. The opposite was true in the case of permethrin and bendiocarb. More tolerance C. formosanus displayed decreased mortality in the presence of chlorpyrifos, deltamethrin, bendiocarb, and fipronil. The opposite was true for permethrin.  KEYWORDS:  MeSH Chemical: Carbamates| Insecticides| Nitriles| Phenylcarbamates| Pyrazoles| Pyrethrins| Chlordan| decamethrin| Permethrin| Chlorpyrifos| bendiocarb| fipronil| Methoxychlor MeSH: | Animals| Carbamates/pharmacology| Chlordan/pharmacology| Chlorpyrifos/pharmacology| Insect Control/majr/methods| Insecticide Resistance| Insecticides/majr/pharmacology| Isoptera/majr/drug effects/physiology| Methoxychlor/pharmacology| Nitriles| Permethrin/pharmacology| Phenylcarbamates/majr| Pyrazoles/pharmacology| Pyrethrins/pharmacology</t>
  </si>
  <si>
    <t>Osbrink WL, Lax AR</t>
  </si>
  <si>
    <t>989-1000</t>
  </si>
  <si>
    <t>Nerve membrane ion channels as the target site of insecticides.</t>
  </si>
  <si>
    <t>Nerve membrane ion channels as the target site of insecticides.    ABSTRACT:  Most insecticides are potent neurotoxicants that act on various neuroreceptors and ion channels. However, the major target receptors are limited to sodium channels, GABA receptors, and nicotinic acetylcholine receptors. DDT and pyrethroids act similarly on sodium channels to keep them open leading to hyperexcitation. Indoxacarb inhibits sodium channels and certain subtypes of nicotinic receptors. Dieldrin, lindane and fipronil block GABA receptors. Imidacloprid modulates nicotinic receptors in a complex manner. Spinosad's major target site appears to be nicotinic receptors.  KEYWORDS:  MeSH Chemical: Insecticides| Ion Channels MeSH: | Animals| Drug Design| Humans| Insecticides/majr/pharmacology/toxicity| Ion Channels/majr/drug effects| Membrane Potentials/drug effects| Neurons/majr/chemistry/drug effects/ultrastructure</t>
  </si>
  <si>
    <t>Narahashi T</t>
  </si>
  <si>
    <t>Mini reviews in medicinal chemistry</t>
  </si>
  <si>
    <t>419-32</t>
  </si>
  <si>
    <t>Human exposure to fipronil from dogs treated with frontline.</t>
  </si>
  <si>
    <t>Human exposure to fipronil from dogs treated with frontline.    ABSTRACT:  This investigation determined fipronil residues on gloves worn while petting dogs after Frontline application. Frontline contains 9.8% fipronil, which controls fleas and ticks on dogs for at least 30 d. Frontline (1.34 ml) was applied topically on adult household dogs and gloves worn for 5 min during pettingwere collected 24 hr and 1, 2, 3, 4 and 5 w post-Frontline application for fipronil residue determinations using GC/MS. The highest concentration of fipronil (589.3 +/- 205.7ppm) was detected 24 h after Frontline application and was undetectable in the gloves collected at 5w. Repeated exposure to such contamination can pose human health risks.  KEYWORDS:  MeSH Chemical: Insecticides| Pesticide Residues| Pyrazoles| fipronil MeSH: | Animals| Dogs| Gas Chromatography-Mass Spectrometry| Gloves, Protective| Humans| Insecticides/majr/analysis/poisoning| Lethal Dose 50| Occupational Exposure/majr| Pesticide Residues/majr/analysis/poisoning| Pyrazoles/majr/analysis/poisoning| Rats</t>
  </si>
  <si>
    <t>Jennings KA, Canerdy TD, Keller RJ, Atieh BH, Doss RB, Gupta RC</t>
  </si>
  <si>
    <t>Veterinary and human toxicology</t>
  </si>
  <si>
    <t>301-3</t>
  </si>
  <si>
    <t>Evaluation of safety and efficacy of acaricides for control of the African tortoise tick (Amblyomma marmoreum) on leopard tortoises (Geochelone pardalis).</t>
  </si>
  <si>
    <t>Evaluation of safety and efficacy of acaricides for control of the African tortoise tick (Amblyomma marmoreum) on leopard tortoises (Geochelone pardalis).    ABSTRACT:  Nine acaricides (amitraz, carbaryl, chlorpyrifos, cyfluthrin, fipronil, lindane, permethrin, phenothrin, and pyrethrins) were studied for their efficacy in killing the African tortoise tick (Amblyomma marmoreum). Only four of the acaricides (chlorpyrifos, cyfluthrin, lindane, and permethrin) produced 100% mortality within 24 hr of application, and only two (cyfluthrin and permethrin) continued to cause 100% mortality when diluted to as low as 1:10,000. Five of the acaricides (amitraz, carbaryl, chlorpyrifos, cyfluthrin, and permethrin) were studied for toxicity to the leopard tortoise (Geochelone pardalis), the most common host of A. marmoreum. The results indicate that cyfluthrin and permethrin, which were herein found to be the two most effective acaricides for control of A. marmoreum, are also the safest acaricides for use on leopard tortoises.  KEYWORDS:  MeSH Chemical: Insecticides| Nitriles| Pyrethrins| Permethrin| cyfluthrin MeSH: | Animals| Female| Insecticides/majr/administration &amp; dosage/adverse effects/standards| Ixodidae/majr| Male| Nitriles| Permethrin/administration &amp; dosage/adverse effects/standards| Pyrethrins/administration &amp; dosage/adverse effects/standards| Tick Infestations/majr/prevention &amp; control/veterinary| Turtles/majr/parasitology</t>
  </si>
  <si>
    <t>Burridge MJ, Peter TF, Allan SA, Mahan SM</t>
  </si>
  <si>
    <t>52-7</t>
  </si>
  <si>
    <t>In vivo and in vitro metabolism of fipronil by larvae of the European corn borer Ostrinia nubilalis.</t>
  </si>
  <si>
    <t>In vivo and in vitro metabolism of fipronil by larvae of the European corn borer Ostrinia nubilalis.    ABSTRACT:  In vivo and in vitro metabolism of [14C]fipronil was examined in a susceptible European corn borer (Ostrinia nubilalis, Hübner) laboratory strain. [14C]Fipronil penetrated the larval integument slowly, with 71.5% of the applied radioactivity recovered from surface rinses 24 h after topical application. Despite this slow penetration, radioactivity was detected in both the excrement and internal organo-soluble fractions. Radioactivity in the internal aqueous fraction and tissue pellet accounted for less than 0.8% of total radioactivity. The in vivo studies suggest that fipronil oxidation to its sulfone metabolite is the major route of metabolic conversion. In vitro studies were performed using subcellular microsomal fractions isolated from European corn borer larval midguts. Cytochrome P450-dependent monooxygenase activity (methoxyresorufin O-demethylase) was consistently observed in midgut preparations, and formation and detection of the sulfone metabolite in the same midgut preparations was also NADPH-dependent and inhibited by piperonyl butoxide. In vitro metabolism results indicate microsomal monooxygenases are responsible for the conversion of fipronil to its sulfone form in the European corn borer.  KEYWORDS:  MeSH Chemical: Insecticides| Pyrazoles| Cytochrome P-450 Enzyme System| fipronil MeSH: | Animals| Chromatography, High Pressure Liquid| Cytochrome P-450 Enzyme System/metabolism| Europe| Insecticides/majr/metabolism| Larva/majr/enzymology/metabolism| Lepidoptera/majr/enzymology/metabolism| Pyrazoles/majr/metabolism</t>
  </si>
  <si>
    <t>Durham EW, Siegfried BD, Scharf ME</t>
  </si>
  <si>
    <t>799-804</t>
  </si>
  <si>
    <t>Effect of topical application of fipronil in cats with flea allergic dermatitis.</t>
  </si>
  <si>
    <t>Effect of topical application of fipronil in cats with flea allergic dermatitis.    ABSTRACT:  To determine whether topical application of a 10% fipronil solution would control signs of flea allergic dermatitis in cats housed under natural conditions.Multicenter open clinical trial.42 client-owned cats with flea allergic dermatitis.Study cats along with all other cats and dogs living in the same houses were treated with 10% fipronil solution topically on days 0, 30, and 60. Flea counts and clinical assessments were performed on study cats on days 0, 14, 30, 60, and 90.Percentage reductions in geometric mean flea counts on days 14, 30, 60, and 90, compared with day-0 geometric mean count, were 75, 73, 85, and 94%, respectively. Pruritus score was significantly improved at each examination after day 0, and pruritus was reduced or eliminated in 31 of 40 (78%) cats at the final examination. Similarly, scores for severity of miliary dermatitis and alopecia were significantly improved at each examination, except for alopecia score on day 14. Overall treatment efficacy, assessed on day 90, was excellent for 28 (70%) cats, good for 6 (15%), moderate for 3 (7.5%), and poor for 3 (7.5%).Results suggest that monthly topical application of fipronil is effective for treatment of flea allergic dermatitis in cats housed under natural conditions.  KEYWORDS:  MeSH Chemical: Insecticides| Pyrazoles| fipronil MeSH: | Administration, Topical| Animals| Cat Diseases/majr/drug therapy/parasitology| Cats| Dermatitis, Allergic Contact/majr/drug therapy/parasitology/veterinary| Female| Insect Control| Insecticides/majr/pharmacology/therapeutic use| Male| Pyrazoles/majr/pharmacology/therapeutic use| Siphonaptera/majr/drug effects/growth &amp; development| Time Factors| Treatment Outcome</t>
  </si>
  <si>
    <t>Medleau L, Hnilica KA, Lower K, Alva R, Clekis T, Case J, McArthur TR, Barrick RA, Jeannin P, Irwin J</t>
  </si>
  <si>
    <t>221</t>
  </si>
  <si>
    <t>254-7</t>
  </si>
  <si>
    <t>Fipronil insecticide: novel application against triatomine insect vectors of Chagas disease.</t>
  </si>
  <si>
    <t>Fipronil insecticide: novel application against triatomine insect vectors of Chagas disease.    ABSTRACT:  We investigated the efficacy and the residual effect of fipronil(R) against two species of triatomine bugs, Triatoma infestans and Rhodnius neglectus, in laboratory conditions measuring concentration-response and residual activity on different surfaces (dried mud and lime coated mud). Lethal concentrations (LC50,90) were determined on filter paper. The higher insecticide efficacy against R. neglectus when compared to T. infestans may be partially attributed to the differences in their biological cycles and genetic structures. Comparison with lambdacyhalothrin wettable powder showed that fipronil mortality rates (above 50%) were observed on mud blocks and lime-coated mud blocks up to 3 months when fipronil was sprayed at 100 and 200 mg a.i./m2. Residual effect deeply decayed after 3 months; and at 6 months post treatment mortality was not observed. In contrast, lambdacyhalothrin showed a long lasting residual effect on both surfaces up to 6 months. Also, it should be mentioned that fipronil had a slow, but lethal activity on the triatomine bugs when wettable formulations were used on porous surfaces.  KEYWORDS:  MeSH Chemical: Insecticides| Nitriles| Pyrazoles| Pyrethrins| fipronil| cyhalothrin MeSH: | Animals| Insect Vectors/majr/drug effects| Insecticides/majr| Lethal Dose 50| Nitriles| Pyrazoles/majr| Pyrethrins/majr| Time Factors| Triatoma/majr/drug effects</t>
  </si>
  <si>
    <t>Rojas De Arias A, Fournet A</t>
  </si>
  <si>
    <t>535-9</t>
  </si>
  <si>
    <t>Evaluation of the efficacy of fipronil formulations in the treatment and control of biting lice, Trichodectes canis (De Geer, 1778) on dogs.</t>
  </si>
  <si>
    <t>Pollmeier M, Pengo G, Jeannin P, Soll M</t>
  </si>
  <si>
    <t>127-36</t>
  </si>
  <si>
    <t>Investigation into the potential pathogenicity of Staphylococcus felis in a cat.</t>
  </si>
  <si>
    <t>Investigation into the potential pathogenicity of Staphylococcus felis in a cat.    ABSTRACT:  NOABSTRACT. No abstract found.  KEYWORDS:  MeSH Chemical: Anti-Bacterial Agents| DNA, Bacterial| Insecticides| Pyrazoles| Amoxicillin-Potassium Clavulanate Combination| fipronil MeSH: | Amoxicillin-Potassium Clavulanate Combination/therapeutic use| Animals| Anti-Bacterial Agents/therapeutic use| Cat Diseases/majr/diagnosis/drug therapy| Cats| DNA, Bacterial/genetics| Dermatitis, Allergic Contact/majr/complications/diagnosis/veterinary| Diagnosis, Differential| Ectoparasitic Infestations/majr/complications/diagnosis/veterinary| Electrophoresis, Gel, Pulsed-Field/veterinary| Female| Insecticides/therapeutic use| Pruritus/etiology/veterinary| Pyrazoles/therapeutic use| Siphonaptera/majr| Staphylococcal Infections/majr/complications/diagnosis/veterinary| Staphylococcus/classification/genetics/isolation &amp; purification/pathogenicity</t>
  </si>
  <si>
    <t>Patel A, Lloyd DH, Howell SA, Noble WC</t>
  </si>
  <si>
    <t>668-9</t>
  </si>
  <si>
    <t>Toxicity and bioaccumulation of fipronil in the nontarget arthropodan fauna associated with subalpine mosquito breeding sites.</t>
  </si>
  <si>
    <t>Toxicity and bioaccumulation of fipronil in the nontarget arthropodan fauna associated with subalpine mosquito breeding sites.    ABSTRACT:  In order to examine ecological impact of fipronil use for larval culicine control in natural hydrosystems, toxicity and bioaccumulation of this new insecticide were analyzed on aquatic species representative of the nontarget arthropodan fauna (nonculicine larval Diptera: Chaoboridae, Chironomidae; planktonic Crustacea: Cladocera, Copepoda, Ostracoda) associated with target larval mosquito populations in the subalpine breeding sites. Standard toxicological bioassays using fipronil aqueous solutions from 1 to 2000 nM indicated different sensitivity levels among species. Insecticide bioaccumulation analyses, using [(14)C]fipronil solutions in simplified laboratory ecosystem, also indicated large differences among species. These differences may come from biological parameters characteristic of each species. Taking into account these nontarget effects of fipronil, a possible strategy of use of this insecticide for integrated mosquito control management was proposed, which is based upon selective dietary absorption of the insecticide by larval Culicidae.  KEYWORDS:  MeSH Chemical: Insecticides| Pyrazoles| Water Pollutants, Chemical| fipronil MeSH: | Absorption| Animals| Biological Assay| Crustacea/majr| Ecosystem| Insecta/majr| Insecticides/majr/pharmacokinetics/toxicity| Larva| Mosquito Control| Pyrazoles/majr/pharmacokinetics/toxicity| Tissue Distribution| Water Pollutants, Chemical/majr/pharmacokinetics/toxicity</t>
  </si>
  <si>
    <t>Chaton PF, Ravanel P, Tissut M, Meyran JC</t>
  </si>
  <si>
    <t>8-12</t>
  </si>
  <si>
    <t>Toxicology of newer pesticides for use in dogs and cats.</t>
  </si>
  <si>
    <t>Toxicology of newer pesticides for use in dogs and cats.    ABSTRACT:  The past 10 years have witnessed the development of several new insecticides that have been specifically designed to exploit physiologic differences between insects and mammals. This has resulted in products that seem to have a wide margin of safety when used in dogs and cats. Compared with the more acutely toxic organophosphorous, carbamate, and heavy metal insecticides as well as with the environmental problems of bioaccumulation associated with some of the organochlorine insecticides, these newer insecticides such as fipronil, imidacloprid, selamectin, lufenuron, and nitenpyram seem to alleviate these known problems while still providing satisfactory insecticidal activity.  KEYWORDS:  MeSH Chemical: Benzamides| Imidazoles| Insecticides| Neonicotinoids| Nitro Compounds| Pesticides| Pyrazoles| fluphenacur| imidacloprid| Ivermectin| selamectin| fipronil MeSH: | Animals| Benzamides/poisoning| Cat Diseases/majr/etiology/therapy| Cats| Dog Diseases/majr/etiology/therapy| Dogs| Drug-Related Side Effects and Adverse Reactions/majr/etiology/therapy/veterinary| Imidazoles/poisoning| Insecticides/poisoning| Ivermectin/majr/analogs &amp; derivatives/poisoning| Neonicotinoids| Nitro Compounds| Pesticides/majr/poisoning| Pyrazoles/poisoning</t>
  </si>
  <si>
    <t>Hovda LR, Hooser SB</t>
  </si>
  <si>
    <t>The Veterinary clinics of North America. Small animal practice</t>
  </si>
  <si>
    <t>455-67</t>
  </si>
  <si>
    <t>The relative toxicities of insecticides to earthworms of the Pheretima group (Oligochaeta).</t>
  </si>
  <si>
    <t>The relative toxicities of insecticides to earthworms of the Pheretima group (Oligochaeta).    ABSTRACT:  An artificial soil test was used to determine the LC50 values of carbaryl, chlorpyrifos, imidacloprid, cyfluthrin and fipronil against earthworms of the Pheretima group. For a 24-h interval, carbaryl was the most toxic to earthworms (LC50 = 77 mg kg-1), followed by imidacloprid (155 mg kg-1), cyfluthrin (351 mg kg-1), chlorpyrifos (390 mg kg-1) and fipronil (&gt; 8550 mg kg-1) as the least toxic. For the 48-h and 7-day intervals, imidacloprid was the most toxic to earthworms (LC50 = 5 mg kg-1 and 3 mg kg-1 respectively), followed by carbaryl (16 mg kg-1; 9 mg kg-1), cyfluthrin (128 mg kg-1; 110 mg kg-1), chlorpyrifos (330 mg kg-1; 180 mg kg-1) and the least toxic was fipronil (&gt; 8550 mg kg-1 both intervals). The surface application rates required to achieve these values are compared with the rates recommended for the control of turfgrass pests.  KEYWORDS:  MeSH Chemical: Imidazoles| Insecticides| Neonicotinoids| Nitriles| Nitro Compounds| Pyrazoles| Pyrethrins| Soil| imidacloprid| Chlorpyrifos| fipronil| Carbaryl| cyfluthrin MeSH: | Animals| Carbaryl/administration &amp; dosage/toxicity| Chlorpyrifos/administration &amp; dosage/toxicity| Dose-Response Relationship, Drug| Imidazoles/administration &amp; dosage/toxicity| Insecticides/majr/administration &amp; dosage/toxicity| Neonicotinoids| Nitriles| Nitro Compounds| Oligochaeta/majr/drug effects| Pyrazoles/administration &amp; dosage/toxicity| Pyrethrins/administration &amp; dosage/toxicity| Soil/analysis| Time Factors</t>
  </si>
  <si>
    <t>Mostert MA, Schoeman AS, van der Merwe M</t>
  </si>
  <si>
    <t>446-50</t>
  </si>
  <si>
    <t>Treating mites in a bat colony: a case study.</t>
  </si>
  <si>
    <t>Treating mites in a bat colony: a case study.    ABSTRACT:  Since many bats used in research are wild-caught, dealing with mite infestation can present a unique challenge to the animal care staff. The authors tested the efficacy of fipronil spray for eliminating mites from a bat colony.  KEYWORDS:  MeSH Chemical: Pyrazoles| fipronil MeSH: | Animals| Chiroptera/majr/parasitology| Mites/majr/drug effects/physiology| Pest Control/majr/methods| Pyrazoles/majr/pharmacology</t>
  </si>
  <si>
    <t>Bergdall V, Burnett S, Kazial K, Mulliken C, Monahan C, Masters WM</t>
  </si>
  <si>
    <t>43-5</t>
  </si>
  <si>
    <t>Laboratory evaluation of fipronil and imidacloprid topical insecticides for control of the plague vector Oropsylla montana (Siphonaptera: Ceratophyllidae) on california ground squirrels (Rodentia: Sciuridae).</t>
  </si>
  <si>
    <t>Metzger ME, Rust MK</t>
  </si>
  <si>
    <t>Unique insecticide specificity of human homomeric rho 1 GABA(C) receptor.</t>
  </si>
  <si>
    <t>Unique insecticide specificity of human homomeric rho 1 GABA(C) receptor.    ABSTRACT:  Several convulsants and major insecticides block the gamma-aminobutyric acid (GABA)-gated chloride channel in brain on binding to the GABA(A) receptor. The GABA(C) receptor, important in retina and present in brain, is also coupled to a chloride channel and is therefore a potential target for toxicant action examined here in radioligand binding and electrophysiological experiments. Human homomeric rho 1 GABA(C) receptor expressed in human embryonic kidney cells (HEK293) undergoes specific and saturable high-affinity binding of 4-n-[3H]propyl-4' -ethynylbicycloorthobenzoate ([3H]EBOB) using a cyano analog (CNBOB) to determine non-specific binding. This GABA(C) rho 1 receptor is very sensitive to CNBOB and lindane relative to alpha-endosulfan, tert-butylbicyclophosphorothionate, picrotoxinin and fipronil (IC(50) values of 23, 91, 800, 1080, 4000 and &gt;10000 nM, respectively, in displacing [3H]EBOB). A similar potency sequence (except for picrotoxinin) is observed for inhibition of GABA-induced currents of rho 1 receptor expressed in Xenopus oocytes. The present study does not consider rho 2 homomeric and rho 1 rho 2 heteromeric GABA(C) receptors which are known to be more sensitive than rho 1 to picrotoxinin. The inhibitor sensitivity and specificity of this rho 1 GABA(C) receptor differ greatly from those of human homomeric beta 3 and native GABA(A) receptors.  KEYWORDS:  MeSH Chemical: Bridged Bicyclo Compounds, Heterocyclic| Chloride Channels| GABA-C receptor| Insecticides| Receptors, GABA| Receptors, GABA-A| 1-(4-ethynylphenyl)-4-propyl-2,6,7-trioxabicyclo(2.2.2)octane| gamma-Aminobutyric Acid MeSH: | Binding Sites| Bridged Bicyclo Compounds, Heterocyclic/metabolism| Chloride Channels/antagonists &amp; inhibitors| Humans| Insecticides/majr/toxicity| Membrane Potentials/drug effects| Receptors, GABA/majr/drug effects| Receptors, GABA-A/drug effects| Sensitivity and Specificity| gamma-Aminobutyric Acid/pharmacology</t>
  </si>
  <si>
    <t>Ratra GS, Erkkila BE, Weiss DS, Casida JE</t>
  </si>
  <si>
    <t>Development of a mouse model to determine the systemic activity of potential flea-control compounds.</t>
  </si>
  <si>
    <t>Santora KA, Zakson-Aiken M, Rasa C, Shoop W</t>
  </si>
  <si>
    <t>257-64</t>
  </si>
  <si>
    <t>Comparison of the activity of selamectin, imidacloprid and fipronil for the treatment of dogs infested experimentally with Ctenocephalides canis and Ctenocephalides felis felis.</t>
  </si>
  <si>
    <t>Comparison of the activity of selamectin, imidacloprid and fipronil for the treatment of dogs infested experimentally with Ctenocephalides canis and Ctenocephalides felis felis.    ABSTRACT:  Twenty-four beagles were randomly allocated into four groups of six and housed in separate cages. Each dog was infested with 25 Ctenocephalides canis and 25 Ctenocephalides felis felis and two days later (day 0) the dogs in groups 1, 2 and 3 received a spot-on application of selamectin (6 mg/kg), imidacloprid (10 mg/kg), or fipronil (6-7 mg/kg), respectively, while the dogs in group 4 were not treated. The dogs were combed 48 hours later, the fleas were removed, counted and their species were determined. All the dogs were reinfested with the same number of the two species of fleas on days 7, 14, 21, 28 and 35, and the efficacy of the treatments was calculated 48 hours after each infestation. The mean numbers of fleas on the control dogs were 19.8 C. canis and 14.7 C. felis felis. The three treatments were effective for the full 35 days of the trial; over the first 28 days, the efficacy of selamectin ranged from 81 to 100 and 92 to 99 per cent against C. felis felis and C canis, respectively, the efficacy of imidacloprid ranged from 98 to 100 per cent and the efficacy of fipronil was 100 per cent against both species. There were no significant differences between the three treatments.  KEYWORDS:  MeSH Chemical: Imidazoles| Insecticides| Neonicotinoids| Nitro Compounds| Pyrazoles| imidacloprid| Ivermectin| selamectin| fipronil MeSH: | Administration, Cutaneous| Animals| Dog Diseases/majr/drug therapy| Dogs| Ectoparasitic Infestations/majr/drug therapy/veterinary| Female| Imidazoles/majr/administration &amp; dosage/therapeutic use| Insecticides/majr/agonists/therapeutic use| Ivermectin/majr/administration &amp; dosage/analogs &amp; derivatives/therapeutic use| Male| Neonicotinoids| Nitro Compounds| Pyrazoles/majr/administration &amp; dosage/therapeutic use| Siphonaptera/majr| Treatment Outcome</t>
  </si>
  <si>
    <t>Cadiergues MC, Caubet C, Franc M</t>
  </si>
  <si>
    <t>149</t>
  </si>
  <si>
    <t>704-6</t>
  </si>
  <si>
    <t>Effect of insecticides used in corn, sorghum, and alfalfa on the predator Orius insidiosus (Hemiptera: Anthocoridae).</t>
  </si>
  <si>
    <t>Al-Deeb MA, Wilde GE, Zhu KY</t>
  </si>
  <si>
    <t>1353-60</t>
  </si>
  <si>
    <t>Effect of 0.29% w/w fipronil spray on adult flea mortality and egg production of three different cat flea, Ctenocephalides felis (Bouché), strains infesting cats.</t>
  </si>
  <si>
    <t>Payne PA, Dryden MW, Smith V, Ridley RK</t>
  </si>
  <si>
    <t>331-40</t>
  </si>
  <si>
    <t>Pyrethroid resistance and cross-resistance in the German cockroach, Blattella germanica (L).</t>
  </si>
  <si>
    <t>Wei Y, Appel AG, Moar WJ, Liu N</t>
  </si>
  <si>
    <t>1055-9</t>
  </si>
  <si>
    <t>Identification of two novel Drosophila melanogaster histamine-gated chloride channel subunits expressed in the eye.</t>
  </si>
  <si>
    <t>Identification of two novel Drosophila melanogaster histamine-gated chloride channel subunits expressed in the eye.    ABSTRACT:  Histamine has been shown to play a role in arthropod vision; it is the major neurotransmitter of arthropod photoreceptors. Histamine-gated chloride channels have been identified in insect optic lobes. We report the first isolation of cDNA clones encoding histamine-gated chloride channel subunits from the fruit fly Drosophila melanogaster. The encoded proteins, HisCl1 and HisCl2, share 60% amino acid identity with each other. The closest structural homologue is the human glycine alpha3 receptor, which shares 45 and 43% amino acid identity respectively. Northern hybridization analysis suggested that hisCl1 and hisCl2 mRNAs are predominantly expressed in the insect eye. Oocytes injected with in vitro transcribed RNA, encoding either HisCl1 or HisCl2, produced substantial chloride currents in response to histamine but not in response to GABA, glycine, and glutamate. The histamine sensitivity was similar to that observed in insect laminar neurons. Histamine-activated currents were not blocked by picrotoxinin, fipronil, strychnine, or the H2 antagonist cimetidine. Co-injection of both hisCl1 and hisCl2 RNAs resulted in expression of a histamine-gated chloride channel with increased sensitivity to histamine, demonstrating coassembly of the subunits. The insecticide ivermectin reversibly activated homomeric HisCl1 channels and, more potently, HisCl1 and HisCl2 heteromeric channels.  KEYWORDS:  MeSH Chemical: Chloride Channels| DNA Primers| Histamine MeSH: | Amino Acid Sequence| Animals| Base Sequence| Chloride Channels/majr/chemistry/genetics/physiology| DNA Primers| Drosophila melanogaster| Eye/majr/metabolism| Histamine/majr/physiology| Ion Channel Gating/majr/physiology| Molecular Sequence Data| Phylogeny| Sequence Homology, Amino Acid</t>
  </si>
  <si>
    <t>Zheng Y, Hirschberg B, Yuan J, Wang AP, Hunt DC, Ludmerer SW, Schmatz DM, Cully DF</t>
  </si>
  <si>
    <t>2000-5</t>
  </si>
  <si>
    <t>Transfer of ingested insecticides among cockroaches: effects of active ingredient, bait formulation, and assay procedures.</t>
  </si>
  <si>
    <t>Buczkowski G, Kopanic RJ, Schal C</t>
  </si>
  <si>
    <t>1229-36</t>
  </si>
  <si>
    <t>Insecticide susceptibility in Coptotermes formosanus and Reticulitermes virginicus (Isoptera: Rhinotermitidae).</t>
  </si>
  <si>
    <t>Osbrink WL, Lax AR, Brenner RJ</t>
  </si>
  <si>
    <t>1217-28</t>
  </si>
  <si>
    <t>Management of early-instar Japanese beetle (Coleoptera: Searabaeidae) in field-grown nursery crops.</t>
  </si>
  <si>
    <t>Management of early-instar Japanese beetle (Coleoptera: Searabaeidae) in field-grown nursery crops.    ABSTRACT:  Numerous field studies were conducted in commercial nurseries in Tennessee from 1996 through 1999 to evaluate chemical and biological treatments, application timing and rates, and method of application for control of early instars of Japanese beetle, Popillia japonica Newman. Insecticide treatments included bifenthrin, bendiocarb, chlorpyrifos, carbaryl, fipronil, halofenozide, imidacloprid, permethrin, tefluthrin, thiamethoxam, and trichlorfon. Biological treatments included entomopathogenic nematodes (Heterorhabditis bacteriophora HP88 or H. marelatus, Bacillus thuringiensis Berliner subspecies japonensis Buibui strain, and Beauveria bassiana (Balsamo) Vuillemin. All treatments were applied on the soil surface or injected into the soil around the base of each tree. Tree type and size varied among and within tests, however, the sampling unit (61-cm-diameter root ball) remained the same throughout all tests. The biological treatments provided poor-to-moderate control (0-75%) of Japanese beetle larvae. Imidacloprid was the most frequently evaluated insecticide and achieved 91-100, 87-100, 83-100, and 41-100% control with applications in May, June, July, and August, respectively. Halofenozide treatments were not significantly different from imidacloprid treatments with one exception. Halofenozide provided 60-87, 85-100, and 82-92 control with applications made in June, July, and August, respectively. Fipronil and thiamethoxam were evaluated to a lesser extent but both performed similarly to imidacloprid. Most other insecticide treatments were less successful in reducing numbers of Japanese beetle larvae and with few exceptions achieved &lt;50% control.  KEYWORDS:  MeSH Chemical: Insecticides MeSH: | Animals| Bacillus thuringiensis| Coleoptera/majr| Crops, Agricultural/majr| Insect Control/majr/methods| Insecticides| Larva| Pest Control, Biological/majr/methods| Time Factors</t>
  </si>
  <si>
    <t>Mannion CM, McLane W, Klein MG, Moyseenko J, Oliver JB, Cowan D</t>
  </si>
  <si>
    <t>1151-61</t>
  </si>
  <si>
    <t>Fipronil-based photoaffinity probe for Drosophila and human beta 3 GABA receptors.</t>
  </si>
  <si>
    <t>Fipronil-based photoaffinity probe for Drosophila and human beta 3 GABA receptors.    ABSTRACT:  Modification of the major insecticide fipronil (1) by replacing three pyrazole substituents (hydrogen for both cyano and amino and trifluoromethyldiazirinyl for trifluoromethylsulfinyl) gives a candidate photoaffinity probe (3) of high potency (IC(50) 2-28 nM) in blocking the chloride channel of Drosophila and human beta 3 GABA receptors.  KEYWORDS:  MeSH Chemical: Insecticides| Photoaffinity Labels| Pyrazoles| Receptors, GABA-B| gamma-Aminobutyric Acid| fipronil MeSH: | Animals| Dose-Response Relationship, Drug| Drosophila| Humans| Insecticides/majr/pharmacology| Photoaffinity Labels/metabolism| Pyrazoles/majr/chemical synthesis/chemistry/metabolism/pharmacology| Receptors, GABA-B/majr/drug effects| gamma-Aminobutyric Acid/pharmacology</t>
  </si>
  <si>
    <t>Sirisoma NS, Ratra GS, Tomizawa M, Casida JE</t>
  </si>
  <si>
    <t>2979-81</t>
  </si>
  <si>
    <t>Sorption of fipronil and its metabolites on soils from South Australia.</t>
  </si>
  <si>
    <t>Sorption of fipronil and its metabolites on soils from South Australia.    ABSTRACT:  This paper reports on the sorption of fipronil [(+/-)-5-amino-1-(2,6-dichloro-alpha,alpha,alpha-trifluoro-p-tolyl)-4-trifluoromethyl-sulfinylpyrazole-3-carbonitrile] and its two main metabolites, desulfynil and sulfide derivatives on a range of soils from South Australia. The Freundlich sorption coefficient (Kf) values for fipronil on the soils ranged from 1.94 to 4.84 using a 5% acetonitrile/water mixture as the soil solution. Its two metabolites had a higher sorption affinity for soils, with Kf values ranging from 11.09 to 23.49 for the sulfide derivative and from 4.70 to 11.77 for the desulfynil derivative. Their sorption coefficients were found to be better related to the soil organic carbon than clay content. The presence of cosolvents in soil solutions had a significant influence on the sorption of fipronil. The Freundlich sorption coefficients showed a log linear relationship with the fractions of both acetonitrile and methanol in solutions. The sorption coefficient of fipronil on Turretfield soil in the aqueous solution was estimated to be from 13.80 to 19.19. Methanol had less effect on the sorption of fipronil than acetonitrile. The Kd values for fipronil on the eight soils using a 5% methanol/water mixture were from 5.34 to 13.85, which reflect more closely the sorption in the aqueous solution. The average Koc value for fipronil on the eight South Australian soils was calculated to be 825+/-214.  KEYWORDS:  MeSH Chemical: Acetonitriles| Insecticides| Pyrazoles| Soil| Soil Pollutants| Solvents| fipronil| Methanol| acetonitrile MeSH: | Acetonitriles/chemistry| Adsorption| Australia| Insecticides/majr/analysis/metabolism| Kinetics| Methanol/chemistry| Pyrazoles/majr/analysis/metabolism| Soil/majr/analysis| Soil Pollutants/majr/analysis| Solvents</t>
  </si>
  <si>
    <t>545-58</t>
  </si>
  <si>
    <t>Palatability and toxicity of fipronil as a systemic insecticide in a bromadiolone rodenticide bait for rat and flea control.</t>
  </si>
  <si>
    <t>Palatability and toxicity of fipronil as a systemic insecticide in a bromadiolone rodenticide bait for rat and flea control.    ABSTRACT:  Vector control in plague-infested areas requires a simultaneous killing of rodents and their fleas. We investigated the efficacy of a combination of a systemic insecticide, fipronil, in a rodenticide bait formulation under laboratory conditions. Four different concentrations of fipronil (0.05%, 0.005%, 0.0005% with acetone as a solvent, and 0.05% with propylene glycol as a solvent) and two controls (solvents only) were combined with the rodenticide bait (crushed organically grown wheat with 0.005% bromadiolone). Each concentration was offered together with an untreated non-poisonous challenge bait to 10 singly caged Rattus rattus L., each with 100 rat fleas Xenopsylla cheopis Rothschild (Siphonaptera: Pulicidae) in the nest. Treated bait consumption was relatively low and an unsatisfactory rat mortality of around 50% only was obtained in all tests. The palatability of the bait, however, was not affected by the fipronil concentration. Even at the lowest fipronil concentration, average flea mortality was still above 95%, and doses of more than I mg fipronil per kg rat body weight gave a nearly complete kill of fleas. Fipronil can be highly effective as a systemic insecticide to for flea control, provided that a more attractive bait base for roof rats is used.  KEYWORDS:  MeSH Chemical: 4-Hydroxycoumarins| Insecticides| Pyrazoles| Rodenticides| bromadiolone| fipronil MeSH: | 4-Hydroxycoumarins/majr/metabolism/toxicity| Animals| Female| Insecticides/majr/metabolism/toxicity| Male| Pyrazoles/majr/metabolism/toxicity| Rats| Rodent Control/majr/methods| Rodenticides/majr/metabolism/toxicity| Siphonaptera/majr/growth &amp; development| Taste</t>
  </si>
  <si>
    <t>Leirs H, Larsen KS, Lodal J</t>
  </si>
  <si>
    <t>Identification of rice cultivars resistant to Lissorhoptrus oryzophilus (Coleoptera: Curculionidae), and their use in an integrated management program.</t>
  </si>
  <si>
    <t>Identification of rice cultivars resistant to Lissorhoptrus oryzophilus (Coleoptera: Curculionidae), and their use in an integrated management program.    ABSTRACT:  The rice water weevil, Lissorhoptrus oryzophilus Kuschel, is the most destructive insect pest of rice in the United States and is a particularly severe pest in Louisiana. The current management program for this insect in Louisiana relies heavily on insecticides, most notably the seed treatment fipronil (Icon). Diversification of the management program by incorporation of alternative strategies is needed to improve the effectiveness and long-term stability of the program. In the three experiments reported here, three components of a diversified management program for the rice water weevil in Louisiana--host plant resistance, treatment of seeds with Icon, aid the cultural practice of delayed flooding--were investigated. Comparison of the densities of weevil larvae on the roots of several commercial cultivars indicated that the long-grain cultivar 'Jefferson' was more resistant to infestation by the rice water weevil than the other cultivars. The medium-grain cultivars 'Bengal', 'Earl' and 'Mars' and the long-grain variety 'Cocodrie' were the most susceptible to infestation. Comparison of yield data from untreated plots and plots treated with Icon indicated that the long-grain cultivars Cocodrie, Lemont, and Jefferson were more tolerant of weevil injury than the other cultivars. A 2-wk delay in flooding was associated with yield benefits in plots not treated with Icon. Treatment of seeds with Icon controlled weevils in all three screening experiments. The implications of these results for the development of an integrated management program for the rice water weevil are discussed.  KEYWORDS:  MeSH: | Animals| Coleoptera/majr| Oryza/majr/physiology| Pest Control, Biological/majr/methods</t>
  </si>
  <si>
    <t>Stout MJ, Rice WC, Linscombe SD, Bollich PK</t>
  </si>
  <si>
    <t>963-70</t>
  </si>
  <si>
    <t>Successful removal of German yellowjackets (Hymenoptera: Vespidae) by toxic baiting.</t>
  </si>
  <si>
    <t>Successful removal of German yellowjackets (Hymenoptera: Vespidae) by toxic baiting.    ABSTRACT:  Vespula germanica (F.) is a social vespid that has invaded many parts of the world, including Argentina. This wasp usually becomes a pest, affecting several economic activities. It also may impact the host community through predation or competition. The purpose of our study was to field test toxic baiting for reduction of wasp abundance. Wasps were poisoned with 0.1% fipronil mixed with raw minced beef in two beech forest sites on 20 February 2000 in northwestern Patagonia. All nests (46) within the two 6-ha sites with poisoned bait stations were killed, whereas Malaise traps in those sites captured 81.1% fewer wasps at the end of the season than traps in the two control sites. The average reduction of forager wasps on nontoxic baits was 87%. Fipronil was very effective in controlling wasp numbers, although there are limitations to the method, especially concerning conservation purposes. Toxic baiting can be useful in controlling wasp numbers in honey bee hive yards, farms, and parks.  KEYWORDS:  MeSH Chemical: Insecticides| Pyrazoles| fipronil MeSH: | Animals| Insect Control/majr/methods| Insecticides/majr| Population Density| Pyrazoles/majr| Seasons| Wasps/majr</t>
  </si>
  <si>
    <t>Sackmann P, Rabinovich M, Corley JC</t>
  </si>
  <si>
    <t>811-6</t>
  </si>
  <si>
    <t>Psoroptes species in alpacas.</t>
  </si>
  <si>
    <t>Psoroptes species in alpacas.    ABSTRACT:  NOABSTRACT. No abstract found.  KEYWORDS:  MeSH Chemical: Insecticides| Pyrazoles| fipronil MeSH: | Animals| Camelids, New World/majr/parasitology| Ear Diseases/majr/drug therapy/parasitology/veterinary| Insecticides/majr/therapeutic use| Mite Infestations/majr/drug therapy/veterinary| Pyrazoles/majr/therapeutic use| Secondary Prevention| Treatment Outcome</t>
  </si>
  <si>
    <t>Frame NW, Frame RK</t>
  </si>
  <si>
    <t>Toxicity of fipronil and its degradation products to Procambarus sp.: field and laboratory studies.</t>
  </si>
  <si>
    <t>Schlenk D, Huggett DB, Allgood J, Bennett E, Rimoldi J, Beeler AB, Block D, Holder AW, Hovinga R, Bedient P</t>
  </si>
  <si>
    <t>325-32</t>
  </si>
  <si>
    <t>GABA receptor subunit composition relative to insecticide potency and selectivity.</t>
  </si>
  <si>
    <t>GABA receptor subunit composition relative to insecticide potency and selectivity.    ABSTRACT:  Three observations on the 4-[(3)H]propyl-4'-ethynylbicycloorthobenzoate ([(3)H]EBOB) binding site in the gamma-aminobutyric acid (GABA) receptor indicate the specific target for insecticide action in human brain and a possible mechanism for selectivity. First, from published data, alpha-endosulfan, lindane and fipronil compete for the [(3)H]EBOB binding site with affinities of 0.3--7 nM in both human recombinant homooligomeric beta 3 receptors and housefly head membranes. Second, from structure-activity studies, including new data, GABAergic insecticide binding potency on the pentameric receptor formed from the beta 3 subunit correlates well with that on the housefly receptor (r=0.88, n=20). This conserved inhibitor specificity is consistent with known sequence homologies in the housefly GABA receptor and the human GABA(A) receptor beta 3 subunit. Third, as mostly new findings, various combinations of alpha 1, alpha 6, and gamma 2 subunits coexpressed with a beta 1 or beta 3 subunit confer differential insecticide binding sensitivity, particularly to fipronil, indicating that subunit composition is a major factor in insecticide selectivity.  KEYWORDS:  MeSH Chemical: Bridged Bicyclo Compounds, Heterocyclic| Insecticides| Pyrazoles| Receptors, GABA| 1-(4-ethynylphenyl)-4-propyl-2,6,7-trioxabicyclo(2.2.2)octane| Hexachlorocyclohexane| Endosulfan| fipronil MeSH: | Animals| Binding Sites| Binding, Competitive| Brain/drug effects/metabolism| Bridged Bicyclo Compounds, Heterocyclic/metabolism| Diptera| Endosulfan/metabolism| Hexachlorocyclohexane/metabolism| Humans| Insecticides/majr/metabolism| Protein Conformation/majr/drug effects| Pyrazoles/metabolism| Receptors, GABA/majr/chemistry/metabolism| Structure-Activity Relationship</t>
  </si>
  <si>
    <t>Ratra GS, Casida JE</t>
  </si>
  <si>
    <t>Determination of fipronil by solid-phase microextraction and gas chromatography-mass spectrometry.</t>
  </si>
  <si>
    <t>Determination of fipronil by solid-phase microextraction and gas chromatography-mass spectrometry.    ABSTRACT:  A method for the determination of trace amounts of the insecticide fipronil was developed using solid-phase microextraction-gas chromatography-mass spectrometry and selected ion monitoring. Fipronil was extracted with a fused-silica fiber coated with 85 microm polyacrylate. The effects of pH, ionic strength, sample volume, extraction and desorption times as well as the extraction temperature were studied. Lindane was used as an internal standard. The linear concentration range of application was 0.3-100 ng ml(-1) of fipronil, with a relative standard deviation of 9.5% (for a level of 50 ng ml(-1)) and a detection limit of 0.08 ng ml(-1). The method was applied to check the eventual existence of fipronil above this limit in water and soil samples from Granada (Spain) as well as in human urine samples. The method validation was completed with spiked matrix samples. The method can be applied as a monitoring tool for water, soil and urine, in the investigation of environmental and occupational exposure to fipronil.  KEYWORDS:  MeSH Chemical: Insecticides| Pesticide Residues| Pyrazoles| Soil| Water| fipronil MeSH: | Gas Chromatography-Mass Spectrometry/majr/methods| Humans| Hydrogen-Ion Concentration| Insecticides/majr/analysis/urine| Osmolar Concentration| Pesticide Residues/analysis/urine| Pyrazoles/majr/analysis/urine| Sensitivity and Specificity| Soil/analysis| Temperature| Water/analysis</t>
  </si>
  <si>
    <t>Vílchez JL, Prieto A, Araujo L, Navalón A</t>
  </si>
  <si>
    <t>919</t>
  </si>
  <si>
    <t>Laboratory evaluation of fipronil, a phenylpyrazole insecticide, against adult Anopheles (Diptera: Culicidae) and investigation of its possible cross-resistance with dieldrin in Anopheles stephensi.</t>
  </si>
  <si>
    <t>Laboratory evaluation of fipronil, a phenylpyrazole insecticide, against adult Anopheles (Diptera: Culicidae) and investigation of its possible cross-resistance with dieldrin in Anopheles stephensi.    ABSTRACT:  Adult mosquitoes from two strains of Anopheles gambiae and from three strains of Anopheles stephensi were exposed to 0.25% fipronil-treated papers in WHO test kits or to 500 mg fipronil m-2 impregnated mosquito netting in bioassay spheres. For comparison, tests were also carried out with the pyrethroid permethrin, using the same methods and doses, and on papers treated with 0.4 and 4% of the cyclodiene insecticide dieldrin. Compared with the same doses of permethrin, fipronil showed less and delayed activity. Two of the An stephensi strains were resistant to fipronil and dieldrin. To investigate whether this was due to a resistance mechanism in the An stephensi strains acting against both insecticides, the most fipronil- and dieldrin-tolerant strain was further selected in two separate lines with one of the insecticides, followed by tests with the insecticide that the line had not been selected with. This indicated a concomitant rise of resistance to dieldrin in the fipronil-selected line and vice versa. Repeated back-crossing of the two lines with a susceptible strain and re-selection with either dieldrin or fipronil gave evidence for the involvement of a single resistance mechanisms to both insecticides. Permethrin resistance in both lines declined with selection for dieldrin or fipronil and confirms the absence of cross-resistance between fipronil and pyrethroids.  KEYWORDS:  MeSH Chemical: Insecticides| Pyrazoles| Pyrethrins| Permethrin| Dieldrin| fipronil MeSH: | Animals| Anopheles/majr/genetics| Biological Assay| Crosses, Genetic| Dieldrin| Female| Insect Control| Insecticide Resistance/genetics| Insecticides/majr| Permethrin| Pyrazoles/majr| Pyrethrins</t>
  </si>
  <si>
    <t>Kolaczinski J, Curtis C</t>
  </si>
  <si>
    <t>41-5</t>
  </si>
  <si>
    <t>Cat flea (Ctenocephalides felis) infestation in quarantined marsh deer (Blastocerus dichotomus) populations.</t>
  </si>
  <si>
    <t>Cat flea (Ctenocephalides felis) infestation in quarantined marsh deer (Blastocerus dichotomus) populations.    ABSTRACT:  Marsh deer (Blastocerus dichotomus) were captured for a research program in Brazil and maintained in quarantine stations. After 60 days, fleas were detected on animals and identified as Ctenocephalides felis felis. Elimination of the infestation was difficult. Animal treatment with a fipronil-based compound was effective, and subsequently captured animals were treated prophylactically. Some animals remained infested, and some died from the infestation.  KEYWORDS:  MeSH Chemical: Insecticides| Pyrazoles| fipronil MeSH: | Animals| Animals, Zoo| Brazil/epidemiology| Deer/majr| Disease Outbreaks/majr/veterinary| Ectoparasitic Infestations/majr/drug therapy/veterinary| Insecticides/therapeutic use| Pyrazoles/therapeutic use| Quarantine/veterinary| Siphonaptera/majr</t>
  </si>
  <si>
    <t>Szabó MP, Matushima ER, Pereira MD, Werther K, Duarte JM</t>
  </si>
  <si>
    <t>576-7</t>
  </si>
  <si>
    <t>Method of insecticide delivery affects horizontal transfer of fipronil in the German cockroach (Dictyoptera: Blattellidae).</t>
  </si>
  <si>
    <t>Buczkowski G, Schal C</t>
  </si>
  <si>
    <t>680-5</t>
  </si>
  <si>
    <t>Monitoring insecticide resistance in house flies (Diptera: Muscidae) from New York dairies.</t>
  </si>
  <si>
    <t>Monitoring insecticide resistance in house flies (Diptera: Muscidae) from New York dairies.    ABSTRACT:  House flies were collected from dairies across New York state and the levels of resistance to seven insecticides were measured using standard laboratory assays with three to five diagnostic concentrations. The highest levels of resistance were found for tetrachlorvinphos, permethrin and cyfluthrin. Although levels of resistance to methomyl were somewhat lower, they were among the highest ever reported for field-collected house flies. Resistance to pyrethrins was limited primarily to the lowest diagnostic concentration. House flies were susceptible to fipronil at all dairies, suggesting that this material would be highly effective for fly control. The levels of resistance were similar at all the dairies, irrespective of their insecticide use, suggesting substantial movement of flies between facilities. Relative to resistance levels found at New York dairies in 1987, resistance levels had increased for permethrin, were unchanged for tetrachlorvinphos and had decreased for dimethoate. To identify a single diagnostic concentration that could be used in the laboratory assays to assess accurately resistance levels in future studies, we carried out a 'simulated' field bioassay using formulated materials. A diagnostic concentration for each insecticide is proposed on the basis of a comparison of our bioassays.  KEYWORDS:  MeSH Chemical: Insecticides MeSH: | Adaptation, Physiological/drug effects| Animal Husbandry| Animals| Biological Assay/methods| Dairying/majr/statistics &amp; numerical data| Environmental Monitoring| Female| Houseflies/majr| Insect Control/methods| Insecticide Resistance/majr| Insecticides/majr| Models, Biological| New York| Tissue Survival/drug effects</t>
  </si>
  <si>
    <t>Kaufman PE, Scott JG, Rutz DA</t>
  </si>
  <si>
    <t>514-21</t>
  </si>
  <si>
    <t>High-affinity ivermectin binding to recombinant subunits of the Haemonchus contortus glutamate-gated chloride channel.</t>
  </si>
  <si>
    <t>Cheeseman CL, Delany NS, Woods DJ, Wolstenholme AJ</t>
  </si>
  <si>
    <t>161-8</t>
  </si>
  <si>
    <t>Abiotic processes influencing fipronil and desthiofipronil dissipation in California, USA, rice fields.</t>
  </si>
  <si>
    <t>Abiotic processes influencing fipronil and desthiofipronil dissipation in California, USA, rice fields.    ABSTRACT:  Fipronil insecticide dissipated in California rice fields, producing half-lives of 10.5 to 125 h in water and 44.5 to 533 h in soil, depending on the formulation applied and the resulting differences in water solubility. The major degradation products were desthiofipronil in water and fipronil-sulfide in soil, while the sulfone and amide were less abundant. Fipronil was photolyzed rapidly to desthiofipronil in deionized water in the laboratory (t1/2 = 7.97-9.42 h) and even faster in the presence of H2O2 (t1/2 = 0.874-4.51 h). Fipronil was also hydrolyzed to amide in base (t1/2 = 542 h at pH 9) and volatilized slowly from water (H = 6.60 x 10(-6) m3.atm/mol), properties not explaining its rapid field water dissipation. Desthiofipronil was more stable than fipronil to direct photolysis (t1/2 = 120-149 h), was indirectly photolyzed in the presence of H2O2 (t1/2 = 0.853-3.76 h), and was nonvolatile from water. The desthiofipronil observed in field water was formed photochemically from fipronil, accumulated due to slower photolysis and lack of volatility from water, but eventually dissipated.  KEYWORDS:  MeSH Chemical: Insecticides| Pyrazoles| desthiofipronil| fipronil MeSH: | California| Crops, Agricultural/majr| Hydrolysis| Insecticides/majr/chemistry| Oryza/majr| Photolysis| Pyrazoles/majr/chemistry</t>
  </si>
  <si>
    <t>Ngim KK, Crosby DG</t>
  </si>
  <si>
    <t>972-7</t>
  </si>
  <si>
    <t>Acceptance and intake of gel and liquid sucrose compositions by the Argentine ant (Hymenoptera: Formicidae).</t>
  </si>
  <si>
    <t>Acceptance and intake of gel and liquid sucrose compositions by the Argentine ant (Hymenoptera: Formicidae).    ABSTRACT:  Liquids and gels are common delivery forms used in commercial ant baits, but the relative effectiveness of each is unknown. We compared the feeding responses of the Argentine ant, Linepithema humile (Mayr), to liquid and gel compositions of sucrose. In choice assays, more workers were counted on gel than liquid; however, substantially more liquid was consumed. Because workers could stand on the gel, more workers could feed simultaneously on the gel. The feeding bouts of individual workers, however, were much less efficient at extracting sucrose in gel form. Workers fed eightfold longer on the gel, yet removed fivefold less sucrose than workers feeding on liquid. This potential bias should be considered during attraction and palatability studies that use physically different bait compositions. When the toxicant fipronil was added to the compositions, a greater proportion of the colony died after workers had fed on liquid than gel baits. This finding suggests that liquid formulations may provide more effective control of Argentine ants due to the greater speed and abundance in which it is ingested.  KEYWORDS:  MeSH Chemical: Carbohydrates| Gels MeSH: | Animals| Ants/majr| Argentina| Carbohydrates| Feeding Behavior/majr| Gels| Insect Control/majr/methods| Time Factors</t>
  </si>
  <si>
    <t>Silverman J, Roulston TH</t>
  </si>
  <si>
    <t>511-5</t>
  </si>
  <si>
    <t>Fate of a phenylpyrazole in vegetation and soil under tropical field conditions.</t>
  </si>
  <si>
    <t>Fate of a phenylpyrazole in vegetation and soil under tropical field conditions.    ABSTRACT:  The fate of fipronil, a phenylpyrazole insecticide, and its metabolites under tropical conditions was studied in soil and in vegetation after treatment for locust control. Two different plots were treated with a formulation of fipronil at doses of 5 and 10 g of active ingredient ha(-)(1), respectively. Vegetation and soil at depths of 0-5 and 5-20 cm were sampled for up to 2 months after treatment. After extraction and purification on fipronil immunoaffinity cartridges, residues were analyzed by gas chromatography using electron capture and mass detectors. In soil, a rapid initial decrease of fipronil was observed with a rapid formation of the sulfone and the photodegradate; the amide and the sulfide were not detected. In vegetation, a rapid initial decrease of fipronil was also observed with a rapid formation of mostly the sulfone; the photodegradate and the sulfide were also detected but at much lower concentrations. The metabolites resulting from the degradation of fipronil were similar in both soil and vegetation, but their relative concentrations were different.  KEYWORDS:  MeSH Chemical: Pesticide Residues| Pesticides| Pyrazoles| Soil Pollutants| fipronil MeSH: | Animals| Chromatography, Gas/methods| Electrochemistry/methods| Gas Chromatography-Mass Spectrometry/methods| Grasshoppers| Pest Control/methods| Pesticide Residues/majr/analysis| Pesticides/majr/analysis| Plants/majr/chemistry| Pyrazoles/majr/analysis| Soil Pollutants/majr/analysis| Tropical Climate</t>
  </si>
  <si>
    <t>Fenet H, Beltran E, Gadji B, Cooper JF, Coste CM</t>
  </si>
  <si>
    <t>1293-7</t>
  </si>
  <si>
    <t>Role of human GABA(A) receptor beta3 subunit in insecticide toxicity.</t>
  </si>
  <si>
    <t>Ratra GS, Kamita SG, Casida JE</t>
  </si>
  <si>
    <t>233-40</t>
  </si>
  <si>
    <t>Control of flea populations in a simulated home environment model using lufenuron, imidacloprid or fipronil.</t>
  </si>
  <si>
    <t>Jacobs DE, Hutchinson MJ, Ryan WG</t>
  </si>
  <si>
    <t>73-7</t>
  </si>
  <si>
    <t>Characterization of acaricide resistance in Rhipicephalus sanguineus (latreille) (Acari: Ixodidae) collected from the Corozal Army Veterinary Quarantine Center, Panama.</t>
  </si>
  <si>
    <t>Characterization of acaricide resistance in Rhipicephalus sanguineus (latreille) (Acari: Ixodidae) collected from the Corozal Army Veterinary Quarantine Center, Panama.    ABSTRACT:  Rhipicephalus sanguineus (Latreille) were collected from the Corozal Army Veterinary Quarantine Center in Panama and characterized for resistance to five classes of acaricides. These ticks were highly resistant to permethrin, DDT, and coumaphos; moderately resistant to amitraz; and not resistant to fipronil when compared with susceptible strains. Resistance to both permethrin and DDT may result from a mutation of the sodium channel. However, synergist studies indicate that enzyme activity is involved. The LC50 estimate for permethrin was lowered further in the Panamanian strain then in susceptible strains with the addition of triphenylphosphate (TPP), but not with the addition ofpiperonyl butoxide (PBO). This suggests that esterases and not oxidases are responsible for at least some pyrethroid resistance. Elevated esterase activity and its inhibition by TPP were confirmed by native gel electrophoresis. The LC50 estimate obtained for coumaphos in the Panamanian strain was not lowered further than what was observed for susceptible strains by the addition of TPP or PBO. This indicates that enzyme activity might not be involved in coumaphos resistance. Resistance to amitraz was measured through a modification of the Food and Agriculture Organization Larval Packet Test. All tick strains were found to be susceptible to fipronil.  KEYWORDS:  MeSH Chemical: Insecticides MeSH: | Animals| Biological Assay| Electrophoresis/methods| Female| Insecticide Resistance| Insecticides/majr| Panama| Tick Control/majr/methods| Tick Infestations/majr/parasitology/veterinary| Ticks/majr</t>
  </si>
  <si>
    <t>Miller RJ, George JE, Guerrero F, Carpenter L, Welch JB</t>
  </si>
  <si>
    <t>298-302</t>
  </si>
  <si>
    <t>Topical application as a method for comparing  the effectiveness of insecticides against cat flea (Siphonaptera: Pulicidae).</t>
  </si>
  <si>
    <t>Topical application as a method for comparing  the effectiveness of insecticides against cat flea (Siphonaptera: Pulicidae).    ABSTRACT:  A topical (micro-droplet) bioassay is described for the cat flea, Ctenocephalides felis (Bouche). Key parameters are the short carbon dioxide anesthetization and the use of 0.1 ml of acetone per flea. The method was used to compare the effectiveness of 13 insecticides. LD95 values in nanograms per flea were nitenpyram 0.68, fipronil 0.69, deltamethrin 0.70, imidacloprid 0.81, cypermethrin 5.4, fenthion 8.0, diazinon 12, permethrin 19, malathion 29, bendiocarb 170, DDT 710, propoxur 1,300, carbaryl &gt;10,000. Experiments repeated 2-5 yr later, with five of the chemicals, in a different facility, showed only small shifts in potency (0.38- to twofold of the original LD50 values).  KEYWORDS:  MeSH Chemical: Insecticides MeSH: | Animals| Biological Assay/methods| Cats| Insect Control/majr/methods| Insecticides/majr| Siphonaptera/majr</t>
  </si>
  <si>
    <t>Moyses EW, Gfeller FJ</t>
  </si>
  <si>
    <t>193-6</t>
  </si>
  <si>
    <t>Comparative study on the effects of three insecticides (fipronil, imidacloprid, selamectin) on developmental stages of the cat flea (Ctenocephalides felis Bouché 1835): a light and electron microscopic analysis of in vivo and in vitro experiments.</t>
  </si>
  <si>
    <t>Mehlhorn H, Hansen O, Mencke N</t>
  </si>
  <si>
    <t>198-207</t>
  </si>
  <si>
    <t>Evaluation of the speed of kill of fleas and ticks with Frontline Top Spot in dogs.</t>
  </si>
  <si>
    <t>Cruthers L, Slone RL, Guerrero AJ, Robertson-Plouch C</t>
  </si>
  <si>
    <t>170-4</t>
  </si>
  <si>
    <t>Purification and characterization of trans-permethrin metabolizing microsomal esterases from workers of the eastern subterranean termite, Reticulitermes flavipes (Kollar).</t>
  </si>
  <si>
    <t>Valles SM, Oi FM, Strong CA</t>
  </si>
  <si>
    <t>6-7</t>
  </si>
  <si>
    <t>715-25</t>
  </si>
  <si>
    <t>GLC-3: a novel fipronil and BIDN-sensitive, but picrotoxinin-insensitive, L-glutamate-gated chloride channel subunit from Caenorhabditis elegans.</t>
  </si>
  <si>
    <t>Horoszok L, Raymond V, Sattelle DB, Wolstenholme AJ</t>
  </si>
  <si>
    <t>132</t>
  </si>
  <si>
    <t>1247-54</t>
  </si>
  <si>
    <t>Lethal and sublethal effects of insecticide residues on Orius insidiosus (Hemiptera: Anthocoridae) and Geocoris punctipes (Hemiptera: Lygaeidae).</t>
  </si>
  <si>
    <t>Elzen GW</t>
  </si>
  <si>
    <t>55-9</t>
  </si>
  <si>
    <t>Efficacy of fipronil against ticks.</t>
  </si>
  <si>
    <t>Efficacy of fipronil against ticks.    ABSTRACT:  NOABSTRACT. No abstract found.  KEYWORDS:  MeSH Chemical: Insecticides| Pyrazoles| fipronil MeSH: | Animals| Cat Diseases/majr/drug therapy/parasitology| Cats| Dog Diseases/majr/drug therapy/parasitology| Dogs| Insecticides/majr/therapeutic use| Pyrazoles/majr/therapeutic use| Tick Infestations/majr/drug therapy/veterinary| Ticks| Treatment Outcome</t>
  </si>
  <si>
    <t>Denny DJ</t>
  </si>
  <si>
    <t>Fipronil modulation of gamma-aminobutyric acid(A) receptors in rat dorsal root ganglion neurons.</t>
  </si>
  <si>
    <t>Ikeda T, Zhao X, Nagata K, Kono Y, Shono T, Yeh JZ, Narahashi T</t>
  </si>
  <si>
    <t>914-21</t>
  </si>
  <si>
    <t>Synergism of tebufenozide in resistant and susceptible strains of obliquebanded leafroller (Lepidoptera: Tortricidae) and resistance to new insecticides.</t>
  </si>
  <si>
    <t>Synergism of tebufenozide in resistant and susceptible strains of obliquebanded leafroller (Lepidoptera: Tortricidae) and resistance to new insecticides.    ABSTRACT:  Cross-resistance of the obliquebanded leafroller, Choristoneura rosaceana (Harris), to tebufenozide was reported from laboratory studies before it had been used in commercial orchards in New York State. Bioassays with obliquebanded leafroller larvae from tebufenozide and organophosphate susceptible and resistant colonies were conducted with chlorfenapyr, emamectin benzoate, fenoxycarb, fipronil, spinosad, and tebufenozide to determine if cross-resistance was present before these new insecticides were introduced into commercial orchards. Resistance ratios ranged from 1.1 to 3.2 for all insecticides except tebufenozide (12.8). Significant differences between susceptible and resistant colonies were found with emamectin benzoate, fenoxycarb, and fipronil. The effect of the metabolic synergists piperonyl butoxide (PBO) and diethyl maleate (DEM) on tebufenozide toxicity was examined to determine mechanisms for obliquebanded leafroller resistance to tebufenozide and potential mechanisms for other new insecticides. At a concentration of 20 ppm, PBO and DEM significantly synergized the toxicity of tebufenozide in resistant and susceptible colonies (three- to fourfold). Obliquebanded leafrollers may be resistant to new insecticides with distinct modes of action even if these compounds have not been previously used in commercial orchards.  KEYWORDS:  MeSH Chemical: Hydrazines| Insecticides| Maleates| diethyl maleate| Piperonyl Butoxide| tebufenozide MeSH: | Animals| Drug Synergism| Hydrazines/majr/administration &amp; dosage| Insecticide Resistance/majr| Insecticides/majr/administration &amp; dosage| Lepidoptera/majr| Maleates/administration &amp; dosage| Piperonyl Butoxide/administration &amp; dosage</t>
  </si>
  <si>
    <t>Waldstein DE, Reissig WH</t>
  </si>
  <si>
    <t>1768-72</t>
  </si>
  <si>
    <t>Comparisons of toxic baits for controlling the cockroach, Blattella germanica: attractiveness and feeding stimulation.</t>
  </si>
  <si>
    <t>410-8</t>
  </si>
  <si>
    <t>Evaluation of efficacy of selamectin, fipronil, and imidacloprid against Ctenocephalides felis in dogs.</t>
  </si>
  <si>
    <t>Ritzhaupt LK, Rowan TG, Jones RL</t>
  </si>
  <si>
    <t>217</t>
  </si>
  <si>
    <t>1669-71</t>
  </si>
  <si>
    <t>Evaluation of efficacy of selamectin and fipronil against Ctenocephalides felis in cats.</t>
  </si>
  <si>
    <t>Evaluation of efficacy of selamectin and fipronil against Ctenocephalides felis in cats.    ABSTRACT:  To evaluate efficacy of monthly administration of selamectin and fipronil against Ctenocephalides felis in cats.Randomized controlled trial.36 healthy cats.Cats known to be free of fleas were infested with 100 unfed adult fleas on days -28 and -21. On days 0, 30, 60, 90, and 120, sixteen cats (8 pairs/treatment group) were treated by topical administration of selamectin (6 mg/kg [2.7 mg/lb] of body weight) or fipronil (7.5 mg/kg [3.4 mg/lb]). Four control cats (2 pairs) were not treated. On day -6 and every 2 weeks after initial treatment, comb counts were performed to detect fleas. Flea counts were recorded, and fleas (&lt; or =50) that had been removed were replaced onto the cat. On day 89, fleas were not replaced. On day 91 and every 7 days until the end of the study (day 150), cats were challenged with 20 adult fleas. Flea counts were compared between and within treatments.14 days after treatment, geometric mean flea counts were reduced by 71.2% by fipronil treatment and 35.3% by selamectin treatment. Both treatments resulted in 97 to 98% reduction in flea counts on day 29 and 99.8 to 100% reduction from day 44 to the end of the study.Selamectin is as effective as fipronil in treating infestation in cats housed for 3 months in a flea-infested environment under conditions known to support the flea life cycle and in protecting against subsequent weekly challenges with C felis for an additional 2 months.  KEYWORDS:  MeSH Chemical: Antiparasitic Agents| Pyrazoles| Ivermectin| selamectin| fipronil MeSH: | Administration, Topical| Animals| Antiparasitic Agents/majr/administration &amp; dosage/standards| Cat Diseases/majr/drug therapy/parasitology| Cats| Ectoparasitic Infestations/majr/drug therapy/veterinary| Female| Ivermectin/majr/administration &amp; dosage/analogs &amp; derivatives/standards| Least-Squares Analysis| Male| Pyrazoles/majr/administration &amp; dosage/standards| Siphonaptera/majr/growth &amp; development</t>
  </si>
  <si>
    <t>1666-8</t>
  </si>
  <si>
    <t>Elucidation of fipronil photodegradation pathways.</t>
  </si>
  <si>
    <t>Elucidation of fipronil photodegradation pathways.    ABSTRACT:  The phenylpyrazole insecticide fipronil (I) photolyzes to its desthio product (II) in aqueous solution. However, the necessity of an intervening oxidation to a sulfone intermediate (III) has not been resolved, and the photodegradation products of II have not been identified. Using GC-MS, HPLC-UV/vis, electrospray MS, (19)F NMR, and GC-TSD, our objective was to characterize the photodegradation pathways of I, which would clarify the role of III, identify products of II, and explain unbalanced mass accounts in previous studies. Findings showed that II is formed directly and photochemically from I, confirmed by the greater stability of III (t(1/2) 112 h), and that successive oxidations of I to III and then a sulfonate (IV) comprise a second pathway. Compound II underwent photodechlorination, substitution of chlorine by trifluoromethyl, and pyrazole ring cleavage. This work is significant to understanding the photochemistry of novel phenylpyrazole pesticides in the environment.  KEYWORDS:  MeSH Chemical: Indicators and Reagents| Insecticides| Pyrazoles| fipronil MeSH: | Gas Chromatography-Mass Spectrometry| Indicators and Reagents| Insecticides/majr/chemistry/radiation effects| Light| Magnetic Resonance Spectroscopy| Photochemistry| Photolysis| Pyrazoles/majr/chemistry/radiation effects| Spectrophotometry, Ultraviolet</t>
  </si>
  <si>
    <t>Ngim KK, Mabury SA, Crosby DG</t>
  </si>
  <si>
    <t>4661-5</t>
  </si>
  <si>
    <t>Control of fleas on naturally infested dogs and cats and in private residences with topical spot applications of fipronil or imidacloprid.</t>
  </si>
  <si>
    <t>Control of fleas on naturally infested dogs and cats and in private residences with topical spot applications of fipronil or imidacloprid.    ABSTRACT:  Thirty-four flea-infested dogs and cats residing in 20 homes in Tampa, FL were randomly placed into 1 of 2 treatment groups during the summer of 1997. Pets were treated topically with either 10.0%w/v imidacloprid or 10%w/v fipronil spot-on on day 0, then once for every 28-30 days for 90 days. Flea populations were assessed in the environment using an intermittent-light trap, while pet flea burdens were assessed using visual area counts. A single application of imidacloprid was 95.3 and 97.4% effective in reducing flea populations on pets at 7 and 28 days, respectively. A single application of fipronil was 97.5 and 97.0% effective in reducing flea populations on pets at the same time points. Following 3 monthly applications of either imidacloprid or fipronil, flea burdens on pets were reduced by 99.5 and 96.5%, respectively. In addition, flea numbers in the in-home environment were reduced by 99. 0 and 98.6% in homes, where pets were treated with imidacloprid or fipronil, respectively.  KEYWORDS:  MeSH Chemical: Imidazoles| Insecticides| Neonicotinoids| Nitro Compounds| Pyrazoles| imidacloprid| fipronil MeSH: | Administration, Topical| Animals| Cat Diseases/majr/prevention &amp; control| Cats| Dog Diseases/majr/prevention &amp; control| Dogs| Ectoparasitic Infestations/majr/drug therapy/veterinary| Imidazoles/majr/administration &amp; dosage/therapeutic use| Insect Control/majr| Insecticides/majr/administration &amp; dosage/therapeutic use| Neonicotinoids| Nitro Compounds| Pyrazoles/majr/administration &amp; dosage/therapeutic use| Siphonaptera/majr</t>
  </si>
  <si>
    <t>Dryden MW, Denenberg TM, Bunch S</t>
  </si>
  <si>
    <t>Insecticide resistance and cross-resistance in the house fly (Diptera: Muscidae).</t>
  </si>
  <si>
    <t>Liu N, Yue X</t>
  </si>
  <si>
    <t>1269-75</t>
  </si>
  <si>
    <t>Co-existence in DUM neurones of two GluCl channels that differ in their picrotoxin sensitivity.</t>
  </si>
  <si>
    <t>Co-existence in DUM neurones of two GluCl channels that differ in their picrotoxin sensitivity.    ABSTRACT:  Whole cell patch-clamp electrophysiology was used to study the effects of L-glutamate on dissociated cockroach (Periplaneta americana) dorsal unpaired median (DUM) neurones. Application of L-glutamate via pressure-ejection pipette resulted in a two-component hyperpolarization, consisting of an initial transient and a second, prolonged phase. Under voltage-clamp, using isotonic chloride in the saline and intrapipette solutions, two L-glutamate-gated inward currents were characterized. Their reversal potentials were close to the equilibrium potential for chloride ions. One component was selectively activated by ibotenate and was sensitive to picrotoxin (100 microM), BIDN (10 microM) and the phenylpyrazole insecticide fipronil (10 microM), known to be potent blockers of insect GABA-gated chloride channels. The second component was insensitive to picrotoxin (100 microM) and BIDN (10 microM). These findings demonstrated, for the first time, the co-existence of two pharmacologically distinct native insect neuronal L-glutamate-gated chloride channels.  KEYWORDS:  MeSH Chemical: Bridged Bicyclo Compounds| Chloride Channels| GABA Antagonists| Insecticides| Nitriles| Pyrazoles| glutamate-gated chloride channels| Picrotoxin| Ibotenic Acid| Glutamic Acid| 3,3-bis(trifluoromethyl)bicyclo(2.2.1)heptane-2,2-dicarbonitrile| fipronil MeSH: | Animals| Bridged Bicyclo Compounds/pharmacology| Chloride Channels/majr/drug effects/metabolism/physiology| Cockroaches/majr/metabolism| Electric Conductivity| GABA Antagonists/majr/pharmacology| Ganglia, Invertebrate/majr/cytology/metabolism| Glutamic Acid/pharmacology| Ibotenic Acid/pharmacology| Insecticides/pharmacology| Male| Neurons/majr/drug effects/metabolism| Nitriles/pharmacology| Patch-Clamp Techniques| Picrotoxin/majr/pharmacology| Pyrazoles/pharmacology</t>
  </si>
  <si>
    <t>Raymond V, Sattelle DB, Lapied B</t>
  </si>
  <si>
    <t>2695-701</t>
  </si>
  <si>
    <t>Single channel analysis of the blocking actions of BIDN and fipronil on a Drosophila melanogaster GABA receptor (RDL) stably expressed in a Drosophila cell line.</t>
  </si>
  <si>
    <t>Grolleau F, Sattelle DB</t>
  </si>
  <si>
    <t>1833-42</t>
  </si>
  <si>
    <t>Development of an assay for the screening of compounds against larvae of the cat flea (Siphonaptera: Pulicidae).</t>
  </si>
  <si>
    <t>Development of an assay for the screening of compounds against larvae of the cat flea (Siphonaptera: Pulicidae).    ABSTRACT:  Larvae of the cat flea, Ctenocephalides felis (Bouché), are the target of numerous growth regulators. This study explores the development of an assay that tests the susceptibility of cat flea larvae to a wide range of compounds. Different rearing media and containment units were tested that would facilitate optimization. Larvae of various ages were compared, and 7-d-old larvae were found to be optimal because they were the most uniform in size and age and exhibited a need to feed. The assay could be used to distinguish insecticides from growth inhibitors. The insecticides chlorpyrifos and carbaryl caused 100% larval mortality in 24 h at 10 ppm, and cythioate and fipronil killed the larvae at concentrations of &gt; or = 100 ppm within 24 h. The insect growth regulators methoprene and pyriproxifen caused molt delay at concentrations of 100 ppm and bioallethrin delayed molt at 1,000 ppm. This assay can be used to identify compounds that are specific to cat flea larvae that may be useful in the control of cat flea infestations.  KEYWORDS:  MeSH Chemical: Insecticides MeSH: | Animals| Cats| Insect Control/methods| Insecticides/majr| Larva| Siphonaptera/majr</t>
  </si>
  <si>
    <t>Zakson-Aiken M, Gregory LM, Shoop WL</t>
  </si>
  <si>
    <t>571-4</t>
  </si>
  <si>
    <t>Oral toxicity of abamectin, boric acid, fipronil, and hydramethylnon to laboratory colonies of Argentine ants (Hymenoptera: Formicidae).</t>
  </si>
  <si>
    <t>Oral toxicity of abamectin, boric acid, fipronil, and hydramethylnon to laboratory colonies of Argentine ants (Hymenoptera: Formicidae).    ABSTRACT:  Comprehensive laboratory baiting studies with the 4 insecticides abamectin, boric acid, fipronil, and hydramethylnon were conducted against Argentine ant, Linepithema humile (Mayr). Serial dilutions of each insecticide prepared in a 25% sucrose solution were provided for 24 h or 14 d to groups of workers and queens. Sucrose-water baits containing 1 x 10(-5)% fipronil and 0.1% hydramethylnon provided complete mortality of L. humile workers baited for 24 h. Baits containing 1 x 10(-4) and 1 x 10(-5)% fipronil provided 100% kill of queens. In the continuous baiting, 0.5% boric acid, 1 x 10(-6)% fipronil, and 0.025% hydramethylnon provided 100% mortality of workers. The queens and workers provided baits containing 1 x 10(-5)% fipronil and 0.5% boric acid all died within 14 d. Low concentrations of fipronil and boric acid in sucrose may be promising candidates for Argentine ant control.  KEYWORDS:  MeSH Chemical: Boric Acids| Insecticides| Pyrazoles| Pyrimidinones| abamectin| Ivermectin| hydramethylnon| fipronil| boric acid MeSH: | Administration, Oral| Animals| Ants/majr| Argentina| Boric Acids/majr| Insecticides/majr| Ivermectin/majr/analogs &amp; derivatives| Pyrazoles/majr| Pyrimidinones/majr| Time Factors</t>
  </si>
  <si>
    <t>Hooper-Bui LM, Rust MK</t>
  </si>
  <si>
    <t>858-64</t>
  </si>
  <si>
    <t>Repellency and efficacy of 65% permethrin and 9.7% fipronil against Ixodes ricinus.</t>
  </si>
  <si>
    <t>Endris RG, Matthewson MD, Cooke MD, Amodie D</t>
  </si>
  <si>
    <t>159-68</t>
  </si>
  <si>
    <t>Resistance to dieldrin + fipronil assorts with chromosome inversion 2La in the malaria vector Anopheles gambiae.</t>
  </si>
  <si>
    <t>Resistance to dieldrin + fipronil assorts with chromosome inversion 2La in the malaria vector Anopheles gambiae.    ABSTRACT:  Cyclodiene insecticide resistance in malaria vector mosquitoes of the Anopheles gambiae species complex (Diptera: Culicidae) has been reported previously from several parts of Africa. We report resistance to dieldrin, a cyclodiene, in two laboratory strains of An. gambiae Giles sensu stricto code-named Ian P20 from Nigeria (1979) and CIG from Cote d'Ivoire (1997). Dieldrin resistance levels were high in adult female mosquitoes (40-75% survived exposure to 4% dieldrin for 1 h) and was closely linked with chromosomal paracentric inversion 2La. This inversion did not occur in Hardy-Weinberg proportions, but showed an excess of heterozygotes in both strains, which may account for the high levels of resistance. This linkage also suggests that dieldrin resistance in Ian P20 is dominant. After subsamples of strain Ian P20 were exposed for 1 h to dieldrin 4% or fipronil 2% (discriminating concentrations), the resultant mortality-rates (61% and 65%) were not significantly different. Most survivors after fipronil treatment also survived subsequent exposure to dieldrin (46/50=92%). This apparent cross-resistance between insecticides of two classes (cyclodiene and phenyl pyrazole) has implications for the management of insecticide resistance in wild populations of the An. gambiae complex.  KEYWORDS:  MeSH Chemical: Insecticides| Pyrazoles| Dieldrin| fipronil MeSH: | Animals| Anopheles/majr/genetics| Chromosome Inversion/majr| Dieldrin/majr/administration &amp; dosage| Drug Resistance/genetics| Female| Genetic Linkage| Insect Control| Insect Vectors/majr| Insecticides/majr| Karyotyping/veterinary| Male| Pyrazoles/majr/administration &amp; dosage</t>
  </si>
  <si>
    <t>Brooke BD, Hunt RH, Coetzee M</t>
  </si>
  <si>
    <t>190-4</t>
  </si>
  <si>
    <t>Secondary transmission of toxic baits in German cockroach (Dictyoptera: Blattellidae).</t>
  </si>
  <si>
    <t>Secondary transmission of toxic baits in German cockroach (Dictyoptera: Blattellidae).    ABSTRACT:  The death rates of three toxic gel baits (fipronil bait, 0.05%; hydramethylnon, bait 2.15%; and abamectin B1 bait, 0.05%) were estimated in Blattella germanica (L.). After ingestion, all three baits killed similar proportions of cockroaches, but they died more rapidly after ingestion of fipronil bait than after ingestion of abamectin B1 bait or of hydramethylnon bait. Laboratory experiments evaluated the impact of secondary transmission of fipronil bait and hydramethylnon bait. Mortality rates caused by secondary transmission were higher for fipronil bait than for hydramethylnon bait. Under controlled laboratory conditions, secondary transmission occurred mainly through direct contact with, or ingestion of, traces of baits dispersed in the environment by contaminated cockroaches. These traces were either deposited by "trampling" in the environment or on dead contaminated cockroaches. Social interactions and cannibalism played a minor role in secondary transmission of these two baits.  KEYWORDS:  MeSH Chemical: Insecticides| Pyrazoles| Pyrimidinones| abamectin| Ivermectin| hydramethylnon| fipronil MeSH: | Animals| Blattellidae/majr| Insecticides/majr| Ivermectin/majr/analogs &amp; derivatives| Pyrazoles/majr| Pyrimidinones/majr| Social Behavior</t>
  </si>
  <si>
    <t>434-40</t>
  </si>
  <si>
    <t>Lethal and sublethal effects of selected insecticides and an insect growth regulator on the boll weevil (Coleoptera: Curculionidae) ectoparasitoid Catolaccus grandis (Hymenoptera: Pteromalidae).</t>
  </si>
  <si>
    <t>Lethal and sublethal effects of selected insecticides and an insect growth regulator on the boll weevil (Coleoptera: Curculionidae) ectoparasitoid Catolaccus grandis (Hymenoptera: Pteromalidae).    ABSTRACT:  A laboratory culture of Catolaccus grandis (Burks), an ectoparasitoid of the boll weevil, Anthonomus grandis grandis Boheman, was exposed to lethal and sublethal doses of insecticides and an insect growth regulator using a spray chamber bioassay. Materials tested were azinphos-methyl, endosulfan, fipronil, malathion, cyfluthrin, dimethoate, spinosad, methyl parathion, acephate, oxamyl, and tebufenozide. At full rates, spinosad was significantly less toxic to female C. grandis than other treatments except endosulfan. Fipronil and malathion were significantly more toxic to females than other treatments. Most of the chemicals tested were highly toxic to male C. grandis; spinosad was least toxic. At reduced rates, most of 4 selected chemicals tested were low in toxicity to C. grandis; however, a reduced rate of malathion was significantly more toxic to females than other treatments. No C. grandis pupae developed from parasitism during a 24-h treatment period with malathion or spinosad. The sex ratio of progeny from sprayed adults appeared to be unaffected by the treatments.  KEYWORDS:  MeSH Chemical: Insecticides| Juvenile Hormones MeSH: | Animals| Coleoptera/majr/parasitology| Female| Insect Control/methods| Insecticides/majr| Juvenile Hormones/majr| Male| Wasps/majr</t>
  </si>
  <si>
    <t>Elzen GW, Maldonado SN, Rojas MG</t>
  </si>
  <si>
    <t>300-3</t>
  </si>
  <si>
    <t>Susceptibility of British head lice, Pediculus capitis, to imidacloprid and fipronil.</t>
  </si>
  <si>
    <t>Susceptibility of British head lice, Pediculus capitis, to imidacloprid and fipronil.    ABSTRACT:  The head louse, Pediculus capitis De Geer (Phthiraptera: Pediculidae) has developed resistance to organochlorines, the organophosphate malathion and to pyrethroids in the U.K. Therefore, headlice from Bristol school children were bioassayed against two new insecticides, fipronil and imidacloprid. Pediculus capitis was fully susceptible to imidacloprid, but it required a relatively high dose and acted slowly. Fipronil acted faster at lower dose, but seemed to be affected by cross-resistance in a small proportion of P. capitis.  KEYWORDS:  MeSH Chemical: Imidazoles| Insecticides| Neonicotinoids| Nitro Compounds| Pyrazoles| imidacloprid| fipronil MeSH: | Animals| Biological Assay| Dose-Response Relationship, Drug| Imidazoles/majr/administration &amp; dosage/pharmacology| Insecticides/majr/pharmacology| Neonicotinoids| Nitro Compounds| Pediculus/majr| Pyrazoles/majr/administration &amp; dosage/pharmacology</t>
  </si>
  <si>
    <t>Downs AM, Stafford KA, Coles GC</t>
  </si>
  <si>
    <t>105-7</t>
  </si>
  <si>
    <t>In vitro insecticidal effects of fipronil and beta-cyfluthrin on larvae of the blowfly Lucilia sericata.</t>
  </si>
  <si>
    <t>In vitro insecticidal effects of fipronil and beta-cyfluthrin on larvae of the blowfly Lucilia sericata.    ABSTRACT:  The insecticidal effects of the phenylpyrazole, fipronil, and a pyrethroid, beta-cyfluthrin, on larvae of the blowfly Lucilia sericata were determined in laboratory assays. When first stage larvae of L. sericata were reared on homogenized pig liver which had been treated with known amounts of test compounds, both fipronil and beta-cyfluthrin induced significant levels of mortality compared to acetone and water controls. However, fipronil was approximately 10 times more toxic than beta-cyfluthrin to L. sericata larvae following ingestion. Beta-cyfluthrin had little effect on mortality until concentrations of approximately 0.5 ppm were reached. In contrast, fipronil effected L. sericata mortality at a concentration of 0.05 ppm and 100% mortality was reached by 0.5 ppm. The lethal concentration (LC50) value for beta-cyfluthrin was 1.56 ppm as compared to 0.14 ppm for fipronil. Following contact of first and third stage larvae with cloth impregnated with known amounts of test compound, the mortality profiles of fipronil and beta-cyfluthrin were similar. At short contact times, the LC50 values for fipronil were lower than those for beta-cyfluthrin. However, at the highest contact time evaluated for the first stage larvae, 300 s, there was a reversal in this trend. The results suggest that the phenylpyrazole fipronil may represent a new potential insecticide for development against blowfly strike of sheep.  KEYWORDS:  MeSH Chemical: Insecticides| Nitriles| Pyrazoles| Pyrethrins| fipronil| cyfluthrin MeSH: | Administration, Topical| Animals| Diptera/majr| Insecticides/majr| Liver/parasitology| Nitriles| Pyrazoles/majr| Pyrethrins/majr</t>
  </si>
  <si>
    <t>Smith KE, Wall R, Howard JJ, Strong L, Marchiondo AA, Jeannin P</t>
  </si>
  <si>
    <t>261-8</t>
  </si>
  <si>
    <t>Regional modification of [(3)H]Ethynylbicycloorthobenzoate binding in mouse brain GABA(A) receptor by endosulfan, fipronil, and avermectin B(1a).</t>
  </si>
  <si>
    <t>Kamijima M, Casida JE</t>
  </si>
  <si>
    <t>188-94</t>
  </si>
  <si>
    <t>Field efficacy of fipronil 3G, lambda-cyhalothrin 10%CS, and sumithion 50EC against the dengue vector Aedes albopictus in discarded tires.</t>
  </si>
  <si>
    <t>Field efficacy of fipronil 3G, lambda-cyhalothrin 10%CS, and sumithion 50EC against the dengue vector Aedes albopictus in discarded tires.    ABSTRACT:  The efficacy of three insecticides, fipronil 3G, lambda-cyhalothrin 10%CS, and sumithion 50EC were evaluated against the dengue vector Aedes albopictus in discarded tires in Kuala Lumpur, Malaysia. The dosage given for each insecticide was 0.01 g of active ingredient/m2. Fipronil 3G was the most effective larvicide with a residual activity of up to two weeks, causing 88% mortality in Aedes albopictus. Lambda-cyhalothrin 10%CS was effective for one week causing 92% larval mortality and two weeks with 63% larval mortality. Sumithion 50EC had a residual efficacy of one week with 79% larval mortality.  KEYWORDS:  MeSH Chemical: Industrial Waste| Insecticides| Nitriles| Pyrazoles| Pyrethrins| Waste Products| fipronil| cyhalothrin| Fenitrothion MeSH: | Aedes/majr| Animals| Dengue Virus| Evaluation Studies as Topic| Fenitrothion/majr| Industrial Waste| Insect Vectors| Insecticides/majr| Larva/physiology| Malaysia| Mosquito Control| Nitriles| Pyrazoles/majr| Pyrethrins/majr| Waste Products/majr</t>
  </si>
  <si>
    <t>Sulaiman S, Pawanchee ZA, Wahab A, Jamal J, Sohadi AR</t>
  </si>
  <si>
    <t>154-7</t>
  </si>
  <si>
    <t>Soil thin-layer chromatography and pesticide mobility through soil microstructures. New technical approach.</t>
  </si>
  <si>
    <t>Soil thin-layer chromatography and pesticide mobility through soil microstructures. New technical approach.    ABSTRACT:  Soil thin-layer chromatography with water or water-methanol as solvents allows observation and measurement of the mobility of labelled pesticides through soil microstructures. Eleven different sieved matrices were studied: pure humine, pure clays, schists and soils. Ionized compounds (paraquat, glyphosate) were tightly bound to these matrices. The other compounds, lipophilic and generally non-ionized ones, migrated in the same order on most of the studied matrices, either mineral or organic: R(F) atrazine=isoproturon&gt;diuron=fipronil&gt;phenmedipham. This order was roughly correlated to log P but much more complex correlations were suggested. The rate of water movement, VWR, widely changed from one matrix to another. Therefore, the pesticide movement, M, in soil microstructures under the action of rain may be described by the equation M = WR R(F).  KEYWORDS:  MeSH Chemical: Carbamates| Herbicides| Insecticides| Methylurea Compounds| Pesticides| Phenylurea Compounds| Pyrazoles| Soil| Solvents| Water| glyphosate| isoproturon| Diuron| Paraquat| fipronil| Atrazine| Glycine| phenmedipham| Methanol MeSH: | Atrazine/chemistry| Carbamates/chemistry| Chromatography, Thin Layer/majr/methods| Diuron/chemistry| Glycine/analogs &amp; derivatives/chemistry| Herbicides/chemistry| Insecticides/chemistry| Methanol| Methylurea Compounds/chemistry| Paraquat/chemistry| Pesticides/majr/chemistry| Phenylurea Compounds/majr| Pyrazoles/chemistry| Soil/majr/analysis| Solvents| Water</t>
  </si>
  <si>
    <t>Ravanel P, Liégeois MH, Chevallier D, Tissut M</t>
  </si>
  <si>
    <t>864</t>
  </si>
  <si>
    <t>145-54</t>
  </si>
  <si>
    <t>Kinetics and hydrolysis of fenamiphos, fipronil, and trifluralin in aqueous buffer solutions.</t>
  </si>
  <si>
    <t>Kinetics and hydrolysis of fenamiphos, fipronil, and trifluralin in aqueous buffer solutions.    ABSTRACT:  Hydrolyses of fenamiphos, fipronil, and trifluralin were studied in aqueous buffer solutions of pH 4.1, 7.1, and 9.1 at different temperatures, 5, 22 +/- 1, 32 +/- 1, and 50 +/- 1 degrees C. Fenamiphos, fipronil, and trifluralin were found to be more stable in acidic and neutral buffer solutions at temperatures of 5 and 22 +/- 1, and dissipation is rapid at 50 +/- 1 degrees C. In basic buffer and at higher temperature, degradation of fenamiphos was found to be very rapid when compared with fipronil and trifluralin. The rate constants calculated at 32 degrees C for fenamiphos were 2349.4 x 10(-)(8) (pH 4.1), 225.2 x 10(-)(8) (pH 7.1), and 30476.0 x 10(-)(8) (pH 9.1); for fipronil 1750.0 x 10(-)(8) (pH 4.1), 3103.0 x 10(-)(8) (pH 7.1), and 3883.0 x 10(-)(8) (pH 9.1); and for trifluralin 2331.0 x 10(-)(8) (pH 4.1), 2360.0 x 10(-)(8) (pH 7.1), and 3188.0 x 10(-)(8) (pH 9.1). On the basis of rate constant values, these pesticides appeared to be more susceptible to hydrolysis than synthetic organophosphorus compounds such as chlorpyriphos, diazinon, malathion, and ronnel. DT(50) values calculated at 32 degrees C were 228 (pH 4.1), 5310.24 (pH 7.1), and 37.68 (pH 9.1) h for fenamiphos; 608.6 (pH 4.1), 373.9 (pH 7.1), and 270.2 (pH 9.1) h for fipronil; and 502.1 (pH 4.1), 496.8 (pH 7.1), and 355.7 (pH 9.1) h for trifluralin.  KEYWORDS:  MeSH Chemical: Buffers| Herbicides| Insecticides| Organophosphorus Compounds| Pyrazoles| Trifluralin| fenamiphos| fipronil MeSH: | Buffers| Herbicides/majr/chemistry| Hydrolysis| Insecticides/majr/chemistry| Kinetics| Molecular Structure| Organophosphorus Compounds/majr/chemistry| Pyrazoles/majr/chemistry| Trifluralin/majr/chemistry</t>
  </si>
  <si>
    <t>Ramesh A, Balasubramanian M</t>
  </si>
  <si>
    <t>3367-71</t>
  </si>
  <si>
    <t>The effects of reduced agent-area insecticide treatments for rangeland grasshopper (Orthoptera: Acrididae) control on bird densities.</t>
  </si>
  <si>
    <t>Norelius EE, Lockwood JA</t>
  </si>
  <si>
    <t>519-28</t>
  </si>
  <si>
    <t>Comparison of an amitraz-impregnated collar with topical administration of fipronil for prevention of experimental and natural infestations by the brown dog tick (Rhipicephalus sanguineus).</t>
  </si>
  <si>
    <t>Estrada-Peña A, Ascher F</t>
  </si>
  <si>
    <t>1799-803</t>
  </si>
  <si>
    <t>Laboratory evaluation of selected larvicides and insect growth regulators against field-collected Culex quinquefasciatus larvae from urban Dhaka, Bangladesh.</t>
  </si>
  <si>
    <t>Laboratory evaluation of selected larvicides and insect growth regulators against field-collected Culex quinquefasciatus larvae from urban Dhaka, Bangladesh.    ABSTRACT:  Five organophosphates (OPs) (chlorpyrifos, chlorpyrifos methyl, fenthion, malathion, and temephos), 3 pyrethroids (bifenthrin, cypermethrin, and permethrin), 1 phenyl pyrazole (fipronil), 2 microbial pesticides (Bacillus thuringiensis serovar. israelensis [B.t.i.] and Bacillus sphaericus), and 3 insect growth regulators (IGRs) (diflubenzuron, methoprene, and pyriproxyfen) were evaluated against field-collected Culex quinquefasciatus larvae from urban Dhaka, Bangladesh. The LC90 values of all OPs, except for temephos (LC90 = 0.0096 ppm), were high, ranging from 0.13 ppm (fenthion) to 2.882 ppm (chlorpyrifos methyl). Pyrethroid LC90 values were 0.021 ppm (bifenthrin), 0.00061 (cypermethrin), and 0.017 ppm (permethrin). Fipronil exhibited a superior activity with LC90 value of 0.000896 ppm. Technical powders of B.t.i. and B. sphaericus (VectoBac TP and VectoLex TP) were considered highly effective against the Cx. quinquefasciatus larvae. The IGRs also were effective with pyriproxyfen (LC90 = 0.0011 ppm), being 3 times and 47 times more active than diflubenzuron (LC90 = 0.0034 ppm) and methoprene (LC90 = 0.052 ppm), respectively. In general, toxicity ranking of chemicals and microbials tested was phenyl pyrazole &gt; IGRs &gt; pyrethroids &gt; microbials &gt; OPs.  KEYWORDS:  MeSH Chemical: Insecticides| Juvenile Hormones| Pyridines| pyriproxyfen| Methoprene| Diflubenzuron MeSH: | Animals| Bangladesh| Culex/majr| Diflubenzuron| Evaluation Studies as Topic| Insecticides/majr| Juvenile Hormones/majr| Larva| Methoprene| Pyridines</t>
  </si>
  <si>
    <t>Ali A, Chowdhury MA, Hossain MI, Mahmud-Ul-AmeenHabiba DB, Aslam AF</t>
  </si>
  <si>
    <t>43-7</t>
  </si>
  <si>
    <t>Characterization and comparative pharmacological studies of a functional gamma-aminobutyric acid (GABA) receptor cloned from the tobacco budworm, Heliothis virescens (Noctuidae:Lepidoptera).</t>
  </si>
  <si>
    <t>Wolff MA, Wingate VP</t>
  </si>
  <si>
    <t>305-15</t>
  </si>
  <si>
    <t>Product warning: FRONTLINE.</t>
  </si>
  <si>
    <t>Product warning: FRONTLINE.    ABSTRACT:  NOABSTRACT. No abstract found.  KEYWORDS:  MeSH Chemical: Antiparasitic Agents| Pyrazoles| fipronil MeSH: | Animals| Antiparasitic Agents/majr/toxicity| Pyrazoles/majr/toxicity| Rabbits/majr</t>
  </si>
  <si>
    <t>Webster M</t>
  </si>
  <si>
    <t>Severe cat flea infestation of dairy calves in Brazil.</t>
  </si>
  <si>
    <t>Severe cat flea infestation of dairy calves in Brazil.    ABSTRACT:  An investigation was conducted into a severe flea infestation on dairy calves. Inspection of the dairy revealed a high infestation of Ctenocephalides felis felis on four calves and thousands of fleas in the stable where cows and calves were brought in for milking. A 3-month-old female calf was highly infested with fleas. The animal showed an evident lethargy, weight loss, as well as pale mucous membranes and dehydration. Hematological analysis revealed anemia, with 10% packed cell volume and a 1.72 x 10(6) microl(-1) erythrocyte count. Blood transfusions were performed and the flea infestation was controlled with 1% fipronil pour-on (1 ml/10 kg). The farmer was advised to treat the other calves with fipronil, remove the manure from the stable and spread 1% propoxur powder (100 g/m2) onto the floor of the stable.  KEYWORDS:  MeSH Chemical: Insecticides| Pyrazoles| Propoxur| fipronil MeSH: | Animal Husbandry| Animals| Blood Transfusion/veterinary| Brazil| Cattle| Cattle Diseases/majr/drug therapy/parasitology| Ectoparasitic Infestations/majr/drug therapy/parasitology/veterinary| Erythrocyte Count/veterinary| Female| Insect Control| Insecticides/therapeutic use| Male| Propoxur| Pyrazoles/therapeutic use| Siphonaptera/majr</t>
  </si>
  <si>
    <t>Araújo FR, Silva MP, Lopes AA, Ribeiro OC, Pires PP, Carvalho CM, Balbuena CB, Villas AA, Ramos JK</t>
  </si>
  <si>
    <t>83-6</t>
  </si>
  <si>
    <t>Mechanisms for selective toxicity of fipronil insecticide and its sulfone metabolite and desulfinyl photoproduct.</t>
  </si>
  <si>
    <t>Hainzl D, Cole LM, Casida JE</t>
  </si>
  <si>
    <t>Chemical research in toxicology</t>
  </si>
  <si>
    <t>1529-35</t>
  </si>
  <si>
    <t>Antifeeding effect of several insecticidal formulations against Ctenocephalides felis on cats.</t>
  </si>
  <si>
    <t>Franc M, Cadiergues MC</t>
  </si>
  <si>
    <t>Mode of carcinogenic action of pesticides inducing thyroid follicular cell tumors in rodents.</t>
  </si>
  <si>
    <t>Hurley PM</t>
  </si>
  <si>
    <t>437-45</t>
  </si>
  <si>
    <t>Toxicity of a phenyl pyrazole insecticide, fipronil, to mosquito and chironomid midge larvae in the laboratory.</t>
  </si>
  <si>
    <t>Toxicity of a phenyl pyrazole insecticide, fipronil, to mosquito and chironomid midge larvae in the laboratory.    ABSTRACT:  Toxicity of a phenyl pyrazole insecticide, fipronil, to 4th-instar larvae of 6 species of colonized mosquitoes (Aedes aegypti, Ae. albopictus, Ae. taeniorhynchus, Anopheles quadrimaculatus, Culex nigripalpus, and Cx. quinquefasciatus) and 2 species of field-collected chironomid midges (Chironomus crassicaudatus and Glyptotendipes paripes) was evaluated in the laboratory. All mosquito species were highly susceptible with 48-h median lethal concentration (LC50) values ranging from 0.00043 ppm (Ae. taeniorhynchus and An. quadrimaculatus) to 0.023 ppm (Ae. albopictus). Chironomus crassicaudatus and G. paripes also were extremely susceptible (48-h LC50 of both species: 0.00042 ppm) to fipronil. Larval mortality checks of Ae. taeniorhynchus, Cx. nigripalpus, and G. paripes at 24 h and again at 48 h posttreatment revealed delayed activity of this compound against these species. First-instar larvae of Ae. albopictus and Cx. quinquefasciatus were significantly (P &lt; 0.01) more susceptible to fipronil than the 4th-instar larvae of these mosquito species.  KEYWORDS:  MeSH Chemical: Insecticides| Pyrazoles| fipronil MeSH: | Aedes| Animals| Anopheles| Chironomidae/majr| Culex| Culicidae/majr| Insecticides/majr| Pyrazoles/majr</t>
  </si>
  <si>
    <t>Ali A, Nayar JK, Gu WD</t>
  </si>
  <si>
    <t>216-8</t>
  </si>
  <si>
    <t>Treatment of Trombicula autumnalis infestation in dogs and cats with a 0.25 per cent fipronil pump spray.</t>
  </si>
  <si>
    <t>Treatment of Trombicula autumnalis infestation in dogs and cats with a 0.25 per cent fipronil pump spray.    ABSTRACT:  To evaluate the efficacy of fipronil in controlling trombiculid infestations, 18 dogs and three cats infested with Trombicula autumnalis larvae were treated monthly from examination to the end of the Trombicula season (range one to four months) with a 0.25 per cent fipronil spray applied to the whole body, with particular emphasis on the feet, face, ears, perineum and tail. No other antiparasite measures were used. Follow-up was by clinical examination and telephone interview until the end of the Trombicula season (range one to four months). No adverse effects were seen. Monthly treatment controlled trombiculids in 15 dogs. In two dogs localised pedal reinfestations were controlled with additional local application of fipronil to the feet every 14 days. In one dog therapy was of no benefit. In the three cats, treatment was initially effective, but generalised infestations recurred after seven to 10 days. Fipronil is a safe and effective treatment for trombiculid infestations in dogs. Residual activity lasts for 14 to 30 days. Further studies are required to examine the apparent short duration of efficacy in cats.  KEYWORDS:  MeSH Chemical: Antiparasitic Agents| Pyrazoles| fipronil MeSH: | Animals| Antiparasitic Agents/majr/administration &amp; dosage| Cat Diseases/majr/drug therapy| Cats| Dog Diseases/majr/drug therapy| Dogs| Drug Administration Schedule| Pyrazoles/majr/administration &amp; dosage| Seasons| Trombiculiasis/majr/drug therapy/veterinary</t>
  </si>
  <si>
    <t>Nuttall TJ, French AT, Cheetham HC, Proctor FJ</t>
  </si>
  <si>
    <t>237-9</t>
  </si>
  <si>
    <t>Evaluation of flea control strategies using fipronil on cats in a controlled simulated home environment.</t>
  </si>
  <si>
    <t>Evaluation of flea control strategies using fipronil on cats in a controlled simulated home environment.    ABSTRACT:  Three groups of six cats were kept in similar carpeted pens in which a self-replicating population of Ctenocephalides felis had been established. One group was left untreated, but the other groups were treated every 28th day with 0.5 ml of a 10 per cent fipronil spot-on formulation, and the cats in one of the treated groups also wore a methoprene collar. No fleas were found on any of the treated cats, either during the first 13 weeks of the study, when heavy flea burdens were developing in the control pen, or over the next 11 weeks when a declining number of fleas was present on the control group.  KEYWORDS:  MeSH Chemical: Insecticides| Pyrazoles| fipronil MeSH: | Animals| Cat Diseases/majr/prevention &amp; control| Cats| Housing, Animal| Insecticides/majr/therapeutic use| Pyrazoles/majr/therapeutic use| Siphonaptera/majr| Treatment Outcome</t>
  </si>
  <si>
    <t>Hutchinson MJ, Jacobs DE, Fox MT, Jeannin P, Postal JM</t>
  </si>
  <si>
    <t>356-7</t>
  </si>
  <si>
    <t>Therapeutic and persistent efficacy of fipronil against Boophilus microplus (Acari: Ixodidae) on cattle.</t>
  </si>
  <si>
    <t>Davey RB, Ahrens EH, George JE, Hunter JS, Jeannin P</t>
  </si>
  <si>
    <t>261-76</t>
  </si>
  <si>
    <t>Ectopic Psoroptes cuniculi infestation in a pet rabbit.</t>
  </si>
  <si>
    <t>Ectopic Psoroptes cuniculi infestation in a pet rabbit.    ABSTRACT:  A case of Psoroptes cuniculi infestation of the ears and body of a pet rabbit, with severe lesions on the skin of the caudoventral abdomen, is reported. Treatment with ivermectin injection followed by fipronil application appeared to be safe and was successful in eliminating infection.  KEYWORDS:  MeSH Chemical: Insecticides| Pyrazoles| Ivermectin| fipronil MeSH: | Abdomen/parasitology| Animals| Female| Insecticides/majr/therapeutic use| Ivermectin/majr/therapeutic use| Mite Infestations/majr/diagnosis/drug therapy/veterinary| Mites/majr| Otitis Externa/majr/drug therapy/parasitology/veterinary| Pyrazoles/majr/therapeutic use| Rabbits| Skin/parasitology</t>
  </si>
  <si>
    <t>Cutler SL</t>
  </si>
  <si>
    <t>86-7</t>
  </si>
  <si>
    <t>Cytochrome P-450 field insecticide tolerance and development of laboratory resistance in grape vine populations of Drosophila melanogaster (Diptera: Drosophilidae).</t>
  </si>
  <si>
    <t>Bride JM, Cuany A, Amichot M, Brun A, Babault M, Mouël TL, De Sousa G, Rahmani R, Berge JB</t>
  </si>
  <si>
    <t>1514-20</t>
  </si>
  <si>
    <t>Prospective study comparing fipronil with dichlorvos/fenitrothion and methoprene/pyrethrins in control of flea bite hypersensitivity in cats.</t>
  </si>
  <si>
    <t>Prospective study comparing fipronil with dichlorvos/fenitrothion and methoprene/pyrethrins in control of flea bite hypersensitivity in cats.    ABSTRACT:  NOABSTRACT. No abstract found.  KEYWORDS:  MeSH Chemical: Drug Combinations| Insecticides| Pyrazoles| Pyrethrins| Dichlorvos| Methoprene| fipronil| Fenitrothion MeSH: | Administration, Topical| Animals| Cat Diseases/majr/drug therapy| Cats| Dichlorvos/administration &amp; dosage/therapeutic use| Drug Combinations| Fenitrothion/administration &amp; dosage/therapeutic use| Hypersensitivity/majr/drug therapy/veterinary| Insect Bites and Stings/majr/drug therapy/veterinary| Insecticides/majr/administration &amp; dosage/therapeutic use| Methoprene/administration &amp; dosage/therapeutic use| Pyrazoles/majr/administration &amp; dosage/therapeutic use| Pyrethrins/administration &amp; dosage/therapeutic use| Siphonaptera/majr/immunology| Treatment Outcome</t>
  </si>
  <si>
    <t>Harvey RG, Penaliggon EJ, Gautier P</t>
  </si>
  <si>
    <t>141</t>
  </si>
  <si>
    <t>628-9</t>
  </si>
  <si>
    <t>Skin distribution of fipronil by microautoradiography following topical administration to the beagle dog.</t>
  </si>
  <si>
    <t>Skin distribution of fipronil by microautoradiography following topical administration to the beagle dog.    ABSTRACT:  To investigate the localisation of fipronil in dog skin, [14C]-fipronil was topically applied to a male beagle dog (spot-on administration) at the therapeutic dose of 10 mg/kg. By means of autohistoradiography, the radioactivity was precisely detected in the skin and appendages at various intervals after application. Radioactivity was predominantly observed within the stratum corneum, the viable epidermis, and in the pilo-sebaceous units (mainly in the sebaceous glands and epithelial layers). [14C]-fipronil was significantly detected in these structures up to 56 days post-treatment, in the application zone (neck) but also in the lumbar zone, thus indicating the mechanical displacement of fipronil. No radioactivity was detected in either the dermal or the hypodermal layers, confirming the low percutaneous passage of fipronil.  KEYWORDS:  MeSH Chemical: Antiparasitic Agents| Carbon Radioisotopes| Pyrazoles| fipronil MeSH: | Administration, Topical| Animals| Antiparasitic Agents/majr/administration &amp; dosage/chemistry/pharmacokinetics| Autoradiography/methods| Carbon Radioisotopes| Dogs| Epidermis/metabolism| Male| Pyrazoles/majr/administration &amp; dosage/chemistry/pharmacokinetics| Skin/majr/metabolism</t>
  </si>
  <si>
    <t>Cochet P, Birckel P, Bromet-Petit M, Bromet N, Weil A</t>
  </si>
  <si>
    <t>European journal of drug metabolism and pharmacokinetics</t>
  </si>
  <si>
    <t>211-6</t>
  </si>
  <si>
    <t>Use of frontline spray in rabbits.</t>
  </si>
  <si>
    <t>Use of frontline spray in rabbits.    ABSTRACT:  NOABSTRACT. No abstract found.  KEYWORDS:  MeSH Chemical: Aerosols| Insecticides| Pyrazoles| fipronil MeSH: | Aerosols| Animals| Drug Labeling| Ectoparasitic Infestations/majr/prevention &amp; control/veterinary| Guidelines as Topic| Insecticides/majr/administration &amp; dosage| Pyrazoles/majr/administration &amp; dosage| Rabbits</t>
  </si>
  <si>
    <t>Malley D</t>
  </si>
  <si>
    <t>Use of a 0.25 per cent fipronil pump spray formulation to treat canine cheyletiellosis.</t>
  </si>
  <si>
    <t>Use of a 0.25 per cent fipronil pump spray formulation to treat canine cheyletiellosis.    ABSTRACT:  Two outbreaks of cheyletiellosis are described. In one of the outbreaks, a human member of the household was also affected. A 0.25 per cent fipronil pump spray formulation was applied to the affected and in-contact animals. A permethrin spray was used in an attempt to eliminate environmental contamination. One month later, the affected animals were re-examined. No evidence of Cheyletiella mites could be found. A second application of fipronil was undertaken. No further outbreaks were reported during an eight month follow-up.  KEYWORDS:  MeSH Chemical: Insecticides| Pyrazoles| Pyrethrins| Permethrin| fipronil MeSH: | Administration, Topical| Animals| Dermatitis/drug therapy/etiology/veterinary| Dog Diseases/majr/drug therapy/epidemiology/etiology| Dogs| Dose-Response Relationship, Drug| Follow-Up Studies| Insecticides/majr/administration &amp; dosage/therapeutic use| Male| Mite Infestations/majr/complications/drug therapy/veterinary| Permethrin| Pyrazoles/majr/administration &amp; dosage/therapeutic use| Pyrethrins/majr/administration &amp; dosage/therapeutic use</t>
  </si>
  <si>
    <t>Chadwick AJ</t>
  </si>
  <si>
    <t>261-2</t>
  </si>
  <si>
    <t>Impacts on nontarget insects of a new insecticide compound used against the desert locust [Schistocerca gregaria (Forskål 1775)].</t>
  </si>
  <si>
    <t>Impacts on nontarget insects of a new insecticide compound used against the desert locust [Schistocerca gregaria (Forskål 1775)].    ABSTRACT:  In 1994, the effects of fipronil, a new insecticide compound of the phenyl-pyrazol chemical group, was tested against desert locusts during a field experiment in Mauritania. The impacts of these spray treatments on nontarget Coleoptera and Hymenoptera were also studied. In relation to organophosphorous insecticides usually used against grasshoppers and locusts, fipronil appeared more effective and persistent. Similar results were obtained for nontarget Carabidae and Tenebrionidae which were almost totally eliminated from the treated plot. The effects on Hymenoptera varied according the family; Scelionidae and Sphecidae seemed to be more affected than Apoidea. Positive and negative aspects of fipronil treatments are discussed. Appearing as one of the most convenient insecticides to successfully prevent locust outbreaks, at a very early stage of invasion under Saharan conditions, fipronil simultaneously induces heavy mortality in some nontarget insect groups.  KEYWORDS:  MeSH Chemical: Insecticides| Organothiophosphorus Compounds| Pyrazoles| pyridafenthion| Chlorpyrifos| fipronil MeSH: | Africa, Northern| Animals| Chlorpyrifos/toxicity| Grasshoppers/majr/drug effects| Insecticides/majr/toxicity| Mauritania| Organothiophosphorus Compounds/toxicity| Poisoning/mortality| Pyrazoles/majr/toxicity| Species Specificity| Structure-Activity Relationship</t>
  </si>
  <si>
    <t>Balança G, de Visscher M</t>
  </si>
  <si>
    <t>58-62</t>
  </si>
  <si>
    <t>Fipronil insecticide: novel photochemical desulfinylation with retention of neurotoxicity.</t>
  </si>
  <si>
    <t>Fipronil insecticide: novel photochemical desulfinylation with retention of neurotoxicity.    ABSTRACT:  Fipronil is an outstanding new insecticide for crop protection with good selectivity between insects and mammals. The insecticidal action involves blocking the lambda-aminobutyric acid-gated chloride channel with much greater sensitivity of this target in insects than in mammals. Fipronil contains a trifluoromethylsulfinyl moiety that is unique among the agrochemicals and therefore presumably important in its outstanding performance. We find that this substituent unexpectedly undergoes a novel and facile photoextrusion reaction on plants upon exposure to sunlight, yielding the corresponding trifluoromethylpyrazole, i.e., the desulfinyl derivative. The persistence of this photoproduct and its high neuroactivity, resulting from blocking the lambda-aminobutyric acid-gated chloride channel, suggest that it may be a significant contributor to the effectiveness of fipronil. In addition, desulfinylfipronil is not a metabolite in mammals, so the safety evaluations must take into account not only the parent compound but also this completely new environmental product.  KEYWORDS:  MeSH Chemical: Bridged Bicyclo Compounds, Heterocyclic| Chloride Channels| Enzyme Inhibitors| Insecticides| Neurotoxins| Pyrazoles| 1-(4-ethynylphenyl)-4-propyl-2,6,7-trioxabicyclo(2.2.2)octane| gamma-Aminobutyric Acid| fipronil MeSH: | Animals| Brain/metabolism| Bridged Bicyclo Compounds, Heterocyclic/metabolism| Chloride Channels/metabolism| Crystallography, X-Ray| Enzyme Inhibitors/metabolism| Female| Gas Chromatography-Mass Spectrometry| Houseflies| Insecticides/majr/chemistry/metabolism/toxicity| Ion Channel Gating| Lethal Dose 50| Magnetic Resonance Spectroscopy| Male| Mice| Molecular Conformation| Neurotoxins/majr/chemistry/metabolism/toxicity| Photochemistry| Pyrazoles/majr/chemistry/metabolism/toxicity| gamma-Aminobutyric Acid/metabolism</t>
  </si>
  <si>
    <t>Hainzl D, Casida JE</t>
  </si>
  <si>
    <t>12764-7</t>
  </si>
  <si>
    <t>Use of fipronil to eliminate recurrent infestation by Trichodectes canis in a pack of bloodhounds.</t>
  </si>
  <si>
    <t>Use of fipronil to eliminate recurrent infestation by Trichodectes canis in a pack of bloodhounds.    ABSTRACT:  NOABSTRACT. No abstract found.  KEYWORDS:  MeSH Chemical: Insecticides| Pyrazoles| fipronil MeSH: | Animals| Dog Diseases/majr/drug therapy| Dogs| Female| Insecticides/majr/therapeutic use| Lice Infestations/majr/drug therapy/veterinary| Male| Phthiraptera| Pyrazoles/majr/therapeutic use| Recurrence</t>
  </si>
  <si>
    <t>Cooper PR, Penaliggon J</t>
  </si>
  <si>
    <t>Use of 0.25 per cent fipronil spray to treat sarcoptic manage in a litter of five-week-old puppies.</t>
  </si>
  <si>
    <t>Use of 0.25 per cent fipronil spray to treat sarcoptic manage in a litter of five-week-old puppies.    ABSTRACT:  NOABSTRACT. No abstract found.  KEYWORDS:  MeSH Chemical: Insecticides| Pyrazoles| fipronil MeSH: | Administration, Topical| Animals| Dog Diseases/majr/drug therapy| Dogs| Female| Insecticides/majr/administration &amp; dosage| Male| Pyrazoles/majr/administration &amp; dosage| Scabies/majr/drug therapy/veterinary</t>
  </si>
  <si>
    <t>43-4</t>
  </si>
  <si>
    <t>Ion channels as targets for insecticides.</t>
  </si>
  <si>
    <t>Ion channels as targets for insecticides.    ABSTRACT:  Ion channels are the primary target sites for several classes of natural and synthetic insecticidal compounds. The voltage-sensitive sodium channel is the major target site for DDT and pyrethroids, the veratrum alkaloids, and N-alkylamides. Recently, neurotoxic proteins from arthropod venoms, some of which specifically attack insect sodium channels, have been engineered into baculoviruses to act as biopesticides. The synthetic pyrazolines also primarily affect the sodium channel, although some members of this group target neuronal calcium channels as well. The ryanoids have also found use as insecticides, and these materials induce muscle contracture by irreversible activation of the calcium-release channel of the sarcoplasmic reticulum. The arylheterocycles (e.g. endosulfan and fipronil) are potent convulsants and insecticides that block the GABA-gated chloride channel. In contrast, the avermectins activate both ligand- and voltage-gated chloride channels, which leads to paralysis. At field-use rates, a neurotoxic effect of the ecdysteroid agonist RH-5849 is observed that involves blockage of both muscle and neuronal potassium channels. The future use of ion channels as targets for chemical and genetically engineered insecticides is also discussed.  KEYWORDS:  MeSH Chemical: Insecticides| Ion Channels MeSH: | Animals| Carbohydrate Sequence| Insecticides/majr/pharmacology| Ion Channels/majr/drug effects| Molecular Sequence Data</t>
  </si>
  <si>
    <t>Annual review of entomology</t>
  </si>
  <si>
    <t>163-90</t>
  </si>
  <si>
    <t>Actions of the insecticide fipronil, on dieldrin-sensitive and- resistant GABA receptors of Drosophila melanogaster.</t>
  </si>
  <si>
    <t>Actions of the insecticide fipronil, on dieldrin-sensitive and- resistant GABA receptors of Drosophila melanogaster.    ABSTRACT:  1. Blocking actions of the novel insecticide, fipronil, were examined on GABA responses recorded from Xenopus oocytes expressing either wild type (dieldrin-sensitive) or mutant (dieldrin-resistant) forms of the Drosophila melanogaster GABA-gated chloride channel homo-oligomer, RDL (the product of the resistance to dieldrin locus: Rdl). 2. In the case of the wild type receptor, fipronil blocked GABA-induced currents inducing both a shift to the right in the GABA dose-response curve and depressing the maximum amplitude of responses to GABA. The potency of fipronil was dependent on the GABA concentration but was unaffected by membrane potential. 3. Mutant RDL GABA-receptors, which have a naturally occurring amino acid substitution (A302--&gt;S) in the putative ion-channel lining region, conferring resistance to dieldrin and picrotoxinin, were markedly less sensitive to fipronil than the wild-type receptors. 4. Fipronil antagonism is qualitatively similar to that produced by the structurally distinct compound, picrotoxinin. As the mutation A302--&gt;S reduces the potency of both fipronil and picrotoxinin, homooligomeric RDL receptors should facilitate detailed studies of the molecular basis of convulsant/insecticide antagonist actions on GABA receptors.  KEYWORDS:  MeSH Chemical: Insecticides| Pyrazoles| Receptors, GABA| Picrotoxin| gamma-Aminobutyric Acid| picrotoxinin| Dieldrin| fipronil MeSH: | Animals| Dieldrin/majr/pharmacology| Dose-Response Relationship, Drug| Drosophila| Insecticides/majr/pharmacology| Membrane Potentials/drug effects| Oocytes| Picrotoxin/analogs &amp; derivatives/pharmacology| Pyrazoles/majr/pharmacology| Receptors, GABA/majr/drug effects| gamma-Aminobutyric Acid/pharmacology</t>
  </si>
  <si>
    <t>Hosie AM, Baylis HA, Buckingham SD, Sattelle DB</t>
  </si>
  <si>
    <t>909-12</t>
  </si>
  <si>
    <t>Drosophila GABA-gated chloride channel: modified [3H]EBOB binding site associated with Ala--&gt;Ser or Gly mutants of Rdl subunit.</t>
  </si>
  <si>
    <t>Cole LM, Roush RT, Casida JE</t>
  </si>
  <si>
    <t>757-65</t>
  </si>
  <si>
    <t>Stable expression of a functional homo-oligomeric Drosophila GABA receptor in a Drosophila cell line.</t>
  </si>
  <si>
    <t>Stable expression of a functional homo-oligomeric Drosophila GABA receptor in a Drosophila cell line.    ABSTRACT:  A cloned Drosophila gamma-aminobutyric acid GABA receptor subunit (Rdl) has been stably expressed as a functional homo-oligomeric ion channel in a Drosophila cell line. Stably-transfected clonal cell lines which expressed high levels of GABA receptor were identified by specific [3H]-muscimol binding. Expression of functional GABA-gated ion channels in these cell lines was demonstrated by electrophysiological recording. Rapid and pronounced rundown of responses to GABA during whole-cell patch clamp recordings was overcome by the inclusion of EGTA in the pipette solution, indicating a possible role for calcium-dependent processes in the functional regulation of this GABA receptor. Relative agonist potencies of the expressed receptor were found to be in the order GABA = TACA &gt; CACA. We have observed a reversible block of the receptor by the convulsant antagonists, picrotoxinin and EBOB, and by the insecticide fipronil. Potentiation of GABA responses was seen with the anaesthetic steroid 5 alpha-pregnan-3 alpha-ol-20-one. No significant effects (either agonist, antagonist or modulatory) were observed with bicuculline (a vertebrate GABAAR antagonist), benzodiazepines or barbiturates (vertebrate GABAAR modulators), or with glycine agonist of the closely related vertebrate glycine receptors). The suitability of this Drosophila stable expression system for the characterization of receptors and ion channels is discussed.  KEYWORDS:  MeSH Chemical: Ion Channels| Receptors, GABA MeSH: | Animals| Cell Line| Drosophila/majr/metabolism| Ion Channels/antagonists &amp; inhibitors/biosynthesis| Patch-Clamp Techniques| Receptors, GABA/majr/biosynthesis</t>
  </si>
  <si>
    <t>Millar NS, Buckingham SD, Sattelle DB</t>
  </si>
  <si>
    <t>1353</t>
  </si>
  <si>
    <t>307-14</t>
  </si>
  <si>
    <t>Actions of agonists and convulsant antagonists on a Drosophila melanogaster GABA receptor (Rdl) homo-oligomer expressed in Xenopus oocytes.</t>
  </si>
  <si>
    <t>Actions of agonists and convulsant antagonists on a Drosophila melanogaster GABA receptor (Rdl) homo-oligomer expressed in Xenopus oocytes.    ABSTRACT:  Cytoplasmic injection of Xenopus oocytes with cDNA-derived RNA (cRNA) encoding a wild-type Drosophila melanogaster GABA receptor subunit (Rdl) resulted in functional expression of a GABA receptor homo-oligomer. Membrane currents recorded in response to muscimol, trans (TACA)- and cis (CACA)-4-aminocrotonic acid reversed at membrane potentials close to ECl- and were insensitive to 1.0 x 10(-4) M bicuculline methiodide. An order of potency of GABA approximately muscimol approximately TACA &gt; CACA &gt; glycine was observed. Response of the expressed Drosophila Rdl receptor to GABA was reduced by t-butylbicyclophosphorothionate (TBPS), 4-n-propyl-4'-ethynylbicycloorthobenzoate (EBOB), picrotoxinin and the novel insecticide, fipronil (all at 1.0 x 10(-5) M).  KEYWORDS:  MeSH Chemical: Anticonvulsants| Receptors, GABA MeSH: | Animals| Anticonvulsants/majr/pharmacology| Drosophila melanogaster/majr/genetics/metabolism| Electrophysiology| Female| Gene Expression| Oocytes/majr/metabolism| Receptors, GABA/majr/chemistry/genetics/physiology| Xenopus/majr/metabolism</t>
  </si>
  <si>
    <t>Buckingham SD, Hosie AM, Roush RL, Sattelle DB</t>
  </si>
  <si>
    <t>Neuroscience letters</t>
  </si>
  <si>
    <t>181</t>
  </si>
  <si>
    <t>137-40</t>
  </si>
  <si>
    <t>New chemicals seek to outwit insect pests.</t>
  </si>
  <si>
    <t>New chemicals seek to outwit insect pests.    ABSTRACT:  NOABSTRACT. No abstract found.  KEYWORDS:  MeSH Chemical: GABA Antagonists| Imidazoles| Insecticides| Neonicotinoids| Nitro Compounds| Pyrazoles| Pyrroles| Receptors, Cholinergic| Receptors, GABA-A| imidacloprid| fipronil MeSH: | Animals| GABA Antagonists| Imidazoles/majr/chemistry/toxicity| Insecta/drug effects/metabolism| Insecticides/majr/chemistry/toxicity| Neonicotinoids| Neurons/drug effects/metabolism| Nitro Compounds| Pyrazoles/majr/chemistry/toxicity| Pyrroles/majr/chemistry/toxicity| Receptors, Cholinergic/drug effects| Receptors, GABA-A/drug effects</t>
  </si>
  <si>
    <t>Moffat AS</t>
  </si>
  <si>
    <t>261</t>
  </si>
  <si>
    <t>5121</t>
  </si>
  <si>
    <t>550-1</t>
  </si>
  <si>
    <t>fipronil</t>
  </si>
  <si>
    <t>PubMed query run: fipronil</t>
  </si>
  <si>
    <t>Version 6.1</t>
  </si>
  <si>
    <t>mg</t>
  </si>
  <si>
    <t>camel</t>
  </si>
  <si>
    <t>Exclude</t>
  </si>
  <si>
    <t>Include</t>
  </si>
  <si>
    <t>control</t>
  </si>
  <si>
    <t>dose</t>
  </si>
  <si>
    <t>OECD</t>
  </si>
  <si>
    <t xml:space="preserve"> EPA </t>
  </si>
  <si>
    <t>NTP</t>
  </si>
  <si>
    <t>guideline</t>
  </si>
  <si>
    <t xml:space="preserve"> mice </t>
  </si>
  <si>
    <t xml:space="preserve"> rats </t>
  </si>
  <si>
    <t>human</t>
  </si>
  <si>
    <t>person</t>
  </si>
  <si>
    <t>worker</t>
  </si>
  <si>
    <t>occupation</t>
  </si>
  <si>
    <t>patient</t>
  </si>
  <si>
    <t>children</t>
  </si>
  <si>
    <t>women</t>
  </si>
  <si>
    <t xml:space="preserve"> men </t>
  </si>
  <si>
    <t>Bisdiamine</t>
  </si>
  <si>
    <t>4-Nonylphenol</t>
  </si>
  <si>
    <t>Brevetoxin</t>
  </si>
  <si>
    <t>Acute pneumonitis associated with nickel carbonyl exposure in the workplace.</t>
  </si>
  <si>
    <t>Bowman N, Caravati EM, Horowitz BZ, Crouch BI</t>
  </si>
  <si>
    <t>223-225</t>
  </si>
  <si>
    <t>(14324-55-1 OR Zinc diethyldithiocarbamate OR Ditiocarb) AND ((Respiratory hypersensitivity OR respiratory sensitization OR Bronchial Hyperreactivity OR Respiration Disorders OR Respiratory Tract Diseases OR (Drug hypersensitivity AND lung) OR (irritants AND lung) OR (occupational diseases AND lung) OR ((asthma OR rhinitis) AND chemically induced) OR Respiration/drug effects OR Bronchoconstriction OR Respiratory Mechanics))</t>
  </si>
  <si>
    <r>
      <t>Acute pneumonitis associated with nickel carbonyl exposure in the workplace.    ABSTRACT:  We describe the clinical course of one industrial technician occupationally exposed to nickel carbonyl (NiC).A 50-year-old male industrial technician presented with complaints of nausea, myalgia, and cough to a local clinic after suspected occupational exposure to nickel carbonyl. He has no history of lung disease or smoking. His initial urine nickel concentration was 692 ug/L. He had infiltrates on the initial chest X-ray (CXR) and an oxygen saturation (O2) of 97% on room air. The patient was started on disulfiram 1 g by mouth (PO), 500 </t>
    </r>
    <r>
      <rPr>
        <b/>
        <sz val="11"/>
        <color rgb="FFC00000"/>
        <rFont val="Calibri"/>
        <family val="2"/>
        <scheme val="minor"/>
      </rPr>
      <t>mg</t>
    </r>
    <r>
      <rPr>
        <sz val="11"/>
        <color rgb="FF000000"/>
        <rFont val="Calibri"/>
        <family val="2"/>
        <scheme val="minor"/>
      </rPr>
      <t xml:space="preserve"> six hours after the first dose, then 250 </t>
    </r>
    <r>
      <rPr>
        <b/>
        <sz val="11"/>
        <color rgb="FFC00000"/>
        <rFont val="Calibri"/>
        <family val="2"/>
        <scheme val="minor"/>
      </rPr>
      <t>mg</t>
    </r>
    <r>
      <rPr>
        <sz val="11"/>
        <color rgb="FF000000"/>
        <rFont val="Calibri"/>
        <family val="2"/>
        <scheme val="minor"/>
      </rPr>
      <t xml:space="preserve"> twice daily for five days with prednisone 60 </t>
    </r>
    <r>
      <rPr>
        <b/>
        <sz val="11"/>
        <color rgb="FFC00000"/>
        <rFont val="Calibri"/>
        <family val="2"/>
        <scheme val="minor"/>
      </rPr>
      <t>mg</t>
    </r>
    <r>
      <rPr>
        <sz val="11"/>
        <color rgb="FF000000"/>
        <rFont val="Calibri"/>
        <family val="2"/>
        <scheme val="minor"/>
      </rPr>
      <t xml:space="preserve"> by mouth for five days. He presented 48 hours later with worsening respiratory symptoms. His O2 saturation decreased to 85% despite two days of oral steroids, and he was admitted to a hospital. He received prednisone 60 </t>
    </r>
    <r>
      <rPr>
        <b/>
        <sz val="11"/>
        <color rgb="FFC00000"/>
        <rFont val="Calibri"/>
        <family val="2"/>
        <scheme val="minor"/>
      </rPr>
      <t>mg</t>
    </r>
    <r>
      <rPr>
        <sz val="11"/>
        <color rgb="FF000000"/>
        <rFont val="Calibri"/>
        <family val="2"/>
        <scheme val="minor"/>
      </rPr>
      <t>/day PO, 4 L nasal O2, and disulfiram 500 </t>
    </r>
    <r>
      <rPr>
        <b/>
        <sz val="11"/>
        <color rgb="FFC00000"/>
        <rFont val="Calibri"/>
        <family val="2"/>
        <scheme val="minor"/>
      </rPr>
      <t>mg</t>
    </r>
    <r>
      <rPr>
        <sz val="11"/>
        <color rgb="FF000000"/>
        <rFont val="Calibri"/>
        <family val="2"/>
        <scheme val="minor"/>
      </rPr>
      <t xml:space="preserve"> twice daily. He was discharged on day 7 post-exposure with disulfiram and prednisone. Case discussions: NiC is a severe respiratory irritant. Disulfiram was used off-label and was based on an established company protocol.Inhalation exposure to NiC resulted in a delayed respiratory dysfunction which responded to disulfiram treatment.  KEYWORDS:  MeSH Chemical: Organometallic Compounds| Prednisolone| Disulfiram MeSH: | Disulfiram/majr/therapeutic use| Humans| Inhalation Exposure/majr/adverse effects| Male| Middle Aged| Occupational Exposure/majr/adverse effects| Organometallic Compounds/majr/toxicity| Pneumonia/majr/chemically induced/drug therapy| Prednisolone/majr/therapeutic use| Treatment Outcome Other:Disulfiram|nickel carbonyl|pneumonitis</t>
    </r>
  </si>
  <si>
    <t>Fipronil induced oxidative stress in neural tissue of albino rat with subsequent apoptosis and tissue reactivity.    ABSTRACT:  Fipronil (FIP) insecticide is extensively used in agriculture, public health and veterinary medicine. Although it is considered as a neurotoxin to insects (target organisms) and exhibits neurological signs upon vertebrates (non-target organisms) exposure, slight is known about its potential neurotoxic effects and its molecular mechanisms on vertebrates. The current study is designed to assess oxidative stress as a molecular mechanism of FIP neurotoxicity subordinated with apoptosis and neural tissue reactivity. Ten adult male albino rats received 10 mg/kg body weight fipronil technical grade by oral gavage daily for 45 days (subacute exposure). Brain neural tissue regions (hippocampus, cerebellum and caudate putamen) were processed to examine oxidative stress induced cellular macromolecular alterations as MDA, PCC and DNA fragmentation. Besides, TNF-α and Bcl-2 gene expression and immunoreactivity for caspase-3 (active form), iNOS and GFAP were evaluated. Also, histopathological assessment was conducted. We found that FIP significantly raised MDA, PCC and DNA fragmentation (p ≤ 0.05). Also, it significantly upregulated TNF-α and non-significantly down-regulated Bcl-2 gene expression (p ≤ 0.05). Further, significant increased immunoreactivity to GFAP, iNOS and caspase-3 (active form) in these brain neural tissue regions in FIP treated group was noticed (p ≤ 0.05). Histopathological findings, including alterations in the histological architecture and neuronal degeneration, were also observed in these brain regions of FIP treated group. In conclusion, we suggest the ability of FIP to induce oxidative stress mediated macromolecular alterations, leading to apoptosis and tissue reaction in these brain regions which showed variable susceptibility to FIP toxic effects.Copyright © 2021 Elsevier GmbH. All rights reserved.  KEYWORDS:  Other:DNA fragmentation|Fipronil|Gene expression|Neuroinflammation|Neurotoxicity|Protein carbonyl content</t>
  </si>
  <si>
    <t>Toxicogenomic differentiation of functional responses to fipronil and imidacloprid in Daphnia magna.    ABSTRACT:  Active substances of pesticides, biocides or pharmaceuticals can induce adverse side effects in the aquatic ecosystem, necessitating environmental hazard and risk assessment prior to substance registration. The freshwater crustacean Daphnia magna is a model organism for acute and chronic toxicity assessment representing aquatic invertebrates. However, standardized tests involving daphnia are restricted to the endpoints immobility and reproduction and thus provide only limited insights into the underlying modes-of-action. Here, we applied transcriptome profiling to a modified D. magna Acute Immobilization test to analyze and compare gene expression profiles induced by the GABA-gated chloride channel blocker fipronil and the nicotinic acetylcholine receptor (nAChR) agonist imidacloprid. Daphnids were expose to two low effect concentrations of each substance followed by RNA sequencing and functional classification of affected gene ontologies and pathways. For both insecticides, we observed a concentration-dependent increase in the number of differentially expressed genes, whose expression changes were highly significantly positively correlated when comparing both test concentrations. These gene expression fingerprints showed virtually no overlap between the test substances and they related well to previous data of diazepam and carbaryl, two substances targeting similar molecular key events. While, based on our results, fipronil predominantly interfered with molecular functions involved in ATPase-coupled transmembrane transport and transcription regulation, imidacloprid primarily affected oxidase and oxidoreductase activity. These findings provide evidence that systems biology approaches can be utilized to identify and differentiate modes-of-action of chemical stressors in D. magna as an invertebrate aquatic non-target organism. The mechanistic knowledge extracted from such data will in future contribute to the development of Adverse Outcome Pathways (AOPs) for read-across and prediction of population effects.Copyright © 2021. Published by Elsevier B.V.  KEYWORDS:  Other:Biomarkers|D. magna|Ecotoxicogenomics|Neurotoxicity|Pathways|Pesticides</t>
  </si>
  <si>
    <t xml:space="preserve">Introducing the Rapid Alert Supply Network Extractor (RASNEX) tool to mine supply chain information from food and feed contamination notifications in Europe.    ABSTRACT:  During food or feed contamination events, it is of utmost importance to ensure their rapid resolution to minimize impact on human health, animal health and finances. The existing Rapid Alert System for Food and Feed (RASFF) is used by the European Commission, national competent authorities of member countries and the European Food Safety Authority to report information on any direct or indirect human health risk arising from food or feed, or serious risks to animal health or the environment in relation to feed. Nevertheless, no methods exist to to collectively evaluate this vast source of supply chain information.To aid in the extraction, evaluation and visualization of the data in RASFF notifications, we present the Rapid Alert Supply Network Extractor (RASNEX) open-source tool available from https://doi.org/10.5281/zenodo.4322555 freely. Among RASNEX's functions is the graphical mapping of food and feed supply chain operators implicated in contamination events. RASNEX can be used during ongoing events as a support tool for risk analysis using RASFF notifications as input.In a first use case, we showcase the functionality of RASNEX with the RASFF notification on a 2017/2018 contamination event in eggs caused by the illegal use of fipronil. The information in this RASFF notification is used to visualize nine different flows of main and related food products. In a second use case, we combine RASFF notifications from different types of food safety hazards (Salmonella spp., fipronil and others) to obtain wider coverage of the visualized egg supply network compared to the first use case. Actors in the egg supply chain were identified mainly for Italy, Poland and Benelux. Other countries (although involved in the egg supply chain) were underrepresented.We hypothesize that biases may be caused by inconsistent RASFF reporting behaviors by its members. These inconsistencies may be counteracted by implementing standardized decision-making tools to harmonize decisions whether to launch a RASFF notification, in turn resulting in a more uniform future coverage across European food and feed supply chains with RASNEX.  KEYWORDS: </t>
  </si>
  <si>
    <t>Neurotoxicity of fipronil affects sensory and motor systems in zebrafish.    ABSTRACT:  Fipronil is a phenylpyrazole insecticide that may selectively inhibit gamma-aminobutyric acid receptors in insects. Although fipronil is the most widely used insecticide in aquatic environments, few studies have evaluated its neurotoxicity for the sensory and motor systems of aquatic vertebrates. We assessed the effects of acute fipronil exposure on the survival rate, number of hair cells of lateral lines, and neurotoxicity for zebrafish (Danio rerio). In addition, heat maps and the speed and distance of the swimming trajectory were compared between zebrafish subjected to the sham and fipronil treatments. Western blotting and immunohistochemistry were conducted separately to compare expressions of oxidative stress, inflammation, apoptosis, and neurotoxicity related proteins in the brain tissue between adult zebrafish with sham and fipronil treatments. Our results indicated that the survival rates and the speed and distance of the swimming trajectory significantly decreased for adult zebrafish exposed to fipronil. The results also suggested that the number of hair cells of lateral lines significantly reduced for zebrafish embryos exposed to fipronil. In histopathology and Western blotting tests, substantial oxidative stress, inflammation, and apoptosis were observed in the brain tissue of adult zebrafish exposed to fipronil. Our results revealed that fipronil toxicity may impair sensory and motor systems in zebrafish because of damage to lateral hair cells and brain tissue through oxidative stress, inflammation, and apoptosis, which in turn result in a significantly reduced survival rate and impaired locomotion. The behavioral responses of zebrafish exposed to fipronil toxicity should be determined for better understanding the reliability of behavioral biomarkers in the risk assessment of environmental toxicology.Copyright © 2021 Elsevier Inc. All rights reserved.  KEYWORDS:  MeSH Chemical: Pyrazoles| Water Pollutants, Chemical| fipronil MeSH: | Animals| Pyrazoles/toxicity| Reproducibility of Results| Water Pollutants, Chemical/majr| Zebrafish/majr Other:Fipronil|Hair cell|Motor behavior|Neurotoxicity|System pesticide|Zebrafish</t>
  </si>
  <si>
    <t>Multibiomarker responses and bioaccumulation of fipronil in Prochilodus lineatus exposed to spiked sediments: Oxidative stress and antioxidant defenses.    ABSTRACT:  Fipronil is a current use pesticide, widely used in many crops, commonly adsorbed to sediments of aquatic environments. The purpose of this study was to evaluate the biomarker responses and fipronil distribution pattern in different matrixes (fish, sediment and water) after juveniles P. lineatus exposure at two environmental concentrations (5.5 and 82 μg kg--1) of fipronil-spiked sediments. The levels of oxidized proteins (PO), lipid peroxidation (LPO), and enzymatic activity of superoxide dismutase (SOD), reduced glutathione content (GSH), antioxidant capacity against peroxyls (ACAP) and acetylcholinesterase (AChE) were evaluated in liver, gills and brain. Concentrations of fipronil and its metabolites (f. desulfinyl, f sulphpHide and f. sulfone) were quantified by GC-ECD. F. desulfinyl was the major metabolite found in all matrixes, followed by f. sulphide in sediments, while f. sulfone was mainly accumulated in fish. Fipronil promoted oxidative stress in P. lineatus, as evidenced by the increases in LPO and PO levels and the decrease brain AChE activity. Fish exposed at both concentrations showed significant decrease in antioxidant capacity. Alterations in the antioxidant defenses system was evidenced in all organs. These results suggest that the occurrence of fipronil in aquatic environments can generate oxidative stress at different levels in P. lineatus, showing that this species is highly sensitive to the deleterious effects of fipronil and metabolites.Copyright © 2021 Elsevier Inc. All rights reserved.  KEYWORDS:  MeSH Chemical: Antioxidants| Pyrazoles| Water Pollutants, Chemical| Glutathione Transferase| fipronil MeSH: | Animals| Antioxidants/majr/metabolism| Bioaccumulation| Glutathione Transferase/metabolism| Lipid Peroxidation| Liver/metabolism| Oxidative Stress| Pyrazoles| Water Pollutants, Chemical/majr/toxicity Other:Biomarkers|Current use pesticides|Degradation|Fipronil|Fish</t>
  </si>
  <si>
    <t>The adverse effects of injected functionalized multi-walled carbon nanotube (f-MWCNT) on in vivo neurosecretory brain cells of Jamaican field cricket, Gryllus assimilis.    ABSTRACT:  Carbon nanotubes (CNTs) have been increasingly more prevalent due to their use in product technology owing to their exceptional electrical and thermal conductivity and tensile strength because of their nanostructure and strength of the bonds among carbon atoms. The potential increase of CNTs in the environment is a concern, and studies to assess the toxic effects of these nanomaterials (NMs) are needed. However, so far, most of the studies are focused on aquatic species and much less is understood about the effects of NM in terrestrial organisms. This investigation used a functionalized multi-walled carbon nanotube (f-MWCNT) and the Jamaican cricket Gryllus assimilis to assess the effects of this NM. Cricket nymphs were injected with f-MWCNT suspension-at three different concentrations. The insecticide Fipronil was used as a positive control. Survival was monitored, and histological analysis was made in the brains. Pyknotic cells were quantified in two brain regions, a neurosecretory called Pars intercerebralis (PI), and an associative region called mushroom body (MB). No mortality was observed in any f-MWCNT concentration tested. A significant increase in pyknotic cells was observed as sub-lethal effect for the intermediate concentration of f-MWCNT, at PI, while any significant change was observed at the Kenyon cells of the MB. These results are discussed in the context of agglomeration and dispersion of the f-MWCNT at different concentrations, and availability of the f-MWCNT on the circulatory system, as well as the natural decay of pyknotic cells with time and different patterns of adult cricket neurogenesis. Our results showed that f-MWCNT had negative effects in the neurosecretory region of the brain.© 2021. The Author(s), under exclusive licence to Springer-Verlag GmbH Germany, part of Springer Nature.  KEYWORDS:  Other:Carbon nanotubes|Fipronil|Micro-injection|Mushroom body|Nanotube|Pars intercerebralis|Pyknotic cells|Toxicity</t>
  </si>
  <si>
    <t>[Determination of 118 pesticide residues in dried wolfberry by gas chromatography-triple quadrupole mass spectrometry in dynamic multiple reaction monitoring mode].    ABSTRACT:  Wolfberry fruit is very popular among consumers because it is rich in nutrients. However, it is vulnerable to diseases caused by insect pest feeding and microbial pathogen infection. Pesticide application is the main approach for controlling wolfberry disease; however, various concerns have been raised regarding chemical residues in foodstuffs and consequent environmental contamination. Matrix interference is a significant challenge in trace analysis. Chromatography, coupled with MS techniques with high sensitivity and selectivity, proved to be a powerful tool for the detection of multi-pesticide residues in complex matrices. The traditional MRM mode has been gradually replaced by the dynamic MRM (dMRM) mode, which could dynamically allocate the retention time window of each target pesticide, significantly adjust the loading cycle time of multiple compounds, and improve the analysis efficiency. The QuEChERS pretreatment method, based on dispersive solid-phase extraction, has been widely used in the detection of pesticide residues in food because it is simple and rapid. In this study, a robust and high-throughput method was established for the simultaneous determination of 118 pesticide residues in wolfberry using the modified QuEChERS method, combined with gas chromatography-triple quadrupole mass spectrometry in dMRM mode. The optimal pretreatment method was determined by comparing the recovery rates obtained with different volumes of added water (5, 10, 15, and 20 mL), different extraction solvents (acetone, n-hexane, acetonitrile, and acetonitrile containing 0.1% formic acid), different extraction temperatures (normal temperature, -18 ℃ for 10 min and 20 min), water absorbent (anhydrous magnesium sulfate), and purification with primary secondary amine (PSA) and octadecylsilane (C18). The results showed that 5 g samples were rehydrated with 10 mL ultrapure water, extracted with 10 mL acetonitrile, frozen at -18 ℃ for 10 min, partitioned with buffer system salt package containing 4.0 g anhydrous magnesium sulfate, 1.0 g sodium chloride, 1.0 g sodium citrate, and 0.5 g disodium citrate, purified up with 800 mg MgSO4, 150 mg PSA, and 150 mg C18. Pesticides were separated on a capillary column HP-5MS UI (30 m×0.25 mm×0.25 μm), and quantified by a matrix-matched external standard method. The results showed that the 118 pesticides exhibited good linearity in the range from 20 to 640 μg/L, with correlation coefficients R2≥0.9923. The limits of detection and quantification were 0.006-28.344 μg/kg and 0.021-94.480 μg/kg, respectively. The average recoveries at four spiked levels of 0.01, 0.04, 0.10, and 0.20 mg/kg were in the range of 64.97%-126.21%, with relative standard deviations (RSDs) of 0.69%-18.86% (n=6). The results of the matrix effect showed that 82% of the pesticides exhibited matrix enhancement effects, while others showed matrix inhibition effects. In addition, 9% of the pesticides showed a strong matrix effect, while others showed moderate or weak matrix effects. The matrix effects could be reduced by the matrix-matched standard curve method. The proposed method was employed for the analysis of 10 real samples purchased from local markets. The results demonstrated that pesticides were detected in all the samples, 22 pesticides were detected in total, and 3-12 pesticides were found in a single sample. Chlorpyrifos, fipronil, cypermethrin, pyridaben, and difenoconazole were detected at high detection rates. The captan content in a batch of samples was 1.4066 mg/kg. Thus, the optimized method is simple, fast, accurate, and reliable, and it is suitable for the routine detection and rapid screening of the multi-pesticide residues in wolfberry.  KEYWORDS:  MeSH Chemical: Pesticide Residues MeSH: | Fruit/chemistry| Gas Chromatography-Mass Spectrometry| Lycium/majr/chemistry| Pesticide Residues/majr/analysis| Solid Phase Extraction| Tandem Mass Spectrometry Other:dried wolfberry|dynamic multiple reaction monitoring (dMRM)|gas chromatography-triple quadrupole mass spectrometry (GC-MS/MS)|pesticide residue</t>
  </si>
  <si>
    <t>The effect of cattle-administered ivermectin and fipronil on the mortality and fecundity of Anopheles arabiensis Patton.    ABSTRACT:  Malaria control primarily depends on two vector control strategies: indoor residual spraying (IRS) and long-lasting insecticide-treated nets (LLINs). Both IRS and LLIN target indoor-biting mosquitoes. However, some of the most important malaria vectors have developed resistance against the chemical compounds used in IRS and LLINs. Insecticide-induced behavioural changes in vectors, such as increased outdoor feeding on cattle and other animals, also limit the effectiveness of these strategies. Novel vector control strategies must therefore be found to complement IRS and LLINs. A promising tool is the use of cattle-applied endectocides. Endectocides are broad-spectrum systemic drugs that are effective against a range of internal nematodes parasites and blood-feeding arthropods. The aim of this study was to investigate the effect of two endectocide drugs, injectable ivermectin and topical fipronil, on the survival and fecundity of zoophilic Anopheles arabiensis.Laboratory-reared mosquitoes were allowed to feed on cattle treated with either injectable ivermectin (0.2 mg/kg), topical fipronil (1.0 mg/kg) or saline (control) on days 0, 1, 4, 7, 13, 21 and 25 post-treatment, and mortality and egg production were recorded daily.Compared to controls, the mortality of An. arabiensis increased by 3.52- and 2.43-fold with injectable ivermectin and topical fipronil, respectively. The overall fecundity of mosquitoes that fed on both ivermectin- and fipronil-treated cattle was significantly reduced by up to 90 and 60%, respectively, compared to the control group. The effects of both drugs attenuated over a period of 3 weeks. Injectable ivermectin was more effective than topical fipronil and increased mosquito mortality by a risk factor of 1.51 higher than fipronil. Similarly, both drugs significantly reduced the fecundity of An. arabiensis.This study demonstrates that injectable ivermectin and topical fipronil are able to suppress An. arabiensis density and could help to reduce outdoor malaria transmission. Data from the present study as well as from other similar studies suggest that current-generation endectocides have a limited duration of action and are expensive. However, new-generation, sustained-release formulations of ivermectin have a multi-week, high mortality impact on vector populations, thus holding promise of an effective reduction of outdoor malaria transmission.  KEYWORDS:  Other:Anopheles arabiensis|Cattle|Endectocides|Fipronil|Ivermectin|Livestock|Malaria|Vector control</t>
  </si>
  <si>
    <t>Is there an urban pesticide signature? Urban streams in five U.S. regions share common dissolved-phase pesticides but differ in predicted aquatic toxicity.    ABSTRACT:  Pesticides occur in urban streams globally, but the relation of occurrence to urbanization can be obscured by regional differences. In studies of five regions of the United States, we investigated the effect of region and urbanization on the occurrence and potential toxicity of dissolved pesticide mixtures. We analyzed 225 pesticide compounds in weekly discrete water samples collected during 6-12 weeks from 271 wadable streams; development in these basins ranged from undeveloped to highly urbanized. Sixteen pesticides were consistently detected in 16 urban centers across the five regions-we propose that these pesticides comprise a suite of urban signature pesticides (USP) that are all common in small U.S. urban streams. These USPs accounted for the majority of summed maximum pesticide concentrations at urban sites within each urban center. USP concentrations, mixture complexity, and potential toxicity increased with the degree of urbanization in the basin. Basin urbanization explained the most variability in multivariate distance-based models of pesticide profiles, with region always secondary in importance. The USPs accounted for 83% of pesticides in the 20 most frequently occurring 2-compound unique mixtures at urban sites, with carbendazim+prometon the most common. Although USPs were consistently detected in all regions, detection frequencies and concentrations varied by region, conferring differences in potential aquatic toxicity. Potential toxicity was highest for invertebrates (benchmarks exceeded in 51% of urban streams), due most often to the neonicotinoid insecticide imidacloprid and secondarily to organophosphate insecticides and fipronil. Benchmarks were rarely exceeded in urban streams for plants (at 3% of sites) or fish (&lt;1%). We propose that the USPs identified here would make logical core (nonexclusive) constituents for monitoring dissolved pesticides in U.S. urban streams, and that unique mixtures containing imidacloprid, fipronil, and carbendazim are priority candidates for mixtures toxicity testing.Copyright © 2021. Published by Elsevier B.V.  KEYWORDS:  Other:Carbendazim|Fipronil|Imidacloprid|Invertebrate toxicity|Pesticide mixtures|Urbanization</t>
  </si>
  <si>
    <t xml:space="preserve">Molecular survey of pyrethroid and fipronil resistance in isolates of Rhipicephalus microplus in the north of Uruguay.    ABSTRACT:  The resistance of Rhipicephalus microplus to acaricides is a serious control problem, so its early diagnosis by a molecular technique is important. This study aims to develop a multiplex allele-specific polymerase chain reaction (PCR) for single-nucleotide polymorphisms (SNPs) in the para-sodium channel gene and in the GABA-Cl gene, associated with pyrethroids (cypermethrin and flumethrin) and fipronil resistance, respectively. We used 22 tick field isolates from farms with tick control problems (sampling convenience). These farms are located in departments of northern Uruguay. Three mutations in the sodium channel gene (Domain II S4-5: C190A and G215T; domain III S6: T2134A) and one in the GABA-Cl gene (A286S/L: CG856CC/TG) were studied. Mutations G215T and T213A were not detected. In all field isolates, the resistant allele (R) for C190A mutation (knockdown resistance, kdr) was detected, mainly in heterozygous individuals (SR) (11.1% to 86.7%). The highest incidence of the kdr mutant allele occurred in the Tacuarembó tick field isolates, where on 7 out of 10 farms &gt;30% of individuals were SR and on one farm &gt; 30% of individuals were RR. The next highest was Artigas (half of farms had&gt;30% SR individuals and a quarter had &gt;30% RR individuals). The resistance to dieldrin locus (rdl) mutation (CG856CC/TG) was absent in five field isolates. The highest incidenceof the mutant allele was observed in ticks from farms in Rivera (all farms had SR in &gt;30% of individuals and two farms had RR in &gt;12.5 and &gt;16.7% of individuals) followed by farms in Tacuarembó (3 of 10 farms had &gt;30% SR and 2 with &gt;30% RR). Less than half of the farms had rdl in homozygous individuals. No significant association was observed between phenotypic bioassays and the rdl resistance allele. Several field isolates were phenotypically susceptible to the presence of the rdl allele. Several causes are possible (bioassay sensitivity, discriminating concentration). Individuals with simultaneous kdr and rdl mutations were present in 17 field isolates, and their frequency varied between 0.06% and 60%. Genotypic analysis shows that tick resistance to both acaricides, especially pyrethroids, is a serious problem. It is important to monitor the resistance using molecular techniques to plan efficient control measures. This is the first report describing kdr and rdl detection in R. microplus in Uruguay.Copyright © 2021. Published by Elsevier GmbH.  KEYWORDS: </t>
  </si>
  <si>
    <t>Ameliorative Role of Cerium Oxide Nanoparticles Against Fipronil Impact on Brain Function, Oxidative Stress, and Apoptotic Cascades in Albino Rats.    ABSTRACT:  Fipronil (FIP) is an N-phenylpyrazole insecticide that is used extensively in public health and agriculture against a wide range of pests. Exposure to FIP is linked to negative health outcomes in humans and animals including promoting neuronal cell injury, which results in apoptosis through the production of reactive oxygen species (ROS). Therefore, the purpose of the current study was to investigate the neuroprotective effects of cerium oxide nanoparticles (CeNPs) on neuronal dysfunction induced by FIP in albino rats. Male rats were randomly classified into four groups: control, FIP (5 mg/kg bwt), CeNPs (35 mg/kg bwt), and FIP + CeNPs (5 (FIP) + 35 (CeNPs) mg/kg bwt), which were treated orally once daily for 28 consecutive days. Brain antioxidant parameters, histopathology, and mRNA expression of genes related to brain function were evaluated. The results revealed oxidative damage to brain tissues in FIP-treated rats indicated by the elevated levels of malondialdehyde (MDA) and nitric oxide (NO) levels and reduced activities of antioxidant enzymes such as superoxide dismutase (SOD) and glutathione peroxidase (GPx). On the other hand, the FIP's group that was treated with CeNPs showed decrease in MDA and NO levels and increase in SOD and GPx enzymes activity. Besides, FIP-treated rats showed decreased butyrylcholinesterase (BuChE) activity in comparison to the FIP + CeNPs group. Moreover, FIP caused up-regulation of the expression of neuron-specific enolase (NSE), caspase-3, and glial fibrillary acidic protein (GFAP) but down-regulation of B-cell lymphoma-2 (BCL-2) expression. But the FIP + CeNPs group significantly down-regulated the GFAP, NSE, and caspase-3 and up-regulated the gene expression of BCL-2. Additionally, the FIP-treated group of rats had clear degenerative lesions in brain tissue that was reversed to nearly normal cerebral architecture by the FIP + CeNPs treatment. Immunohistochemical examination of brain tissues of rats-treated with FIP showed abundant ionized calcium-binding adaptor molecule 1 (Iba-1) microglia and caspase-3 and apoptotic cells with nearly negative calbindin and synaptophysin reaction, which were countered by FIP + CeNPs treatment that revealed a critical decrease in caspase-3, Iba-1 reaction with a strong calbindin positive reaction in most of the Purkinje cells and strong synaptophysin reaction in the cerebrum and cerebellum tissues. Based on reported results herein, CeNPs treatment might counteract the neurotoxic effect of FIP pesticide via an antioxidant-mediated mechanism.Copyright © 2021 Elshony, Nassar, El-Sayed, Samak, Noreldin, Wasef, Saleh, Elewa, Tawfeek, Saati, Batiha, Tomczyk, Umezawa and Shaheen.  KEYWORDS:  Other:apoptotic cascades|cerium oxide nanoparticles|fipronil|neurotoxicity|oxidative stress</t>
  </si>
  <si>
    <t>Mitochondrial and transcriptome responses in rat dopaminergic neuronal cells following exposure to the insecticide fipronil.    ABSTRACT:  The phenylpyrazole fipronil is an insecticide that inhibits γ -amino-butyric acid (GABA) ionotropic receptors in the central nervous system. Experimental evidence suggests that fipronil acts as a neurotoxin and it is implicated in neurodegenerative diseases; however, the mechanisms of neurotoxicity are not fully elucidated. The objective of this study was to quantify mechanisms of fipronil-induced neurotoxicity in dopamine cells. Rat primary immortalized mesencephalic dopaminergic cells (N27) were treated with fipronil (0.25 up to 500 μM depending on the assay). We measured endpoints related to mitochondrial bioenergetics, mitophagy, mitochondrial membrane potential, and ATP production in addition to discerning transcriptome responses to the pesticide. Fipronil reduced cell viability at 500 μM after 24 h exposure and caspase 3/7 activity was significant increased after 6 and 12 h by 250 and 500 μM fipronil. Subsequent endpoints were thus assessed at concentrations that were below cytotoxicity. We measured oxidative respiration of N27 cells following a 24 h exposure to one dose of either 0.25, 2.5, 25, or 50 μM fipronil. Oxygen consumption rates (OCR) were not different between vehicle-control and 0.25 or 2.5 μM fipronil treatments, but there was a ∼40-60 % reduction in basal respiration, as well as reduced oligomycin-induced ATP production at 50 μM. The reduction in OCR is hypothesized to be related to lower mitochondrial mass due to mitophagy. Mitochondrial membrane potential was also sensitive to fipronil, and it was compromised at concentrations of 2.5 μM and above. To further elucidate the mechanisms linked to neurotoxicity, we conducted transcriptomics in dopamine cells following treatment with 25 μM fipronil. Fipronil suppressed transcriptional networks associated with mitochondria (damage, depolarization, permeability, and fission), consistent with its effects on mitochondrial membrane potential. Altered gene networks also included those related to Alzheimer disease, inflammatory disease, nerve fiber degeneration, and neurofibrillary tangles. This study clarifies molecular targets of fipronil-induced neurotoxicity and supports, through multiple lines of evidence, that fipronil acts as a mitochondrial toxicant in dopamine cells. This is relevant to neurodegenerative diseases like Parkinson's disease as exposure to fipronil is associated with the progressive loss of nigrostriatal dopaminergic neurons in rodents.Copyright © 2021 Elsevier B.V. All rights reserved.  KEYWORDS:  Other:Apoptosis|Mitochondrial bioenergetics|Parkinson’s disease|Pathway analysis|Pesticides|Transcriptomics</t>
  </si>
  <si>
    <t>Multi-generational exposure to fipronil, 2,4-D, and their mixtures in Chironomus sancticaroli: Biochemical, individual, and population endpoints.    ABSTRACT:  Conventional farming delivers a range of pesticides to aquatic ecosystems leading to implications for the indigenous species. Due to the multiple applications and persistence of molecules, organisms may be exposed for a prolonged period over multiple generations. The present study outlines a full life-cycle design over three generations of Chironomus sancticaroli exposed to the insecticide fipronil, the herbicide 2,4-D, and their mixtures. The experiment started with newly hatched larvae from the parental generation and lasted with the emerged adults from the second generation. Five nominal concentrations of fipronil and 2,4-D were tested, as well as six combinations of both pesticides. As additional responses, the total carbohydrates and the lipid classes were evaluated in the parental generation. The first and second generations were more susceptible to the tested compounds compared with the parental ones. Survival of larvae and pupae was decreased by both pesticides and their mixtures along with the generations. Only fipronil impaired the survival of emerged adults. Both pesticides (isolated and in the mixture) altered the emergence and the fraction of males and females. Moreover, the number of eggs produced, and their hatchability decreased. Only one combination of the pesticides increased the content of carbohydrates. Fipronil, 2,4-D, and its mixture altered the profile of the lipid classes. All mixture treatments and the three highest concentrations of fipronil extinguished the population of C. sancticaroli at the end of the first generation. In the remaining treatments with the insecticide, the population did not survive the second generation. Only three concentrations of 2,4-D and the control persisted until the end of the experiment. The results indicate that a prolonged exposition to these pesticides may disrupt the natural populations of exposed organisms with consequences to ecosystems' functioning, considering the importance of chironomids to aquatic and terrestrial environments.Copyright © 2021 Elsevier Ltd. All rights reserved.  KEYWORDS:  MeSH Chemical: Pyrazoles| Water Pollutants, Chemical| 2,4-Dichlorophenoxyacetic Acid| fipronil MeSH: | 2,4-Dichlorophenoxyacetic Acid/toxicity| Animals| Chironomidae/majr| Ecosystem| Female| Larva| Male| Pyrazoles| Water Pollutants, Chemical/majr/toxicity Other:Chironomidae|Emergence|Lipid profile|Pesticides|Reproduction</t>
  </si>
  <si>
    <t>Analysis of gaps in feline ectoparasiticide purchases from veterinary clinics in the United States.    ABSTRACT:  The study objective was to examine cat owner ectoparasiticide purchases in the United States and estimate the impact of purchase gaps on timely ectoparasite protection administration. These purchase gaps lead to periods of time when cats are unprotected from ectoparasites.Ectoparasiticide purchase transactions for individual cats from 671 U.S. veterinary clinics from January 1, 2017 through June 30, 2019 were evaluated to determine time "gaps" between doses of ectoparasiticides purchased in a defined 12-month period. Ectoparasiticides examined were topically applied products that contained fluralaner, fipronil/(S)-methoprene/pyriproxyfen, imidacloprid/pyriproxyfen or selamectin as active ingredients. The duration of protection following administration of one dose was 8-12 weeks for the fluralaner-containing product and one month for the other products.Ectoparasiticide purchase records were obtained from 114,853 cat owners and analysis found that most owners bought ≤ 6 months of protection during the year, with 61-75% (depending on the product) purchasing just 1-3 months of protection. The size of the average purchase gap was determined for all dose combinations out to 12 months of protection (5-7 doses for fluralaner and 12 doses for the other three products dosed monthly. The largest gaps occurred between the first and second doses and the second and third doses. Average purchase gaps for the four different products between doses 1 and 2 ranged from 11.2 to 13.9 weeks and between doses 2 and 3 ranged from 7.7 to 12.2 weeks. The fraction of purchases separated by gaps and the average length of the gap tended to decrease with increasing number of doses purchased. Owners purchasing the 8 to 12-week duration product containing fluralaner provided ectoparasite protection ("doses plus gap period") for a larger proportion of each 2-dose period compared with owners purchasing products administered monthly.When cat owners purchase flea and tick medication, gaps between subsequent purchases reduces the proportion of time ectoparasite protection can be provided. The duration of the gap between doses has an impact on the effectiveness of flea/tick medication because it inserts a period without flea and tick protection between doses of flea and tick medication. The gaps between purchases were shorter and the period of ectoparasite protection was larger for owners purchasing a 12-week product than for owners purchasing a monthly product.  KEYWORDS:  Other:Adherence|Cat|Doses plus gap period|Dosing gap|Ectoparasiticide|Purchase Gap</t>
  </si>
  <si>
    <t>Population model analyses of the combined effects of insecticide use and habitat degradation on the past sharp declines of the dragonfly Sympetrum frequens.    ABSTRACT:  In recent decades, many dragonfly species have become threatened with extinction. For example, populations of Sympetrum frequens, one of the most common dragonflies in rice paddy fields in Japan, decreased sharply around the late 1990s in many regions. Although previous studies suggested that the use of systemic insecticides (particularly fipronil) was likely a major cause of the decline, agronomic factors other than insecticide use and the combined effects of both have been not examined. Here, we developed an S. frequens population model using survival rate parameters associated with the farmland consolidation rate, midsummer drainage, area of crop rotation and abandoned rice paddies, insecticide use, and summer temperature and analyzed the effects of each factor on population dynamics by numerical simulations. Our population models substantially reproduced the past sharp population declines of the dragonfly in three regions. Numerical simulations using hypothetical parameters did not always suggest that the use of systemic insecticides is a sufficient cause of the sharp population declines, as the declines did not occur if the farmland consolidation rate remained at lower levels (before the 1980s). On the other hand, our findings suggest that the use of insecticides with high toxicity is a necessary cause of the sharp population declines, as the declines did not occur when simulated toxicity levels were lower than those actually used. Overall, our numerical simulations suggest that the sharp population declines of S. frequens around the late 1990s were caused by the combined effects of insecticide use and farmland consolidation, in which rice paddies are converted to well-drained paddy fields. Conservation planning for dragonflies needs to account for the combined effects of habitat degradation and use of insecticides.Copyright © 2021 Elsevier B.V. All rights reserved.  KEYWORDS:  MeSH Chemical: Insecticides MeSH: | Animals| Ecosystem| Insecticides/majr/analysis| Japan| Odonata/majr| Oryza/majr| Population Dynamics Other:Farmland consolidation|Necessary cause|Pesticides|Rice paddy fields|Sufficient cause|Systemic insecticides</t>
  </si>
  <si>
    <t>The effects of fipronil on emotional and cognitive behaviors in mammals.    ABSTRACT:  Fipronil is a phenylpyrazole insecticide that is widely used as a pesticide and a veterinary drug, although studies suggest that it could be toxic to mammals. The objectives of this study were to examine the pharmacokinetic profile of fipronil in mice, dogs, and cats, and to evaluate its effects on emotional and cognitive behaviors of dogs and cats using the data obtained from mice. The assessment of in vivo kinetics of fipronil was conducted in mice and dogs. We also performed behavioral tests (elevated plus-maze and Y-maze) and measured the levels of neurotransmitters in mice exposed to fipronil. In addition, the in vitro metabolism of fipronil were evaluated using liver microsomes of rats, mice, dogs, and cats. The results revealed that fipronil is distributed throughout the body (blood, brain, adipose tissue, and liver) of mice after dermal application. It was metabolized to fipronil sulfone primarily in the liver. The data on kinetics show that both fipronil and fipronil sulfone have a longer half-life in dogs and cats than in mice. The behavioral tests indicated that fipronil and fipronil sulfone could affect emotional and cognitive behaviors and alter the levels of neurotransmitters (dopamine in the striatum and serotonin in the hippocampus) in mice. Furthermore, we found that dogs and cats have a low ability to metabolize fipronil than mice and rats. However, further comprehensive studies are needed to determine whether fipronil affects the emotional and cognitive behaviors when administered to dogs and cats. To the best of our knowledge, this is the first study to examine the pharmacokinetic data and verify the effects of fipronil on emotional and cognitive behaviors of dogs and cats using the data obtained from mice.Copyright © 2021 Elsevier Inc. All rights reserved.  KEYWORDS:  MeSH Chemical: Insecticides| Pyrazoles| fipronil MeSH: | Animals| Cat Diseases/majr| Cats| Cognition| Dog Diseases/majr| Dogs| Insecticides/majr/toxicity| Mammals| Mice| Pyrazoles| Rats Other:Fipronil|Fipronil sulfone|Mammal behavior|Mammal cognition|Veterinary drugs</t>
  </si>
  <si>
    <t>Insecticide fipronil and its transformation products in human blood and urine: Assessment of human exposure in general population of China.    ABSTRACT:  Fipronil (FP) is widely used as a highly effective insecticide worldwide, thereby raising concern about environmental contamination and risk for human health. However, data on the occurrence of FP and its transformation products (FPs) in human blood and urine are limited. In this study, 39 pairs of serum, plasma, blood cells (BCs), and urine samples were collected from adults in Wuhan, central China (2020), in order to characterize the concentration profiles of FPs in different matrices. FPs were also determined in serum samples (n = 226, including 57, 56, 56, and 57 samples for Wuhan, Huangshi, Nanjing, and Zhenjiang, respectively) collected from four cities of China (2015) to characterize the exposure levels of FPs among the general population and potential spatial variations. Fipronil sulfone (FP-SFO) was 100% detectable in blood samples, and it was the predominant metabolite (accounting for 86-95% of the cumulative concentrations of FPs [ΣFPs]), with the median concentrations (ng/mL) of 0.17, 0.16, and 0.03 in serum (range: 0.07-1.53), plasma (range: 0.06-1.41), and BCs (range: 0.01-0.24), respectively. The compositional profiles of FPs in serum, plasma, and BCs were similar; very strong positive correlations were observed between different blood matrices for FP-SFO (r = 0.94-0.97, p &lt; 0.01) but not between blood and urine. The median ΣFPs (ng/mL) in the serum (0.20; range: 0.09-1.56) and the plasma samples (0.19; range: 0.09-1.43) was higher than that in BCs samples (0.04; range: 0.01-0.24). In the urine samples, only the major metabolite FP-SFO was detectable in approximately 10% of the samples. Additionally, the highest median ΣFPs (ng/mL) in the serum samples was found in Nanjing (0.56; range: 0.13-1.88), followed by Wuhan (0.34; range: 0.06-1.02), Huangshi (0.10; range: 0.03-0.60), and Zhenjiang (0.08; range: 0.02-0.42). The level of ΣFPs seemed to increase with city sizes and urbanization scale, though further studies are needed to confirm the variations with larger sample size. The estimated daily intake of ΣFPs based on the median concentration of samples from Nanjing (18.5 ng/kg-bw/d) was higher than that of Wuhan (11.3), Huangshi (3.40), and Zhenjiang (2.80). Dietary intake should be the major exposure route for the general population, while water or indoor dust accounted for &lt;1% of the ΣFPs intake. This pilot study provided the first data on the profiles of FPs in paired human serum, plasma, BCs, and urine samples, and potential spatial variations of ΣFPs in China. FP-SFO and FP desulfinyl should be considered among priority substances worthy to be bio-monitored in China due to its moderated persistence and ubiquitous occurrence in human blood.Copyright © 2021 Elsevier B.V. All rights reserved.  KEYWORDS:  MeSH Chemical: Dust| Insecticides| Pyrazoles| fipronil MeSH: | Adult| China| Cities| Dust/analysis| Environmental Exposure/analysis| Humans| Insecticides/majr| Pilot Projects| Pyrazoles Other:Blood|Fipronil sulfone|Human exposure|Serum|Spatial variation</t>
  </si>
  <si>
    <t>Ameliorative Effects of Boswellic Acid on Fipronil-Induced Toxicity: Antioxidant State, Apoptotic Markers, and Testicular Steroidogenic Expression in Male Rats.    ABSTRACT:  The study investigated the ability of boswellic acid (BA) to alleviate the testicular and oxidative injury FPN insecticide intoxication in the male rat model. Rats were randomly assigned to six equivalent groups (six rats each) as the following: control rats orally administered with 2 mL physiological saline/kg of body weight (bwt); boswellic acid (BA1) rats orally administered 250 mg BA/kg bwt; boswellic acid (BA2) rats orally administered 500 mg BA/kg bwt; fipronil (FPN) rats orally administered 20 mg FPN/kg bwt; (FPN + BA1) rats orally administered 20 mg FPN/kg bwt plus 250 mg BA/kg bwt, and (FPN + BA2) rats orally administered 20 mg FPN/kg bwt plus 500 mg BA/kg bwt. After 60 days, semen viability percentage and live spermatozoa percentage were decreased, and a considerably increased abnormality of the sperm cells in FPN-administered rats improved substantially with the co-administration of BA. BA had refinement of the histological architecture of testes and sexual glands. Quantitative analysis recorded a noticeable decline in the nuclear cell-proliferating antigen (PCNA) percentage area. FPN triggered cell damage, which was suggested by elevated malondialdehyde and interleukin 6, tumor necrosis factors alpha, and decreased glutathione level. Proapoptotic factor overexpression is mediated by FPN administration, while it decreased the antiapoptotic protein expression. Similarly, BA has shown significant upregulation in steroidogenic and fertility-related gene expression concerning the FPN group. Pathophysiological damages induced by FPN could be alleviated by BA's antioxidant ability and antiapoptotic factor alongside the upregulation of steroidogenic and fertility-related genes and regimented the detrimental effects of FPN on antioxidant and pro-inflammatory biomarkers.  KEYWORDS:  Other:PCNA|Semen|boswellic acid|fertility-related markers|fipronil</t>
  </si>
  <si>
    <t>Assessing pesticide uses with potentials for down-the-drain transport to wastewater in California.    ABSTRACT:  Pesticides and degradates are ubiquitously detected in municipal wastewater influent in the United States. However, little detailed information exists on their sources. The aim of this study is to investigate California Pesticide Use Report (PUR) and sales data to identify pesticide uses with a high potential for indoor down-the-drain (DtD) transport. The DtD transport of pesticides could result from direct applications to drains and sewers or through indirect activities such as washing pets, treated textiles, laundries, and cleaning surfaces treated with pesticides. An initial screening on pesticide products registered in California with DtD potentials showed that fipronil, imidacloprid, and seven pyrethroids were pesticides of concern due to the relatively high sales in DtD use patterns and high toxicity to aquatic organisms; and thus prioritized for additional evaluation. Uses and sales data of products containing the selected pesticides were analyzed for mass of active ingredient applied with specific DtD pathways and by different user groups. Professional uses were retrieved from the PUR and consumer uses were estimated by comparing PUR data to sales data. Overall, approximately 38,615 kg fipronil, 44,561 kg imidacloprid, and 240,550 kg pyrethroids were used annually in California from 2011 to 2015 with some likelihoods of DtD transport. The shares of professional use ranged from 56% (cypermethrin) to 98% (cyfluthrin), depending on the pesticide, with the majority of the mass applied in and around structures and for some pesticides (imidacloprid and permethrin) on landscapes as well. The remaining mass was applied by consumers on various DtD sources, including pet treatments (fipronil, imidacloprid, and permethrin), treated textiles (permethrin), indoor-only uses (cypermethrin), and mixed indoor/outdoor or outdoor-only applications (other pyrethroids). Results from this study help elucidate the relative significance of specific DtD pathways and pesticide occurrence in California waste streams.Published by Elsevier B.V.  KEYWORDS:  Other:California|Down-the-drain transport|Fipronil|Imidacloprid|Pyrethroids|Wastewater</t>
  </si>
  <si>
    <t>Boswellia serrata suppress fipronil-induced neuronal necrosis and neurobehavioral alterations via promoted inhibition of oxidative/inflammatory/apoptotic pathways.    ABSTRACT:  Boswellic acid (BA) is a pentacyclic terpenoid derived from the gum-resin of Boswellia serrate. It is known for its strong antioxidant, anti-inflammatory, and anticancer properties. It has improved spatial learning and provides neuroprotection against trimethyltin-induced memory impairment. The aim of this study is to evaluate the possible neuroprotective activity of B. serrata extract (BSE) containing BA against fipronil (FPN)-induced neurobehavioral toxicity in Wister male albino rats. Sixty male rats were allocated equally into six groups. The first group served as control; the second and third groups received BSE at two different oral doses (250 or 500 mg/kg body weight [BW], respectively). The fourth group was orally intoxicated with FPN (20 mg/kg BW), whereas the fifth and sixth groups served as preventive groups and co-treated with FPN (20 mg/kg BW) and BSE (250 or 500 mg/kg BW, respectively). The experiment was conducted over 8 weeks period. Results revealed that co-treatment with BSE led to significant (p &gt; 0.05) dose-dependent reduction in malondialdehyde (MDA), nitric oxide (NO), interleukin-6 (IL6), tumor necrosis factors-alpha (TNF-α), nuclear factor Kappa-B (NF-κB), Cyclooxegenase-2 (COX-2), prostaglandin E2 (PGE2), serotonin, and acetylcholine (ACh). Conversely, significant (p &gt; 0.05) up regulation of catalase (CAT), glutathione peroxidase (GSH-Px), gamma-aminobutyric acid (GABA), and acetylcholine esterase (AChE) has reported in BSE-co-treated groups. In addition, significant (p &gt; 0.05) promotion in neurobehaviours, histopathologic imaging of the cerebral, cerebellar, and hippocampal regions, and immunohistochemical expression of caspase-3 and glial fibrillary acidic protein (GFAP) were also reported in the BSE-treated groups in a dose-dependent manner. In conclusion, BSE (500 mg/kg BW) is a natural, promising neuroprotective agent that can mitigate FPN-induced neurobehavioral toxicity via the suppression of oxidative, inflammatory, and apoptotic pathways and relieve neuronal necrosis and astrogliosis.Copyright © 2021 Elsevier B.V. All rights reserved.  KEYWORDS:  MeSH Chemical: Antioxidants| Plant Extracts| Pyrazoles| fipronil MeSH: | Animals| Antioxidants| Boswellia/majr| Male| Necrosis| Oxidative Stress| Plant Extracts/toxicity| Pyrazoles| Rats Other:Boswellia serrata|Brain|Fipronil|Glial fibrillary acidic protein|Lipid peroxidation|Neuronal death</t>
  </si>
  <si>
    <t>Exposure to environmental concentrations of fipronil induces biochemical changes on a neotropical freshwater fish.    ABSTRACT:  Fipronil is a broad-use insecticide with severe toxicity to fish. Biomarkers responses and bioaccumulation were evaluated on Prochilodus lineatus after exposure to environmentally relevant concentrations of fipronil (0.5 μg L-1, 9 μg L-1, and 100 μg L-1) in a prolonged flow-through assay and ex vivo gills short-term exposition. Lipid peroxidation (LPO), oxidatively modified proteins (PO), the activity of superoxide dismutase (SOD), the content of reduced glutathione (GSH), antioxidant capacity against peroxyles (ACAP), and acetylcholinesterase (AChE) were evaluated. Besides, levels of fipronil and metabolites were analyzed by GC-ECD. At the end of the flow-through assay, fipronil, Fp. sulfone and Fp. desulfinyl were detected in fish, being liver the target organ. Fipronil prolonged exposition promoted oxidative damage in lipids and proteins, alterations in the defense system and low-antioxidant capacity in organs of P. lineatus. The brain AChE activity was affected after prolonged exposition. Ex vivo gills exposition to fipronil promoted changes in antioxidant capacity and damage to lipids, providing a fast and suitable test to assess the pesticide exposure in fish. The results revealed that fipronil at environmental concentrations would be an inducer of oxidative stress in this fish, becoming a vulnerable species to the effects of fipronil in aquatic environments.© 2021. The Author(s), under exclusive licence to Springer-Verlag GmbH Germany, part of Springer Nature.  KEYWORDS:  MeSH Chemical: Pyrazoles| Water Pollutants, Chemical| Catalase| Glutathione Transferase| fipronil MeSH: | Animals| Catalase/metabolism| Characiformes/majr/metabolism| Fresh Water| Gills/metabolism| Glutathione Transferase/metabolism| Lipid Peroxidation| Liver/metabolism| Oxidative Stress| Pyrazoles| Water Pollutants, Chemical/majr/metabolism/toxicity Other:Bioaccumulation|Biomarkers|Ex vivo gill assay|Insecticides|Oxidative stress|Prochilodus lineatus</t>
  </si>
  <si>
    <t>Resistance to Fipronil in the Common Bed Bug (Hemiptera: Cimicidae).    ABSTRACT:  Cimex lectularius L. populations have been documented worldwide to be resistant to pyrethroids and neonicotinoids, insecticides that have been widely used to control bed bugs. There is an urgent need to discover new active ingredients with different modes of action to control bed bug populations. Fipronil, a phenylpyrazole that targets the GABA receptor, has been shown to be highly effective on bed bugs. However, because fipronil shares the same target site with dieldrin, we investigated the potential of fipronil resistance in bed bugs. Resistance ratios in eight North American populations and one European population ranged from 1.4- to &gt;985-fold, with highly resistant populations on both continents. We evaluated metabolic resistance mechanisms mediated by cytochrome P450s, esterases, carboxylesterases, and glutathione S-transferases using synergists and a combination of synergists. All four detoxification enzyme classes play significant but variable roles in bed bug resistance to fipronil. Suppression of P450s and esterases with synergists eliminated resistance to fipronil in highly resistant bed bugs. Target-site insensitivity was evaluated by sequencing a fragment of the Rdl gene to detect the A302S mutation, known to confer resistance to dieldrin and fipronil in other species. All nine populations were homozygous for the wild-type genotype (susceptible phenotype). Highly resistant populations were also highly resistant to deltamethrin, suggesting that metabolic enzymes that are responsible for pyrethroid detoxification might also metabolize fipronil. It is imperative to understand the origins of fipronil resistance in the development or adoption of new active ingredients and implementation of integrated pest management programs.© The Author(s) 2021. Published by Oxford University Press on behalf of Entomological Society of America.All rights reserved. For permissions, please e-mail: journals.permissions@oup.com.  KEYWORDS:  Other:Cimex lectularius|bed bugs|fipronil|insecticide resistance|synergist</t>
  </si>
  <si>
    <t>Biomarker responses and metabolism in Lumbricus terrestris exposed to drugs of environmental concern, an in vivo and in vitro approach.    ABSTRACT:  The earthworm Lumbricus terrestris is an anecic species living in natural soils but it is also a sentinel in pollution monitoring. Specimens of L.terrestris were exposed for 48 h though the filter paper contact test at 1 mg/mL of the chemicals: Lamotrigine (LMG), Cocaine (COC), Fipronil (FIP) and the pesticide bis-4-nitrophenyl phosphate (BNPP). After that period, the activities of Acetylcholinesterase, Glutathione S-transferase, Carboxylesterase (CE) using different substrates, and lipid peroxidation levels were evaluated in the exposed whole tissue earthworms. The results revealed differences only in CE activity, with 4-nitrophenyl butyrate (4NPB) and 1-naphthyl butyrate (1NB) the most responsive substrates to COC. The kinetic parameters of CE were characterized, for the first time, in whole tissue of this species. The chemical analysis by LC-MS/MS, confirmed the exposure to the parent compounds, identified metabolites and evidenced biotransformation pathways in earthworms. Metabolic reactions included oxidation (LMG and FIP), hydrolysis (COC and FIP) as well as glycosylation (LMG, COC and FIP). A hitherto unknown metabolite of LMG due to the conjugation with phenylalanine glutamine was formed. The in vivo results on CE activity with the specific inhibitor, BNPP, were confirmed in vitro. Moreover, in the in vitro approach, the inclusion of other contaminants of environmental concern supports the potential of CE as biomarker. This study identifies the main metabolites formed by earthworms for further in vivo exposures under more realistic conditions and the potential use of CE measures as biomarker of emerging contaminants.Copyright © 2021 Elsevier Ltd. All rights reserved.  KEYWORDS:  MeSH Chemical: Biomarkers| Pharmaceutical Preparations| Soil Pollutants MeSH: | Animals| Biomarkers| Chromatography, Liquid| Oligochaeta/majr| Pharmaceutical Preparations/majr| Soil Pollutants/majr/toxicity| Tandem Mass Spectrometry Other:Carboxylesterases|Cocaine|Earthworms|Fipronil|Lamotrigine|Metabolites</t>
  </si>
  <si>
    <t>Inheritance, stability, cross-resistance, and life history parameters of a clothianidin-selected strain of house fly, Musca domestica Linnaeus.    ABSTRACT:  The house fly, Musca domestica L., is a cosmopolitan insect pest of public and animal health importance that serves as a mechanical vector of pathogens. Aimed at prospective resistance management to reduce environmental pollution, we characterized the inheritance pattern, realized heritability, fitness cost, cross resistance, stability and mechanism of clothianidin resistance in M. domestica that were collected from the poultry farm. By continuous selection with clothianidin for 11 generations, the clothianidin selected M. domestica strain (Clotha-SEL) developed a 3827-fold resistance compared to a susceptible strain. However, resistance to clothianidin was proved to be unstable when selection with clothianidin was removed for five generations (G7 to G12). Inheritance pattern analysis at G8 of Clotha-SEL (RR = 897) revealed that resistance to clothianidin was polygenic, autosomal and incompletely dominant. Realized heritability (h2) for resistance value was 0.38 (at G11) in the tested strain. Synergist bioassays showed that microsomal oxidases and esterases might not contribute significantly in resistance evolution. Fitness costs of clothianidin resistance were present, for example, reduction in growth potential of the Clotha-SEL strain in comparison to the untreated counterpart strain (UNSEL) was observed. No cross resistance to bifenthrin and fipronil and a very low cross-resistance to spinosad were observed. These insecticides could be alternated with clothianidin as an insecticide resistance management tool to sustain its efficacy for a longer time period. These results shall be utilized to devise a proactive resistance management strategy for use of clothianidin against M. domestica that will be helpful to alleviate the allied threats to environmental and human health.Copyright © 2021 Elsevier Ltd. All rights reserved.  KEYWORDS:  MeSH Chemical: Guanidines| Insecticides| Neonicotinoids| Thiazoles| clothianidin MeSH: | Animals| Guanidines| Houseflies/majr/genetics| Humans| Insecticide Resistance/genetics| Insecticides/majr/pharmacology| Neonicotinoids| Prospective Studies| Thiazoles Other:Cross-resistance|Fitness cost|Inheritance pattern analysis|Neonicotinoids|Realized heritability|Synergists</t>
  </si>
  <si>
    <t>Multiplex allele-specific polymerase chain reaction to detect kdr and rdl mutations in the cattle tick Rhipicephalus microplus (Acari: Ixodidae).    ABSTRACT:  The resistance of Rhipicephalus microplus to pyrethroids is widely dispersed worldwide and has been associated with several nucleotide substitutions in its target site, the para-sodium ion channel (Na-channel) gene. The resistance of the tick to fipronil has been increasing in South America, and mutations in the GABA-gated chloride channel (GABA-Cl) have been described in fipronil-resistant tick strains. We developed a multiplex allele-specific PCR (mAS-PCR) to screen for single-nucleotide polymorphisms (SNPs) associated with the resistance to pyrethroids (knockdown resistance or kdr) and fipronil (resistance to dieldrin or rdl) in susceptible tick populations from Uruguay (n = 11) and the Rio Grande do Sul state in Southern Brazil (n = 15). Toxicological in vitro assays with larvae and adults were used to confirm the resistance to cypermethrin, flumethrin, and fipronil. Three SNPs in the Na-channel gene were investigated (C190A, G215 T, and T2134A), and the mAS-PCR included the detection of an SNP (G858 T) coding a non-synonymous mutation in the GABA-Cl gene. C190A was present in all pyrethroid-resistant populations from Uruguay and Brazil, most frequently homozygous. The SNPs G215 T and T2134A were not found. Of the seventeen fipronil-resistant populations, fourteen presented at least one mutant GABA-Cl gene allele, more frequently in heterozygosis. Other mechanisms apart from target site insensitivity may be involved in fipronil resistance since in some resistant populations, the SNP G858 T was not detected. Sixteen (61,5%) of the populations presented individuals with simultaneous mutations in the Na-channel and GABA-Cl genes. This could be a significant problem for the future control of R. microplus. This study shows the wide dispersion of a pyrethroid resistance-associated SNP in high frequency in the region. Fipronil resistance mutations are also dispersed across the region and increasing.Copyright © 2021 Elsevier B.V. All rights reserved.  KEYWORDS:  MeSH Chemical: Acaricides MeSH: | Acaricides/majr/pharmacology| Alleles| Animals| Genotype| Insecticide Resistance/majr/genetics| Larva/drug effects/genetics| Polymerase Chain Reaction/majr/methods| Rhipicephalus/majr/drug effects/genetics Other:Fipronil|Pyrethroids|Resistance|Rhipicephalus microplus|kdr|rdl</t>
  </si>
  <si>
    <t>A randomized, controlled field study to assess the efficacy and safety of lotilaner flavored chewable tablets (Credelio™ CAT) in eliminating fleas in client-owned cats in the USA.    ABSTRACT:  Studies show that the novel isoxazoline, lotilaner (Credelio™ CAT; Elanco Animal Health), which is administered orally to cats, provides rapid and sustained flea kill for least 1 month following administration with a wide safety margin. A clinical trial was undertaken to confirm its efficacy, impact on flea allergy dermatitis (FAD) and safety under field conditions.A total of 343 cats were enrolled in the study at 11 veterinary clinics in the USA. Upon inclusion, cat households were randomized at a ratio of 2:1 to receive lotilaner tablets at the recommended dose (minimum 6 mg/kg) or a topical formulation containing fipronil + S-methoprene (Frontline® Plus for cats; Boehringer Ingelheim), administered per label. Owners were dispensed treatments for administration on days 0, 30 and 60; all household cats were administered the same treatment. Flea counts were made on primary cats (1 cat per household) on days 0 (pre-treatment), 30, 60 and 90. Flea allergy dermatitis was assessed on days 30, 60 and 90 for all cats with signs of FAD on day 0. Lotilaner-treated cats were also assessed for their acceptance of oral tablet administration by the pet owner, and safety was assessed for all cats in both groups.Lotilaner efficacy was 98.3, 99.9 and 99.9% on days 30, 60 and 90, respectively, while the efficacy of fipronil + S-methoprene was 61.6, 75.4 and 84.7%, respectively (P &lt; 0.0001, within both groups and all days). Flea counts were significantly lower in the lotilaner group than in the fipronil + S-methoprene group (P &lt; 0.0001) on each assessment day. On day 90, 98.3% of lotilaner-treated cats and 28.8% of fipronil + S-methoprene-treated cats were free of fleas. Owners successfully administered 99.5% of tablets to their cats. Total FAD score was reduced significantly following treatment in both groups by day 30 (lotilaner: P &lt; 0.0001; fipronil + S-methoprene: P = 0.0041) and continued to decrease following multiple treatments. Total FAD scores were also significantly lower in the lotilaner group than in the fipronil + S-methoprene group on day 90 (P = 0.0006 for FAD total score). Pruritus scores were significantly lower in the lotilaner group on all assessment days.A single lotilaner treatment, administered by the pet owner, was &gt; 98% efficacious in reducing flea counts within 30 days. Three consecutive monthly lotilaner treatments resulted in nearly 100% reduction in flea infestation. In the evaluations of flea counts, number of cats free from fleas and pruritus FAD score, lotilaner was shown to be superior to fipronil + S-methoprene at all time points. Lotilaner was more efficacious than fipronil + S-methoprene and was associated with greater reduction in FAD signs. Lotilaner flavored tablets were well accepted by cats. Adverse reactions were mild and infrequent, confirming the safety of lotilaner tablets in client-owned cats.  KEYWORDS:  Other:Clinical field study|Credelio™ CAT|Ctenocephalides felis|Efficacy|FAD|Fipronil|Flea allergy dermatitis|Fleas|Frontline® plus|Lotilaner|Safety</t>
  </si>
  <si>
    <t>A comparison of insecticide susceptibility levels in 12 species of urban pest ants with special focus on the odorous house ant, Tapinoma sessile.    ABSTRACT:  Many ant species are pests in urban, agricultural, and natural habitats around the world. The primary means of reducing or eliminating ant infestations utilizes chemical control, mainly applications of residual insecticides. Control failures with residual insecticides are common, driven in part by a lack of understanding of basic biological and life history characteristics, including interspecific variation in susceptibility to insecticides. The current study evaluated the susceptibility of 12 species of urban pest ants to three classes of insecticides.Results show significant variation in susceptibility across species. Contrary to the hypothesis of proportionality, no significant relationship was detected between body mass and median lethal time (LT50 ) or time to 100% mortality. The odorous house ant (Tapinoma sessile) was consistently the least susceptible to all insecticides, as indicated by the highest LT50 values and the greatest amount of time required to reach 100% mortality. Comparatively low susceptibility to commonly used spray insecticides may explain why T. sessile is such a persistent pest. Broadcast applications of spray insecticides may kill off the most susceptible species, leaving behind T. sessile. Lack of competition from other ant species, combined with increased access to nesting and feeding resources may allow T. sessile to fill a vacant ecological niche and expand its range.Considering T. sessile's relatively low susceptibility to insecticides, its ability to become established in areas colonized by other invasive ants, and its highly invasive behaviors, it should be watched for by biosecurity programs as it has high potential to become a globally invasive pest. © 2021 Society of Chemical Industry.© 2021 Society of Chemical Industry.  KEYWORDS:  MeSH Chemical: Insecticides MeSH: | Animals| Ants/majr| Ecosystem| Insecticides/majr/pharmacology Other:bifenthrin|chlorfenapyr|fipronil|invasive ants|odorous house ant|pest ants</t>
  </si>
  <si>
    <t>The molecular targets of ivermectin and lotilaner in the human louse Pediculus humanus humanus: New prospects for the treatment of pediculosis.    ABSTRACT:  Control of infestation by cosmopolitan lice (Pediculus humanus) is increasingly difficult due to the transmission of parasites resistant to pediculicides. However, since the targets for pediculicides have no been identified in human lice so far, their mechanisms of action remain largely unknown. The macrocyclic lactone ivermectin is active against a broad range of insects including human lice. Isoxazolines are a new chemical class exhibiting a strong insecticidal potential. They preferentially act on the γ-aminobutyric acid (GABA) receptor made of the resistant to dieldrin (RDL) subunit and, to a lesser extent on glutamate-gated chloride channels (GluCls) in some species. Here, we addressed the pediculicidal potential of isoxazolines and deciphered the molecular targets of ivermectin and the ectoparasiticide lotilaner in the human body louse species Pediculus humanus humanus. Using toxicity bioassays, we showed that fipronil, ivermectin and lotilaner are efficient pediculicides on adult lice. The RDL (Phh-RDL) and GluCl (Phh-GluCl) subunits were cloned and characterized by two-electrode voltage clamp electrophysiology in Xenopus laevis oocytes. Phh-RDL and Phh-GluCl formed functional homomeric receptors respectively gated by GABA and L-glutamate with EC50 values of 16.0 μM and 9.3 μM. Importantly, ivermectin displayed a super agonist action on Phh-GluCl, whereas Phh-RDL receptors were weakly affected. Reversally, lotilaner strongly inhibited the GABA-evoked currents in Phh-RDL with an IC50 value of 40.7 nM, whereas it had no effect on Phh-GluCl. We report here for the first time the insecticidal activity of isoxazolines on human ectoparasites and reveal the mode of action of ivermectin and lotilaner on GluCl and RDL channels from human lice. These results emphasize an expected extension of the use of the isoxazoline drug class as new pediculicidal agents to tackle resistant-louse infestations in humans.  KEYWORDS:  MeSH Chemical: Antiparasitic Agents| Chloride Channels| Oxazoles| Protein Subunits| Thiophenes| glutamate-gated chloride channels| lotilaner| Ivermectin MeSH: | Animals| Antiparasitic Agents/pharmacology| Chloride Channels/majr/genetics/metabolism| Female| Humans| Ivermectin/majr/pharmacology| Lice Infestations/majr/drug therapy/metabolism/parasitology| Male| Oocytes/cytology/drug effects/metabolism/parasitology| Oxazoles/majr/pharmacology| Pediculus/majr/drug effects| Protein Subunits| Thiophenes/majr/pharmacology| Toxicity Tests| Xenopus laevis</t>
  </si>
  <si>
    <t>The effects of fipronil exposure on oxidative stress, non-specific immunity, autophagy, and apoptosis in the common carp.    ABSTRACT:  The increase in the area treated with the insecticide fipronil has caused concern for aquatic organisms such as fish. Here, we assessed the effect of fipronil on carp indexes of non-specific immunity, oxidative stress, autophagy, and apoptosis following exposure to 0.074 mg/L and 0.185 mg/L of fipronil in the aqueous environment for 1 day, 3 days, 5 days, and 7 days. It was found that glutathione (GSH), malonaldehyde (MDA), and superoxide dismutase (SOD) in gills were significantly reduced (P &lt; 0.05). The increase in exposure time increases the impact on GSH, SOD, and MDA parameters in the liver and intestine. Liver acid phosphatase (ACP), alkaline phosphatase (AKP), and lysozyme (LZM) activity levels increased significantly in the treatment group on the first day after exposure, except for the 0.074 mg/L group of ACP (P &lt; 0.05). The mRNA expression levels of autophagy-related genes ATG12, ATG5, ATG16L, LC3-II, and BECN1 were generally elevated in the liver and intestine during the initial exposure period (P &lt; 0.05), while mTOR was significantly reduced on the first and third days after treatment (P &lt; 0.05). From the results of Western blotting (WB), we can see that the amount of LC3-II was significantly higher than that of LC3-I at 1, 3, and 5 days of exposure (P &lt; 0.05). Furthermore, the apoptosis-related gene Bcl-2 reached its peak in the liver, intestine, and gill on the first day, and caspase3 was significantly downregulated throughout the exposure period (P &lt; 0.05). The results showed that fipronil was potentially harmful to carp and should be used moderately to reduce the damage to aquatic ecosystems. This study complements the mechanism theory of fipronil on fish toxicology and has a certain value for human health risk assessment.  KEYWORDS:  MeSH Chemical: Pyrazoles| Water Pollutants, Chemical| fipronil MeSH: | Animals| Apoptosis| Autophagy| Carps/majr| Ecosystem| Humans| Immunity, Innate| Oxidative Stress| Pyrazoles| Water Pollutants, Chemical/majr/toxicity Other:Apoptosis|Autophagy|Common carp|Fipronil|Non-specific immunity|Oxidative stress</t>
  </si>
  <si>
    <t>The potential ameliorative impacts of cerium oxide nanoparticles against fipronil-induced hepatic steatosis.    ABSTRACT:  Fipronil (FIP) is a phenylpyrazole insecticide that is commonly used in agricultural and veterinary fields for controlling a wide range of insects, but it is a strong environmentally toxic substance. Exposure to FIP has been reported to increase the hepatic fat accumulation through altered lipid metabolism, which ultimately can contribute to nonalcoholic fatty liver disease (NAFLD) development. The present study aimed to examine the function of cerium oxide nanoparticles (CeNPs) in protecting against hepatotoxicity and lipogenesis induced by FIP. Twenty-eight male albino rats were classified into four groups: FIP (5 mg/kg/day per os), CTR, CeNPs (35 mg/kg/day p.o.), and FIP + CeNPs (5 (FIP) + 35 (CeNPs) mg/kg/day p.o.) for 28 consecutive days. Serum lipid profiles, hepatic antioxidant parameters and pathology, and mRNA expression of adipocytokines were assessed. The results revealed that FIP increased cholesterol, height-density lipoprotein, triacylglyceride, low-density lipoprotein (LDL-c), and very-low-density lipoprotein (VLDL-c) concentrations. It also increased nitric oxide (NO) and malondialdehyde (MDA) hepatic levels and reduced glutathione peroxidase (GPx) and superoxide dismutase (SOD) enzyme activities. Additionally, FIP up-regulated the fatty acid-binding protein (FABP), acetyl Co-A carboxylase (ACC1), and peroxisome proliferator-activated receptor-alpha (PPAR-α). Immunohistochemically, a strong proliferation of cell nuclear antigen (PCNA), ionized calcium-binding adapter molecule 1 (Iba-1), cyclooxygenase-2 (COX-2) reactions in the endothelial cells of the hepatic sinusoids, and increased expression of caspase3 were observed following FIP intoxication. FIP also caused histological changes in hepatic tissue. The CeNPs counteracted the hepatotoxic effect of FIP exposure. So, this study recorded an ameliorative effect of CeNPs against FIP-induced hepatotoxicity.  KEYWORDS:  MeSH Chemical: Pyrazoles| Cerium| ceric oxide| fipronil MeSH: | Animals| Cerium/majr/pharmacology| Lipogenesis/majr/drug effects| Male| Nanoparticles/majr/therapeutic use| Non-alcoholic Fatty Liver Disease/majr/chemically induced/drug therapy/metabolism/pathology| Pyrazoles/majr/adverse effects/pharmacology| Rats</t>
  </si>
  <si>
    <t>Film seeds coating with hexane extracts from Illicium verum Hook.f. and Syzygium aromaticum (L.) Merrill &amp; Perry for controlling Callosobruchus maculatus (F.) and Callosobruchus chinensis L.    ABSTRACT:  The application of film seed coating with some plant extracts against stored insect pests was an alternative approach for insect protection instead of using chemical insecticides. The overuse of insecticides has contributed to both human health and environmental problems. The hexane extracts of Illicium verum (HS) and Syzygium aromaticum (HC) were evaluated against bruchid beetles (Callosobruchus maculatus and Callosobruchus chinensis). The insecticidal activities and enhancing seed germination after being coated by various concentrations of extracts, purified fraction (PF) of extracts, standard chemicals of PF, fipronil insecticide (FI), and coating agent groups were evaluated after stored.Both HS and HC at 3% concentrations were more effective against C. maculatus than C. chinensis with LT50 values of 1.60-1.90 and 3.44-3.62 h, respectively. They could also kill those insects with a higher number than that of standards. The HS and HC could inhibit the progeny population of those insects over 95.6% with no significant difference compared to the FI group. The eugenol standard was the most effective and completely inhibited the emergence compared with trans-anethol standard and PFs. The seed that was coated with 1% of HS and stored at 4 °C for 6 months showed no effect on seed germination with no significant difference between FI and control groups.The application of 1% of HS incorporated in the film seed coating against bruchid beetles and did not affect seed germination quality after 6 months. © 2021 Society of Chemical Industry.© 2021 Society of Chemical Industry.  KEYWORDS:  MeSH Chemical: Hexanes| Insecticides MeSH: | Animals| Coleoptera/majr| Hexanes| Humans| Illicium/majr| Insecticides/majr/pharmacology| Seeds| Syzygium/majr Other:botanical insecticide|eugenol|progeny inhibition|seed germination|trans-anethol</t>
  </si>
  <si>
    <t>Acute and chronic toxicity tests of systemic insecticides, four neonicotinoids and fipronil, using the tadpoles of the western clawed frog Silurana tropicalis.    ABSTRACT:  Extensive use of neonicotinoids and fipronil, which are popular systemic insecticides used in Japanese rice paddies, has raised concerns about their impacts on nontarget aquatic organisms such as amphibians. This study employed premetamorphic tadpoles of Silurana tropicalis and addressed the toxicity of four neonicotinoids (acetamiprid, clothianidin, dinotefuran, and imidacloprid) and fipronil. Acute toxicity tests were conducted under a 96-h semistatic exposure regime and median lethal concentration (LC50) values were calculated at 24-h intervals. All LC50 values of the four neonicotinoids exceeded 100 mg/L, suggesting their low acute toxicity to amphibians. Fipronil yielded much lower LC50 values (3.00-1.34 mg/L) and was highly toxic compared to the four neonicotinoids. Additionally, exposure to fipronil at &gt;1 mg/L induced axial malformations, suggesting its teratogenicity. However, the LC50 values of fipronil were three orders of magnitude higher than the realistic concentrations in paddy water. Chronic toxicity tests were conducted with morphometric, gravimetric, and thyroid-histological endpoints. Premetamorphic tadpoles were exposed to each insecticide at two test concentrations: 0.1 and 1.0 mg/L for the four neonicotinoids; and 1/100 and 1/10 of the 96-h LC50 value for fipronil. Exposure to each insecticide continued until all tadpoles in the control reached late prometamorphic stages or the initial stage of metamorphic climax. At test termination, all insecticides showed no significant differences in any of the endpoints between the respective controls and chemical exposure groups. Overall, our results suggest that these insecticides alone do not directly affect amphibians through their larval stages at concentrations that likely occur in paddy water.Copyright © 2020 Elsevier Ltd. All rights reserved.  KEYWORDS:  MeSH Chemical: Insecticides| Neonicotinoids| Nitro Compounds| Pyrazoles| Water Pollutants, Chemical| fipronil MeSH: | Animals| Insecticides/majr/toxicity| Larva| Neonicotinoids/toxicity| Nitro Compounds| Pyrazoles| Toxicity Tests, Acute| Toxicity Tests, Chronic| Water Pollutants, Chemical/majr/toxicity Other:Amphibians|Axial malformations|Developmental toxicity|Ecotoxicology|Mortality|Thyroid-histology</t>
  </si>
  <si>
    <t>Genotoxic and melanic alterations in Lithobates catesbeianus (anura) tadpoles exposed to fipronil insecticide.    ABSTRACT:  The aim of this study was to evaluate the genotoxic and morphological systemic effects of both an acute and a chronic exposure of bullfrog tadpoles to fipronil. Lithobates catesbeianus tadpoles had morphological biomarkers (skin, liver, and blood) analyzed at Gosner stages 36-38, when exposed to four different concentrations of Regent® 800 WG (80% fipronil): 0.00 (control), 0.04, 0.08, 0.4 mg/L, and four experimental times: 4, 8, 12, and 16 days. Body darkness responded directly to the treatment and exposure time. There was a treatment-dependent decrease in darkness of heads and tails. In relation to the biometric analysis, fipronil induced a decrease in the individual weight and liver mass at the end of the experiments, whereas the hepatosomatic index did not vary according to the treatment. For the exposed animals and for the control group, the area of hepatic melanin increased as exposure time increased. Fipronil has genotoxic effects on L. catesbeianus tadpoles even after short exposure times (e.g., 4 and 8 days), and the main nuclear abnormality is in the anucleate cells. A relevant correlation was observed between genotoxic biomarkers and cutaneous and internal melanin. The frequency of nuclear abnormalities is inversely correlated both with the hepatic melanin area and with the cutaneous melanin of animals. Fipronil has distinct systemic effects on tadpoles based on its concentration, as well as on its exposure time. Such alterations (pigmentation level and rate of erythrocyte abnormality) result in morphological and physiological effects, which may compromise the behavior and survival of the anurans.  KEYWORDS:  MeSH Chemical: Insecticides| Pyrazoles| Water Pollutants, Chemical| fipronil MeSH: | Animals| Anura| DNA Damage| Insecticides/majr/toxicity| Larva| Pyrazoles| Rana catesbeiana| Water Pollutants, Chemical/majr/toxicity Other:Biomarkers|Body darkness|Genotoxicity|Melanin|Melanomacrophages|Nuclear abnormalities</t>
  </si>
  <si>
    <t>Differences in Bifenthrin and Fipronil Susceptibility Among Invasive Latrodectus spp. (Araneae: Theridiidae) and Nontarget Spiders in Japan.    ABSTRACT:  Prompt responses to invasive Latrodectus spiders introduced unintentionally are needed worldwide due to their medical and ecological importance. Latrodectus species are chemically controlled using pyrethroid insecticides despite concerns about the ecological impacts of these compounds on biodiversity/ecosystems. Here, the relative sensitivities (acute toxicity: 48-h LC50) of Latrodectus hasseltii Thorell and Latrodectus geometricus C.L. Koch from Japan to the conventional neurotoxic insecticide bifenthrin (pyrethroid) and a new candidate insecticide, fipronil (phenylpyrazole), were examined. Acute residual toxicity tests of these compounds in two nontarget spiders (Parasteatoda tepidariorum C.L. Koch (Araneae: Theridiidae), Badumna insignis L. Koch (Araneae: Desidae)) were conducted for comparison. To test whether bifenthrin and fipronil toxicities differed among the four spiders, corresponding species sensitivity distributions (SSDs) were compared, and hazardous concentrations were determined. Sensitivity (especially in the nontarget species) was two to four orders of magnitude higher for bifenthrin than for fipronil. The SSD patterns of the two insecticides differed significantly, with the spider communities being more sensitive to bifenthrin than to fipronil. The lethal bifenthrin concentration for Latrodectus may reduce spider populations by over 70-90%. If L. hasseltii (established throughout Japan) is targeted for effective population suppression rather than L. geometricus (with a limited distribution range) using the specified insecticide concentration (LC50 value) for fipronil, less than 20% of spider communities will be impacted. Chemical operations aimed at the effective population management and subsequent eradication of invasive Latrodectus spiders while supporting local biodiversity conservation would benefit from considerations of fipronil dosages and target species sensitivities.© The Author(s) 2021. Published by Oxford University Press on behalf of Entomological Society of America. All rights reserved. For permissions, please e-mail: journals.permissions@oup.com.  KEYWORDS:  MeSH Chemical: Pyrazoles| Pyrethrins| bifenthrin| fipronil MeSH: | Animals| Ecosystem| Japan| Pyrazoles| Pyrethrins/majr/toxicity| Spiders/majr Other:acute residual toxicity|chemical control|invasive|species|species sensitivity distribution|widow spider</t>
  </si>
  <si>
    <t>Assessing single effects of sugarcane pesticides fipronil and 2,4-D on plants and soil organisms.    ABSTRACT:  The continuous growth in global population since the beginning of the 20th century result in the necessity of food and energy provision favoring the intensive use of agricultural products such as pesticides. Although pesticides are important to prevent losses in the conventional chemically based agriculture, they frequently present side effects, which goes against agricultural production. The use of pesticides cause direct and indirect effects to soil organisms unbalancing essential soil processes (e.g. primary production, organic matter decomposition, nutrient cycling). Under tropical conditions, very little is known regarding the effects of pesticides to terrestrial organisms. Hence, the aim of the present study was to assess the ecotoxicological effects of the herbicide DMA® 806 BR (active ingredient: 2,4-D) and the insecticide Regent® 800 WG (active ingredient: fipronil), on terrestrial plant species (the dicot Raphanus sativus var. acanthioformis and the monocot Allium cepa), and soil invertebrates (the collembolan Folsomia candida and the enchytraeid Enchytraeus crypticus), using natural (NS) and artificial soils (TAS). For both pesticides, negative effects on non-target species were observed at concentrations lower than the doses recommended to prevent pests in sugarcane fields. For both soils, the dicot species was the most affected by the herbicide (R. sativus &gt; A. cepa &gt; F. candida &gt; E. crypticus) and the collembolan species was the most affected by the insecticide (F. candida &gt; E. crypticus = R. sativus = A. cepa). Although the order of the organisms' sensitivity for both pesticides was the same in both soils, results showed that the extent of the effects was soil dependent. Considering the ecologically relevant concentrations tested, and their severe effects to non-target organisms, it may be concluded that the use of fipronil and 2,4-D under recommended conditions may pose a risk to the terrestrial environment.Copyright © 2020 The Authors. Published by Elsevier Inc. All rights reserved.  KEYWORDS:  MeSH Chemical: Insecticides| Pesticides| Pyrazoles| Soil| Soil Pollutants| 2,4-Dichlorophenoxyacetic Acid| fipronil MeSH: | 2,4-Dichlorophenoxyacetic Acid/majr/toxicity| Agriculture| Animals| Arthropods/drug effects/physiology| Ecotoxicology| Insecticides/toxicity| Oligochaeta/drug effects/physiology| Pesticides/majr/toxicity| Pyrazoles/majr/toxicity| Saccharum/majr/physiology| Soil/chemistry| Soil Pollutants/majr/analysis Other:Herbicide|Insecticide|Soil invertebrates|Sublethal effects|Terrestrial plants|Tropical ecotoxicology</t>
  </si>
  <si>
    <t>Laboratory induced selection of pyriproxyfen resistance in Oxycarenus hyalinipennis Costa (Hemiptera: Lygaeidae): Cross-resistance potential, realized heritability, and fitness costs determination using age-stage, two-sex life table.    ABSTRACT:  Pyriproxyfen is a biorational insecticide from IGR family, used worldwide against several economic pests. To evaluate the risk of pyriproxyfen resistance in dusky cotton bug, Oxycarenus hyalinipennis Costa (Hemiptera: Lygaeidae), a major concern for cotton producers, and to formulate strategies effective to tackle resistance, a field collected population was selected with pyriproxyfen under laboratory conditions using seed-dip method. A resistant strain designated as Pyr-SEL (G18) was developed after repeatedly selecting O. hyalinipennis with pyriproxyfen over eighteen generations. Thereafter, fitness costs, realized heritability (h2) and cross-resistance were investigated. As a result of selection, Pyr-SEL (G18) developed a very high level of resistance (resistance ratio = 464.23-fold) compared with the susceptible strain unselected over twenty generations Un-SEL (G20). The Pyr-SEL (G18) conferred strong cross-resistance to bifenthrin (146.59-fold), lambda-cyhalothrin (132.96-fold) and fenoxycarb (91.06-fold), whereas showed moderate cross-resistance to diafenthiuron (28.86-fold) and fipronil (22.73-fold). The h2 estimate was 0.16 in Pyr-SEL (G18). The developmental duration of O. hyalinipennis pre-adult prolonged, but traits of λ, r and R0 reduced in Pyr-SEL (G18) compared with the Un-SEL (G20). Also, the population projection obtained lower population size for Pyr-SEL (G18) than Un-SEL (G20). Fitness studies revealed that high resistance development to pyriproxyfen lowered the relative fitness of Pyr-SEL (G18) (Rf = 0.38) compared with the Un-SEL (G20). These findings may be practically valuable in tackling O. hyalinipennis resistance for better pest management.Copyright © 2020 Elsevier Ltd. All rights reserved.  KEYWORDS:  MeSH Chemical: Insecticides| Pyridines| pyriproxyfen MeSH: | Animals| Hemiptera/majr/genetics| Heteroptera/majr| Insecticide Resistance/genetics| Insecticides/majr/toxicity| Laboratories| Life Tables| Pyridines Other:Bioassay|Cotton|Insect pests|Insecticides|Resistance|Selection</t>
  </si>
  <si>
    <t>In vitro and in silico studies of the larvicidal and anticholinesterase activities of berberine and piperine alkaloids on Rhipicephalus microplus.    ABSTRACT:  Rhipicephalus microplus is responsible for high economic losses in livestock and its control has become difficult due to the establishment of tick populations resistant to commercial acaricides. This study aimed to evaluate the in vitro larvicidal effect of the alkaloids berberine and piperine, and also to investigate their inhibitory mechanisms against the acetylcholinesterase enzyme. The effects of the alkaloids on larvae were observed through the immersion test at the following concentrations: 1.5; 3; 6; 12; 16 and 24 mM. Berberine and piperine presented larvicidal activity greater than 95 %, not differing from 100 % for the positive fipronil control (p &gt; 0.05). Of the two alkaloids, piperine had a lower effective concentration (EC), with an EC50 of 6.04 mM. The acetylcholinesterase enzyme used in the study was obtained from R. microplus larvae (RmAChE) and the anticholinesterase activity was determined spectrophotometrically. The highest anticholinesterase activity, measured as inhibition concentration (IC), was observed for berberine (IC50 = 88.13 μM), while piperine showed lower activity (IC50 &gt; 200 μM). Docking studies in RmAChE, followed by 10 ns molecular dynamics simulation, suggest that berberine stabilizes the RmAChE at lower Root-Mean-Square Deviation (RMSD) than Apo protein. Few hydrogen-bond interactions between berberine and RmAChE residues were balanced by hydrophobic and π-type interactions. Berberine fills preferentially the peripheral anionic site (PAS), which correlates with its non-competitive mechanism. These results suggest that berberine and piperine alkaloids have an in vitro acaricidal action on R. microplus larvae, and the likely mechanism of action of berberine is related to RmAChE inhibition when accessing the PAS residues. These findings could help the study of new natural products that could inhibit RmAChE and aid in the development of new acaricides.Copyright © 2020 Elsevier GmbH. All rights reserved.  KEYWORDS:  Other:Acetylcholinesterase|Berberine|Piperine|Ticks</t>
  </si>
  <si>
    <t>Multivariate optimization of a dispersive liquid-liquid microextraction method for the determination of six antiparasite drugs in kennel effluent waters by using second-order chromatographic data.    ABSTRACT:  Six veterinary active ingredients (imidacloprid, albendazole, fenbendazole, praziquantel, fipronil and permethrin) were extracted and quantified by liquid chromatography with diode array detection in water samples from a wetland system used for the treatment of waste from a dog breeding plant. Response surface methodology, based on least-squares and artificial neural networks modelling, was applied for the optimization of a dispersive liquid-liquid microextraction (DLLME) procedure. Firstly, two experimental designs were built for screening and optimization, respectively. Then, the desirability function was implemented for the simultaneous optimization of the six recoveries (chromatographic areas of the six compounds). The optimum conditions were: 600 μL of acetone (dispersive solvent), 670 μL of dichloromethane (extractant solvent) and 0.6 min of vortex mixing. The preconcentration factor was 37.5. Then, in order to identify and quantify the six drugs, second-order calibration with MCR-ALS modeling of HPLC-DAD data was implemented attaining successful results. The limits of quantification were 4 ng mL-1 for imidaclopril, albendazole and fenbendazole; 8 ng mL-1 for praziquantel and fipronil; and 26 ng mL-1 for permethrin. The developed method allowed the quantitation of the target analytes, even in the presence of unexpected compounds from dirty water samples. The following maximum levels of veterinary drugs were found (in ng mL-1): imidaclopril, 7; albendazole, 46; fenbendazole, 21; praziquantel, 29; fipronil, 29 and permethrin, 217.Copyright © 2020 Elsevier B.V. All rights reserved.  KEYWORDS:  MeSH Chemical: Pharmaceutical Preparations| Solvents MeSH: | Animals| Chromatography, High Pressure Liquid| Dogs| Liquid Phase Microextraction/majr| Pharmaceutical Preparations/majr| Research Design| Solvents Other:Dispersive liquid-liquid microextraction (DLLME)|Kennel effluent water samples|Multivariate curve resolution (MCR)|Response surface methodology (RSM)|Veterinary active ingredients</t>
  </si>
  <si>
    <t>Functional responses of Hyalella meinerti after exposure to environmentally realistic concentrations of 2,4-D, fipronil, and vinasse (individually and in mixture).    ABSTRACT:  Sugarcane crops management in Brazil includes the use of pesticides, as well as alternative organic fertilizers such as vinasse obtained from waste of the ethanol industry. In order to assess the effects of the environmental contamination generated by such sugarcane practices, this study was aimed to investigate the effects of the pesticides 2,4-Dichlorophenoxyacetic acid (2,4-D) and fipronil, as well as vinasse, on the survival, behavior, and reproduction of the native epibenthic macroinvertebrate Hyalella meinerti through in situ and laboratory experiments. In situ assays were conducted in mesocosms with six treatments, i.e. untreated control, 2,4-D, fipronil, and vinasse, the mixture of the two pesticides, and both pesticides mixed with vinasse. Survival, swimming behavior, and reproduction were evaluated over time post contamination, from 0-96 h (T1) and 7-14 days (T2) through in situ experiments and 30-44 days (T3) and 75-89 days (T4) post contamination by laboratory bioassays with mesocosm water. In the T1 period, survival of H. meinerti was registered only in controls and mesocosms treated with 2,4-D. In the T2 period, treatments containing fipronil and vinasse (isolated or in both mixture treatments) still caused 100 % of mortality. Survival was recorded only in 2,4-D and control treatments, whereas reproduction only occurred in the control. In the T3 period, no survival occurred to fipronil and both mixture treatments. Vinasse and 2,4-D decreased total reproduction in comparison to control. In the T4 period, amphipods survival was detected when exposed to fipronil and its mixture with 2,4-D. However, these same treatments decreased the amplexus rates and total reproduction, with synergism denoted for the pesticide mixture. The swimming activity of males, females, and couples was decreased in surviving organisms exposed to 2,4-D, fipronil, vinasse, and the mixture of pesticides along all experimental periods. Our study showed that the application of fipronil, 2,4-D, and vinasse isolated or mixed at realistic concentrations of actual sugarcane management practices may negatively impact functional responses of indigenous amphipods in natural aquatic systems.Copyright © 2020 Elsevier B.V. All rights reserved.  KEYWORDS:  MeSH Chemical: Pesticides| Pyrazoles| Waste Products| Water Pollutants, Chemical| 2,4-Dichlorophenoxyacetic Acid| fipronil MeSH: | 2,4-Dichlorophenoxyacetic Acid/majr/toxicity| Amphipoda/majr/drug effects/physiology| Animals| Behavior, Animal/drug effects| Brazil| Environmental Exposure/majr| Female| Male| Pesticides/analysis| Pyrazoles/majr/toxicity| Reproduction/drug effects| Survival Analysis| Swimming| Waste Products/majr| Water Pollutants, Chemical/toxicity| Water Quality Other:Behavior|Mesocosms|Pesticides|Reproduction|Synergism</t>
  </si>
  <si>
    <t>Impact of 2,4-D and fipronil on the tropical midge Chironomus sancticaroli (Diptera: Chironomidae).    ABSTRACT:  Increased use of pesticides in conventional agriculture implies potential risks to the environment. In aquatic ecosystems, benthic organisms may be exposed to pesticides via contaminated water and sediment, leading to several potential cascading effects on the food web. The aim of this study was to assess the functional implications of environmental realistic concentrations of the herbicide 2,4-D and the insecticide fipronil (alone and in combination) to the native tropical chironomid Chironomus sancticaroli. These two pesticides are widely applied to different crops and have frequently been detected (together) in surface water bodies in Brazil and elsewhere. Commercial products containing fipronil (Regent® 800WG) and 2,4-D (DMA® 806BR) were evaluated in 8-day toxicity tests for their effects on larval survival, growth (body length and biomass), head capsule width, development, and mentum deformities. Fipronil decreased the larval survival at the highest test concentration and the effective concentrations (EC) after eight days of exposure were: EC10 = 0.48 µg L-1 (0.395-0.565), EC20 = 1.06 µg L-1 (0.607-1.513), and EC50 = 3.70 µg L-1 (1.664-5.736). All sublethal test concentrations of fipronil decreased the larval growth, causing reductions in biomass up to 72%. The two highest test concentrations of fipronil decreased the head capsule width and after exposure to 3.7 µg fipronil L-1, only half of the larvae reached the fourth instar. The incidence of deformities was increased by fipronil in a concentration dependent manner with an increase ranging from 23% to 75%. The highest test concentration of 2.4-D (426 µg L-1) decreased the head capsule width, but larval development was unaffected at all concentrations evaluated. In the mixture tests, antagonism was observed at lower fipronil concentrations and synergism at higher fipronil concentrations for growth. The incidence of deformities rose with increasing fipronil concentrations. The results showed that environmental realistic concentrations of fipronil may have serious ecological implications for C. sancticaroli populations and that a mixture with the herbicide 2,4-D can have synergistic effects, potentiating the risks to the aquatic ecosystem.Copyright © 2020 The Authors. Published by Elsevier Inc. All rights reserved.  KEYWORDS:  MeSH Chemical: Insecticides| Pesticides| Pyrazoles| Water Pollutants, Chemical| 2,4-Dichlorophenoxyacetic Acid| fipronil MeSH: | 2,4-Dichlorophenoxyacetic Acid/majr/toxicity| Animals| Brazil| Chironomidae/majr/drug effects/growth &amp; development| Ecosystem| Insecticides| Larva| Pesticides/majr/toxicity| Pyrazoles/majr/toxicity| Toxicity Tests| Water Pollutants, Chemical/majr/toxicity| Water Pollution Other:Larval development|Larval growth|Mentum deformity|Pesticides|Sublethal effects|Synergism</t>
  </si>
  <si>
    <t>Limited Scope Risk Assessment for Nontarget Ground-Dwelling Arthropods From Systemic Insecticide Applications to Young Pines.    ABSTRACT:  The Nantucket pine tip moth (NPTM) [Rhyacionia frustrana (Comstock)], a native regeneration pest on young loblolly pines (Pinus taeda L.), negatively impacts pine growth. An emerging management approach is to apply systemic insecticides to seedlings to reduce NPTM damage. These systemic insecticide applications generally occur once, perhaps twice, during the first few years of loblolly pine growth. However, these applications could lead to unintended environmental consequences to nontarget organisms. The purpose of this study was to assess potential nontarget effects from four systemic insecticide applications by assessing ground-dwelling arthropod trap catch, with a focus on collembolan trap catch and genera richness. Loblolly seedlings (24 seedlings per plot) at three sites in southeast Georgia were treated with either chlorantraniliprole, dinotefuran, fipronil, or imidacloprid or left untreated as a control. Arthropods were collected with pitfall traps that were deployed for 5 d in July, August, and September 2019, 7-9 mo after treatment. Ground-dwelling arthropod trap catch, arthropod order trap catch, collembolan trap catch, and collembolan genera richness did not vary among insecticide treatments and the untreated control in this mid-term insecticide risk assessment. While no significant effects of insecticide treatment were observed, ground-dwelling arthropod trap catch, collembolan trap catch, and collembolan genera richness differed among collection times. This study was the first of its kind in a young pine stand setting and is an important first step to understanding risk in these settings. Information on nontarget risks of management practices informs growers of the level of environmental risk associated with systemic insecticides.© The Author(s) 2020. Published by Oxford University Press on behalf of Entomological Society of America. All rights reserved. For permissions, please e-mail: journals.permissions@oup.com.  KEYWORDS:  MeSH Chemical: Insecticides MeSH: | Animals| Arthropods/majr| Georgia| Insecticides/majr/toxicity| Moths/majr| Risk Assessment Other:collembolan|forest insect|nontarget|pine tip moth|regeneration pest</t>
  </si>
  <si>
    <t>Design, Synthesis, and Insecticidal Activity of 5,5-Disubstituted 4,5-Dihydropyrazolo[1,5-a]quinazolines as Novel Antagonists of GABA Receptors.    ABSTRACT:  To control the development of resistance to conventional insecticides acting as γ-aminobutyric acid (GABA) receptor antagonists (e.g., fipronil), new GABAergic 5,5-disubstituted 4,5-dihydropyrazolo[1,5-a]quinazolines were designed via a scaffold-hopping strategy and synthesized with a facile method. Among the 50 target compounds obtained, compounds 5a, 5b, 7a, and 7g showed excellent insecticidal activities against a susceptible strain of Plutella xylostella (LC50 values ranging from 1.03 to 1.44 μg/mL), which were superior to that of fipronil (LC50 = 3.02 μg/mL). Remarkably, the insecticidal activity of compound 5a was 64-fold better than that of fipronil against the field population of fipronil-resistant P. xylostella. Electrophysiological studies against the housefly GABA receptor heterologously expressed in Xenopus oocytes indicated that compound 5a could act as a potent GABA receptor antagonist, and IC50 was calculated to be 32.5 nM. Molecular docking showed that the binding poses of compound 5a with the housefly GABA receptor can be different compared to fipronil, which explains the effectiveness of compound 5a against fipronil-resistant insects. These findings have suggested compound 5a as a lead compound for a novel GABA receptor antagonist controlling field-resistant insects and provided a basis for further design, structural modification, and development of 4,5-dihydropyrazolo[1,5-a]quinazoline motifs as new insecticidal GABA receptor antagonists.  KEYWORDS:  MeSH Chemical: GABA Antagonists| Insect Proteins| Insecticides| Quinazolines| Receptors, GABA MeSH: | Animals| Drug Design| GABA Antagonists/majr/chemistry/pharmacology| Houseflies/majr/chemistry/drug effects/genetics/metabolism| Insect Proteins/majr/antagonists &amp; inhibitors/chemistry/metabolism| Insecticides/majr/chemical synthesis/chemistry/pharmacology| Molecular Docking Simulation| Quinazolines/majr/chemistry/pharmacology| Receptors, GABA/chemistry/metabolism Other:5,5-disubstituted 4,5-dihydropyrazolo[15-a]quinazoline|antagonist|insect GABA receptor|insecticidal activity|resistance management</t>
  </si>
  <si>
    <t>Matrix effect challenges to quantify 2,4-D and fipronil in aquatic systems.    ABSTRACT:  Fipronil and 2,4-D are two main pesticides of sugarcane cultivation in Brazil. While pesticides have helped to improve food quality and quantity, the continuous increase in usage has raised concerns over the unintended negative environmental impacts they introduce. Mesocosm systems are used as surrogate ecosystems to evaluate the fate, transport, and transformation of pesticides. Controlled experimental manipulations on mesocosms simulate the effects of stressors on the environment, in which the studies to evaluate effects on the living organisms and assess pesticide dynamics produce more realistic data than those obtained in the laboratory. However, analytical methods that follow mesocosm studies shall be robust enough towards sensitive variations in analyte concentration and matrix-induced effects of suppression or enhancement of analytical response. An analytical method using solid-phase extraction (SPE) along with liquid chromatography tandem mass spectrometry (LC-MS/MS) was developed for simultaneous determination of fipronil, 2,4-D, and their respective transformation products in aquatic systems. The method presented instrument quantification limits from 0.1 to 10.0 ng mL-1 and recovery values from 14 to 101%, with a maximum relative standard deviation (RSD) value of 12%. In the matrix effect assessment, the majority of matrix proportions showed a statistically relevant matrix effect for all compounds (p &lt; 0.05). The method was further applied to over 500 different samples from mesocosm systems during controlled pesticide application and conversion of pastureland into sugarcane cropland. 2,4-D and fipronil mesocosm concentrations varied from 5 ng L-1 to 1.6 mg L-1 and 0.3 ng L-1 to 56 μg L-1, respectively.  KEYWORDS:  MeSH Chemical: Pesticides| Pyrazoles| 2,4-Dichlorophenoxyacetic Acid| fipronil MeSH: | 2,4-Dichlorophenoxyacetic Acid| Brazil| Chromatography, Liquid| Ecosystem| Environmental Monitoring| Limit of Detection| Pesticides/majr/analysis| Pyrazoles| Solid Phase Extraction| Tandem Mass Spectrometry/majr Other:Aquatic mesocosms|LC-MS/MS|Method validation|Pesticides|SPE</t>
  </si>
  <si>
    <t>The impact of the fipronil crisis on the financial performance of Dutch laying hen farms.    ABSTRACT:  Illegal use of fipronil as an insecticide in 2017 has caused substantial damage to Dutch laying hen farms. We assessed how the fipronil crisis has affected the financial performance of affected farms as well as unaffected farms. While affected farms faced culling their flocks and lost revenue, unaffected farms benefitted from temporary high egg prices.A three-step normative modelling approach is taken using financial statements and a partial budget. The estimations are for a 50,000 laying hen farm facing the fipronil crisis for 5 months. First, a baseline is created by generating an income statement of this laying hen farm representing a 'normal year'. Second, incremental costs and revenue as a result of the fipronil crisis are estimated. Third, the baseline income statement is updated with the outcomes of the partial budget. This results in two additional income statements that report the net operating result of this farm being unaffected and affected by the fipronil crisis.While in a normal year this average-sized farm has a net operating result of around 18,000 euros, profitability was estimated to be - 369,000 euros and + 169,000 euros for the affected and unaffected farm due to the crisis respectively. For affected farms, impacts were especially high as there was no government compensation or insurance.As Dutch farms typically operate as independent family farms, there was also no compensation from other chain actors. The affected farms therefore likely have faced financial distress and have had to increase debt or use their financial reserves for household consumption and restarting the business. Outcomes contribute to discussions around liability claims and cost-benefit assessments of measures to improve the chain food safety and rapid alert systems.  KEYWORDS:  MeSH Chemical: Insecticides| Pyrazoles| fipronil MeSH: | Animal Husbandry/majr/economics/methods| Animals| Chickens| Eggs/economics| Farms/economics| Female| Insecticides/majr| Mites/drug effects| Poultry| Pyrazoles/majr Other:Family farm|Financial distress|Financial performance|Fipronil crisis|Laying hen|Partial budget</t>
  </si>
  <si>
    <t>Hyalomma anatolicum resistance against ivermectin and fipronil is associated with indiscriminate use of acaricides in southwestern Balochistan, Pakistan.    ABSTRACT:  Ivermectin and fipronil have been used regularly to control the hard tick Hyalomma anatolicum (Acari: Ixodidae) in domestic ruminants for more than a half-decade in Balochistan, Pakistan. Inappropriate and indiscriminate use of these acaricides has resulted in the development of resistances in tick species. In this work, acaricides (ivermectin and fipronil) resistance was evaluated in H. anatolicum through in vitro and in vivo bioassays in a horse farm of Quetta, Balochistan province, Pakistan. A participatory epidemiological survey was conducted to assess potential risk factors associated with the development of acaricide resistance in H. anatolicum. The results of the epidemiological survey revealed that the horse keepers did not follow the manufacturer's instructions for the use of acaricides and applied indiscriminate doses of acaricides. The results of in vitro bioassays (adult immersion test and larval immersion test) showed that fipronil and ivermectin have protective efficacy against H. anatolicum. The results of in vivo bioassay (adult-tick mortality assay) revealed that fipronil had a higher efficacy (78.16%) than ivermectin (49.94%). More than 80% of tick mortality was not achieved in any bioassays, even for the highest acaricide concentration (100 ppm), which suggests the development of acaricide resistance against fipronil and ivermectin. This study highlights the urgency to implement a country-wide awareness about resistance monitoring and effective tick control. Graphical abstract.  KEYWORDS:  MeSH Chemical: Acaricides| Pyrazoles| Ivermectin| fipronil MeSH: | Acaricides/majr/pharmacology| Animals| Drug Resistance/majr/physiology| Horses| Inappropriate Prescribing| Ivermectin/majr/pharmacology| Ixodidae/majr/drug effects| Larva/drug effects| Pakistan| Pyrazoles/majr/pharmacology| Tick Infestations/drug therapy/veterinary Other:Acaricide|Balochistan|Horse|Resistance|Tick</t>
  </si>
  <si>
    <t>Potential role of veterinary flea products in widespread pesticide contamination of English rivers.    ABSTRACT:  Little is known about the environmental fate or impact of pesticides used to control companion animal parasites. Using data from the Environment Agency, we examined the occurrence of fipronil, fipronil metabolites and imidacloprid in 20 English rivers from 2016 to 2018, as indicators of the potential contamination of waterways from their use as ectoparasiticides on pets. Water samples were collected by the Environment Agency as part of their chemical surveillance programme and analysed using Liquid Chromatography Mass Spectrometry / Quadrupole-Time-of-Flight Mass spectrometry (LC/Q-TOF-MS) methods. A total of 3861 chemical analyses were examined, and the significance and potential sources of this contamination were assessed. Fipronil, fipronil sulfone, fipronil sulfide (collectively known as fiproles) and imidacloprid were detected in 98.6%, 96.5%, 68.7% and 65.9% of samples, respectively. Across the river sites sampled, the mean concentrations of fipronil (17 ng/l, range &lt;0.3-980 ng/l), and fipronil sulfone (6.5 ng/l, range &lt;0.2-39 ng/l) were 5.3 and 38.1 times their chronic toxicity limits of 3.2 and 0.17 ng/l, respectively. Imidacloprid had a mean concentration of 31.7 ng/l (range &lt;1-360 ng/l), which was below its chronic toxicity limit of 35 ng/l, however seven out of 20 sites exceeded that limit. Chronic risk quotients indicate a high environmental risk to aquatic ecosystems from fiproles, and a moderate risk from imidacloprid. Sites immediately downstream of wastewater treatment works had the highest levels of fipronil and imidacloprid, supporting the hypothesis that potentially significant quantities of pesticides from veterinary flea products may be entering waterways via household drains. These findings suggest the need for a reevaluation of the environmental risks associated with the use of companion animal parasiticide products, and the risk assessments that these products undergo prior to regulatory approval.Copyright © 2020 Elsevier B.V. All rights reserved.  KEYWORDS:  MeSH Chemical: Insecticides| Pesticides| Water Pollutants, Chemical MeSH: | Animals| Ecosystem| Environmental Monitoring| Gas Chromatography-Mass Spectrometry| Insecticides/majr/analysis| Pesticides/majr/analysis| Siphonaptera/majr| Water Pollutants, Chemical/majr/analysis Other:Fipronil|Freshwater ecotoxicology|Imidacloprid|Pet flea products|Wastewater pollution</t>
  </si>
  <si>
    <t>Bioaccumulation of pesticide contaminants in tissue matrices of dogs suffering from malignant canine mammary tumors in Punjab, India.    ABSTRACT:  The unprecedented application of pesticides in Punjab, India during green revolution has lead to an environmental crisis due to the accumulation of persistent organic and pesticide pollutants in the environment and biota of this region. The present study aimed at estimating the abundance of pesticide contaminants in three biological matrices of 36 dogs suffering from malignant canine mammary tumor (mCMT) and 6 tumor free control dogs from Punjab, India. Presence of individual and total pesticides in canine biological samples, age and bodyweight of canine patients was assessed as a potential risk factor for mCMT using logistic regression analysis. Chi-square test was employed to determine tissue-specific accumulations of individual pesticides. Spearman's correlation coefficient was estimated to determine the association between the levels of total pesticides in different tissue matrices and with age and bodyweight of mCMT cases. Gas chromatography-ECD analysis of serum, mammary tissue and adjoining mammary adipose tissue revealed fourteen different pesticides including γ-HCH, α-HCH, dieldrin, aldrin, heptachlor, butachlor, p,p-DDT, o,p-DDT, p,p-DDD, p,p-DDE, L-cyhalothrin, permethrin, fipronil, and fenitrothion. Heptachlor, γ-HCH, aldrin and p,p-DDT were more frequently detected, whereas, p,p-DDE and o,p-DDT were the least common. Differential accumulation of pesticides in tissue matrices, particularly between serum and mammary tissue/adipose tissue was observed. We could not find any association between the total pesticide concentrations among serum, mammary tissue and mammary adipose tissue in mCMT cases. We found that the odds for individual pesticide for serum, mammary tissue and adipose tissue were associated with high uncertainties; however, the total pesticide concentration in mammary tissue was near non-significantly associated with higher risk of mCMT with low uncertainty. Statistically non-significant higher odds of CMT occurrence with increase in age was noticed No association between the concentration of total pesticides in different matrices and age and bodyweight of canine subjects was found.© 2020 Published by Elsevier Ltd.  KEYWORDS:  Other:Adipose|Breast cancer|Cancer research|Clinical research|Clinical toxicology|Ecotoxicology|Environmental pollution|Environmental science|Environmental toxicology|Oncology|Organochlorine pesticides|Pathology|Persistent organic pollutants|Pet dog|Toxicology|Veterinary medicine</t>
  </si>
  <si>
    <t>Systemic Control of Cutaneous Leishmaniasis Sand-Fly Vectors: Fipronil-Treated Rodent Bait Is Effective in Reducing Phlebotomus papatasi (Diptera: Psychodidae) Female Emergence Rate From Rodent Burrows.    ABSTRACT:  The strong dependency of some vectors on their host as a source of habitat can be viewed as a weak link in pathogen's transmission cycles using the vertebrate host as a 'Trojan horse' to deliver insecticides directly to the vector-host point of contact (hereafter 'systemic control'). This could, simultaneously, affect the survival of blood-feeding females and coprophagic larvae. Sand-flies, vectors of leishmaniasis worldwide, are often dependent on their bloodmeal host as a source of habitat and may therefore be good candidates for systemic control. In the present study, we field-tested this methodology by baiting Meriones crassus (Sundevall, 1842) (Rodentia:Muridea) with Fipronil-treated food pellets and evaluated its effect on reducing sand-fly emergence rate, in general, and of that of blood-fed females, in particular. We demonstrated 86% reduction in the abundance of female sand-flies that exit burrows of Fipronil-treated jirds, whereas male abundance was unaffected. Furthermore, whereas in control burrows 20% of the females were blood-fed, in treatment burrows no blood-fed females were detected. Sand-fly abundance outside the burrows was not affected by burrow treatment. This highlights the focal specificity of this method: affecting female sand-flies that feed on the reservoir host. This should result in the reduction of the pathogen transmission rate in the vicinity of the treated area by reducing the prevalence of leishmania-infected sand-fly females. These results hold promise for the potential of the systemic control approach in this system. Our next-step goal is to test this methodology at a large-scale cutaneous leishmaniasis control program.© The Author(s) 2020. Published by Oxford University Press on behalf of Entomological Society of America. All rights reserved. For permissions, please e-mail: journals.permissions@oup.com.  KEYWORDS:  MeSH Chemical: Insecticides| Pyrazoles| fipronil MeSH: | Animals| Female| Gerbillinae/majr/parasitology| Insect Control/methods| Insecticides/pharmacology| Leishmania| Leishmaniasis, Cutaneous/majr/transmission| Phlebotomus/majr/drug effects/parasitology| Pyrazoles/majr/pharmacology Other:Fipronil|Leishmaniasis|diseases|systemic control|tightly coupled vector-host</t>
  </si>
  <si>
    <t>The Potential of Systemic Control of Sand Flies Using Fipronil in the Novel Leishmania major (Kinetoplastida: Trypanosomatidae) Reservoirs Meriones tristrami (Rodentia: Muridea) and Meriones crassus (Rodentia: Muridea).    ABSTRACT:  Leishmania major (Yakimoff &amp; Schokhor, 1914), an important causative agent of Old World Cutaneous Leishmaniasis (CL), is transmitted by sand flies among a limited number of gerbilline reservoir-species. We can take advantage of this strong dependency to break the pathogen transmission cycle by using systemic insecticides that render the host toxic to the blood-feeding vector. We evaluated the potential of this approach with two novel reservoir species, incriminated for CL expansion in several sites in the Middle East. Specifically, we evaluated: 1) the residuality of the systemic insecticide fipronil in Meriones tristrami (Thomas, 1892) fed on fipronil-treated baits and 2) the treatments' adulticide effect on sand flies that blood fed on treated and untreated M. tristrami and M. crassus (Sundevall, 1842). We fed M. tristrami with food pellets containing 0.1 g/kg fipronil and used gas chromatograph-mass spectrometery analysis and bioassays to examine its residual toxicity to blood-feeding female sand flies. In M. tristrami, fipronil was rapidly metabolized to fipronil sulfone, found in the blood, urine, and feces for ≥31 d after fipronil admission. The survival of sand flies that blood fed on fipronil-treated M. tristrami and M. crassus was significantly reduced for at least 15 and 9 d respectively, after fipronil admission. These results hold promise for the potential contribution of systemic control approaches to CL integrated management strategies against novel CL (due to L. major) outbreaks in Israel and elsewhere.© The Author(s) 2020. Published by Oxford University Press on behalf of Entomological Society of America. All rights reserved. For permissions, please e-mail: journals.permissions@oup.com.  KEYWORDS:  MeSH Chemical: Insecticides| Pyrazoles| fipronil MeSH: | Animals| Disease Reservoirs/majr/parasitology| Gerbillinae/majr/parasitology| Humans| Insect Control/methods| Insecticides/pharmacology/toxicity| Israel/epidemiology| Leishmania major| Leishmaniasis, Cutaneous/majr/transmission| Psychodidae/majr/drug effects| Pyrazoles/majr/pharmacology/toxicity Other:Leishmaniasis|disease|fipronil|insecticide|systemic control</t>
  </si>
  <si>
    <t>Adherence to veterinary recommendations for ectoparasiticides purchased by cat owners in the USA.    ABSTRACT:  Safe and effective flea and tick treatment options for cats are important in companion animal practice because of feline ectoparasite infestation prevalence and the potential for parasitic disease transmission. Retrospective cat owner purchasing transactions at United States of America (USA) veterinary clinics were obtained for three topical feline flea and tick ectoparasiticides. One medication, fluralaner, had a 12-week redosing interval, while two other medications (fipronil/s-methoprene/pyriproxyfen; imidacloprid/pyriproxyfen) were approved for monthly redosing. The annual number of doses purchased by cat owners was determined for each of the three medications and then compared between medications. The objective was to evaluate whether 12-week retreatment intervals resulted in a different duration of coverage compared to monthly treatments for ectoparasiticide products.Study results were obtained by analyzing the transactional records from a commercial database derived from veterinary practice management software. The study database consisted of cat owner purchasing records from January 2017 through June 2019 from 671 veterinary practices representing 41,630 cats.Cat owners purchased an average of 1.5 doses of fluralaner per year which, based on a 12-week redosing interval, provides 4.2 months of treatment coverage. Cat owners who used monthly flea and tick medications respectively purchased 3.6 months (fipronil/s-methoprene/pyriproxyfen combination) and 2.8 months (imidacloprid/pyriproxyfen) annually of each of the two medications. Average yearly cat owner purchases of fluralaner provide a significantly longer duration of coverage than for cat owners purchasing fipronil/s-methoprene/pyriproxyfen (17% more) or imidacloprid/pyriproxyfen (50% more).Cat owners who obtained a flea and tick treatment with a 12-week redosing interval (fluralaner) protected their cats for up to 17% or 50% longer duration each year, respectively, compared to the duration of protection obtained by cat owners who used a medication re-dosed monthly. Cat owners should increase their duration of flea and tick coverage to come closer to achieving veterinary recommendations.  KEYWORDS:  MeSH Chemical: A1443 compound| Insecticides| Isoxazoles MeSH: | Animals| Cat Diseases/drug therapy| Cats| Ectoparasitic Infestations/majr/drug therapy/epidemiology/veterinary| Guideline Adherence| Hospitals, Animal/majr| Insecticides/majr/economics/pharmacology| Isoxazoles/therapeutic use| Ownership/majr| Pets/majr| Retrospective Studies| Siphonaptera/drug effects| Ticks/drug effects| United States/epidemiology Other:Adherence|Bravecto|Cat|Ectoparasiticide|Flea|Isoxazolines|Tick</t>
  </si>
  <si>
    <t>Effects of the insecticide fipronil in freshwater model organisms and microbial and periphyton communities.    ABSTRACT:  Fipronil is a broad-spectrum insecticide whose release in the environment damages many non-target organisms. This study evaluated the toxicity of fipronil at two biological levels using in vivo conditions and environmentally relevant concentrations: the first based on two model organisms (aquatic invertebrate Daphnia magna and the unicellular freshwater alga Chlamydomonas reinhardtii) and a second based on three natural communities (river periphyton and freshwater and soil microbial communities). The physicochemical properties of fipronil make it apparently unstable in the environment, so its behaviour was followed with high performance liquid chromatography (HPLC) under the different test conditions. The most sensitive organism to fipronil was D. magna, with median lethal dose (LC50) values from 0.07 to 0.38 mg/L (immobilisation test). Toxicity was not affected by the media used (MOPS or river water), but it increased with temperature. Fipronil produced effects on the photosynthetic activity of C. reinhardtii at 20 °C in MOPS (EC50 = 2.44 mg/L). The freshwater periphyton presented higher sensitivity to fipronil (photosynthetic yield EC50 of 0.74 mg/L) in MOPS and there was a time-dependent effect (toxicity increased with time). Toxicity was less evident when periphyton and C. reinhardtii tests were performed in river water, where the solubility of fipronil is poor. Finally, the assessment of the metabolic profiles using Biolog EcoPlates showed that bacteria communities were minimally affected by fipronil. The genetic identification of these communities based on 16S rRNA gene sequencing revealed that many of the taxa are specialists in degrading high molecular weight compounds, including pesticides. This work allows us to better understand the impact of fipronil on the environment at different levels of the food chain and in different environmental conditions, a necessary point given its presence in the environment and the complex behaviour of this compound.Copyright © 2020 Elsevier B.V. All rights reserved.  KEYWORDS:  MeSH Chemical: Insecticides| Pyrazoles| RNA, Ribosomal, 16S| Water Pollutants, Chemical| fipronil MeSH: | Animals| Fresh Water| Insecticides/majr/toxicity| Periphyton/majr| Pyrazoles| RNA, Ribosomal, 16S| Water Pollutants, Chemical/majr/toxicity Other:Chlamydomonas reinhardtii|Daphnia magna|Ecotoxicity|Fipronil|Microbial communities|River periphyton</t>
  </si>
  <si>
    <t>Human health risk assessment of pesticide residues in honeysuckle samples from different planting bases in China.    ABSTRACT:  The buds and initial flowers of honeysuckle (Lonicera japonica Thunb.) are most widely used in traditional Chinese medicines (TCMs). In recent years, the problem of pesticide residues in honeysuckle has attracted much attention. This research aimed to study pesticide residual situation of honeysuckle in China and estimate the potential health risks for consumers using the HQ (hazard quotient) and HI (hazard index) methods. A reliable and robust method was established to determine and quantify 137 pesticide residues simultaneously by high-performance liquid chromatography-tandem mass spectrometry (HPLC-MS/MS) for 151 honeysuckle samples from different planting bases in China in 2017 and 2018. Fifty-four pesticides were detected in total, including 10 unauthorized pesticides (chlorpyrifos, fipronil, carbofuran, omethoate, isofenphos-methyl, triazophos, methomyl, dimethoate, methidathion, and methamidophos). One hundred and fifty (99.3%) samples contained at least 1 and up to 31 pesticides and/or their metabolites, with concentrations ranging from 0.001 to 3.087 mg/kg. Carbendazim, chlorbenzuron, imidacloprid, chlorpyrifos, and acetamiprid were the most frequently detected pesticides in 2017 and 2018, and the corresponding detection rates were 95.31%, 64.06%, 65.63%, 53.13%, 57.81%, and 98.85%, 88.51%, 70.11%, 77.01%, 57.47%, respectively. The acute hazard quotient (HQa) of carbofuran was 1.54 for specific population (fetus, infants, and pregnant or nursing women), which indicated that it posed a potential acute health risk. In the cumulative risk assessment, the acute hazard index (HIa) of insecticides in honesuckle for children and the specific population were 1.34 and 3.36, respectively, suggesting that they posed potential acute cumulative health risks. These results were of theoretical and practical value for evaluating the safety of honeysuckle and improving its quality and safety.Copyright © 2020 Elsevier B.V. All rights reserved.  KEYWORDS:  MeSH Chemical: Pesticide Residues MeSH: | Child| China| Food Contamination/analysis| Humans| Lonicera/majr| Pesticide Residues/majr/analysis| Risk Assessment| Tandem Mass Spectrometry Other:HPLC-MS/MS|Honeysuckle|Pesticide residues|Risk assessment</t>
  </si>
  <si>
    <t>Dispersal of boll weevil toward and within the cotton plant and implications for insecticide exposure.    ABSTRACT:  Immature stages of boll weevil complete development endophytically leaving only the adult stage accessible for chemical control. We tested the hypothesis that boll weevil colonization of the cotton plants significantly affects their exposure to sprayed insecticides. We determined the adult dispersal toward and within cotton plants, lethal time (LT), and residual control by recommended insecticides (malathion, carbosulfan, thiamethoxam, fipronil, beta-cyfluthrin, lambda-cyhalothrin, and thiamethoxam + lambda-cyhalothrin) through dried residue exposure and residual control regarding the leaf position in the upper and the lower thirds of the treated plant canopy.Newly emerged adults from fallen buds reached the cotton plants by walking (80%) and most of the time settling on cotton bolls in the lower part of the plants (78%). Irrespective of sex and mating status, adults released on the upper part of the plant remained longer on the same release site than the lower part, with some individuals remaining up to 50 h on the same flower bud. The shortest LT90 was found with thiamethoxam (106 h). Fipronil and malathion, respectively, provided the longest (&gt;144 h) and shortest (24 h) residual control times and caused boll weevil mortality above 80%.These findings suggest that weevils accessing the cotton plants exhibited within-plant distribution that minimizes their contact with insecticide residue on plant foliage. Furthermore, short residual control with malathion, the most used insecticide against boll weevil, and the low susceptibility exhibited by the tested population to pyrethroids highlight the current challenges faced for boll weevil control in Brazilian cotton fields. © 2020 Society of Chemical Industry.© 2020 Society of Chemical Industry.  KEYWORDS:  MeSH Chemical: Insecticides| Malathion MeSH: | Animals| Brazil| Gossypium| Insecticides/majr| Malathion| Weevils/majr Other:Anthonomus grandis grandis|chemical control|colonization|susceptibility</t>
  </si>
  <si>
    <t>Efficacy of a topical combination of eprinomectin, praziquantel, fipronil and (S)-methoprene against developing and adult Troglostrongylus brevior lungworms (Nematoda, Crenosomatidae) in cats.    ABSTRACT:  The efficacy of the eprinomectin, praziquantel, fipronil and (S)-methoprene combination parasiticide Broadline® (Boehringer Ingelheim Animal Health) was evaluated against developing larval and adult stages of Troglostrongylus brevior, a metastrongyloid pulmonary nematode which is reported to parasitize domestic cats in southern Europe with increasing frequency. Twenty four purpose-bred cats were experimentally infected with 100 third-stage T. brevior larvae each and randomly allocated to either remain untreated (control) or to be treated with the combination product when T. brevior were developing larval (6 days post inoculation, dpi) or adult nematodes (28 dpi) (eight cats per group). Treatments were administered topically at the minimum label dose of 0.12 mL/kg. Fecal samples of the cats were examined to confirm the presence of patent (adult) nematode infections prior to treatment at 28 dpi and to monitor the larval excretion. At necropsy (49 dpi), the weight of the pulmonary lymph nodes and lungs were determined, and T. brevior lungworms were recovered and counted. All control animals and cats to be treated at 28 dpi excreted T. brevior larvae 24 dpi and 26 dpi while no larvae were excreted by the cats treated at 6 dpi. Following treatment at 28 dpi, T. brevior larval excretion decreased immediatetly and ceased prior to necropsy. Nematode counts demonstrated that treatment with the combination product was 100 % efficacious against both developing larval and adult T. brevior: no lungworms were recovered from any treated cat while all control animals harbored T. brevior (range, 6-52) (p &lt; 0.001). No treatment-related health problems or any other clinical signs were observed in the cats. However, significantly higher absolute and relative (organ weight to body weight ratio) pulmonary lymph node weights of the control animals compared with the treated cats at 6 dpi (p &lt; 0.001 and p &lt; 0.001, respectively) and at 28 dpi (p = 0.003 and p = 0.019, respectively) indicated the pathology of the T. brevior infection. In conclusion, the combination product was demonstrated to be 100 % efficacious against developing larval and adult T. brevior. Furthermore, it was demonstrated that indicators of impaired respiratory and immune systems resultant from T. brevior infection can be prevented with an efficacious treatment when administered during the pre-patent period of infection or are improving substantially within three weeks of treatment of cats harboring adult lungworms.© 2020 The Authors.  KEYWORDS:  Other:Cat|Efficacy|Eprinomectin|Lungworm|Pathology|Troglostrongylus brevior</t>
  </si>
  <si>
    <t>Fiproles as a proxy for ecological risk assessment of mixture of fipronil and its degradates in effluent-dominated surface waters.    ABSTRACT:  Environmental risk assessment of complex chemical mixtures has increasingly been prioritized as a management goal, especially in the regulatory sector. Although fipronil and its three degradates (-sulfone, -sulfide and -desulfinyl) have been frequently quantified in waterways, little information is available about the likelihood and magnitude of ecological risk posed by these chemical mixtures - collectively known as fiproles - in surface water. In the present study, a probabilistic risk assessment of mixtures of fipronil and its three degradates was conducted for three effluent-dominated southern California rivers: Los Angeles River (LAR), San Gabriel River (SGR) and Santa Clara River (SCR), California, USA. The assessments, which used fiproles as an integrated proxy, were based on three levels of toxicity endpoints: median lethal concentration (LC50), half-maximal effective concentration (EC50), and lowest observed effect concentration (LOEC), to gain comprehensive assessment information. Probabilistic approaches based on species sensitivity distribution (SSD) and exposure concentration distribution (ECD) were developed with the log-logistic model by pooling the toxicity and occurrence data, respectively. The 5th percentile hazardous concentrations (HC5s) were calculated to be at low parts per billion levels, enabling these values to be used to estimate the chemical-specific benchmarks for components that lack ecotoxicity data. The single substance potentially affected fraction (ssPAF) of fiproles revealed risk levels for the three rivers in descending order: LAR ≥ SGR &gt; SCR. The overall risk probability estimated from the joint probability curve (JPC) by Monte Carlo simulation was 1.13 ± 0.20% (LC50), 9.31 ± 1.46% (EC50), and 6.58 ± 1.43% (LOEC) for the three rivers collectively. These results derived from the fiproles indicates that fipronil and its degradates pose risks to the aquatic organisms in the surface water of the three rivers. The present study provides a methodology for the use of a proxy in the risk assessment of chemical mixtures.Published by Elsevier Ltd.  KEYWORDS:  MeSH Chemical: Pyrazoles| Water Pollutants, Chemical| fipronil MeSH: | Environmental Monitoring| Pyrazoles/analysis| Risk Assessment| Rivers| Water Pollutants, Chemical/majr/analysis Other:Fiproles|Overall risk probability|Potentially affected fraction|Probabilistic risk assessment of mixture|Surface water of river</t>
  </si>
  <si>
    <t>Impact of pesticides in properties of Bradyrhizobium spp. and in the symbiotic performance with soybean.    ABSTRACT:  Soybean [Glycine max (L.) Merr.] has great economic and nutritional importance mainly due to its high protein content. All plant's N needs can be met by the symbiosis with elite Bradyrhizobium strains applied as inoculants to the seeds at sowing time; however, the increasing use of pesticides in seed treatments can impair the contribution of the biological nitrogen fixation. In this study, we report decreases in cell survival of two strains, B. japonicum SEMIA 5079 and B. elkanii SEMIA 587 in seeds inoculated and treated with StandakTop™, composed of the fungicides pyraclostrobin and thiophanate-methyl and the insecticide fipronil, the pesticides most used in soybean seed treatment in several countries. Cell death was enhanced with the time of exposure to the pesticides, and B. elkanii was less tolerant, with almost no detectable viable cells after 15 days. Change in colony morphology with smaller colonies was observed in the presence of the pesticides, being more drastic with the time of exposure, and attributed to an adaptive response towards survival in the presence of the abiotic stress. However, morphological changes were reversible after elimination of the stressing agent and symbiotic performance under controlled greenhouse conditions was similar between strains that had been or not exposed to the pesticides. In addition, no changes in DNA profiles (BOX-PCR) of both strains were observed after the contact with the pesticides. In two field experiments, impacting effects of the pesticides were observed mainly on the total N accumulated in grains of plants relying on both N2-fixation and N-fertilizer. Our data indicate that StandakTop® affects parameters never reported before, including colony morphology of Bradyrhizobium spp. and N metabolism and/or N remobilization to soybean grains.  KEYWORDS:  MeSH Chemical: Pesticides| Nitrogen MeSH: | Bradyrhizobium/majr/drug effects/growth &amp; development/metabolism| Microbial Viability/drug effects| Nitrogen/metabolism| Nitrogen Fixation/drug effects| Pesticides/majr/adverse effects| Soybeans/majr/growth &amp; development/metabolism/microbiology| Symbiosis Other:Biological nitrogen fixation|Bradyrhizobium|Glycine max|Inoculant|Pesticides</t>
  </si>
  <si>
    <t>Removal of urban-use insecticides in a large-scale constructed wetland.    ABSTRACT:  Water treatment and reuse initiatives are essential to combat declining water supplies in a changing climate, especially in arid and semi-arid regions. Pollution of water resources intensifies the search for strategies to provide water for potable and non-potable reuse that mitigates detrimental ecological and human health effects. Fipronil and synthetic pyrethroids are common urban-use insecticides that exert aquatic toxicity at trace levels and have been often found in urban surface streams. In this study, samples were collected from the 182 ha Prado Wetlands in Southern California for seven months to assess the occurrence of fipronil and its degradation products as well as pyrethroids (bifenthrin and cyfluthrin) in water, sediment, and plants in a 4.45 ha vegetated surface flow constructed wetland (CW). Concentration-based removal values and changes in mass flux were calculated to determine the efficacy of CW treatment. Observed water concentrations were further used to calculate toxic units for the invertebrates Hyalella azteca and Chironomus dilutus. Pesticide concentrations in water, sediment, and plant samples consistently decreased during passage through the CW at all time points. Removal values for fipronil desulfinyl, fipronil sulfide, fipronil, fipronil sulfone, bifenthrin, and cyfluthrin were 100%, 99.7-100%, 57.8-88.1%, 75.6-100%, 74.7-100%, and 36.6-82.2%, respectively, and there was a general net deposition of pesticides into CW compartments. Toxic unit values decreased in every instance for both aquatic invertebrates. Settling of contaminated particles, adsorption to sediment, plant uptake or adsorption, and subsequent degradation contributed to the effective removal of these urban-use insecticides, which highlights the potential of CWs for protecting urban water quality.Copyright © 2020 Elsevier Ltd. All rights reserved.  KEYWORDS:  MeSH Chemical: Insecticides| Pyrethrins| Water Pollutants, Chemical MeSH: | Amphipoda/majr| Animals| Geologic Sediments| Humans| Insecticides/majr/analysis| Pyrethrins/majr| Water Pollutants, Chemical/majr/analysis| Wetlands Other:Constructed wetland|Fipronil|Invertebrate toxicity|Pyrethroids|Water treatment</t>
  </si>
  <si>
    <t>Multichannel nanoplasmonic platform for imidacloprid and fipronil residues rapid screen detection.    ABSTRACT:  In recent years, imidacloprid and fipronil have been reported to harm beneficial insects, such as honey bees, and to potentially pose risks to mammals, including humans. Considering their widespread use and potential minimum toxic range from 10 ppb to 1 ppm (species dependent), a simple, rapid, sensitive, and reliable method for screening and detection is urgently needed. Here, we present a surface plasmon resonance (SPR)-based nanoplasmonic chip integrated with a multichannel spectral imaging system to detect ecosystem-harming pesticides. The pre-modification of the designed mercapto-haptens reduced detection time to 2.5 h. Moreover, owing to the multichannel configuration, it was possible to introduce an internal standard analytical method to effectively reduce matrix interference in real samples; thus, the concentration of the target pesticide could be determined more precisely. The strong linearity of the spiked sample test results indicated high accuracy in quantifying target pesticides. Considering the limit of detection (~10 ppb), the cutoffs for detection and quantification were set at 15 and 45 ppb, respectively, and were used as the detection criteria. The detection results of the blind tests of real samples were also compared with those of liquid chromatography electrospray ionization tandem mass spectrometry (standard method) and were highly consistent. The custom-made integrated SPR system allows much simpler, label-free, high-throughput, and reliable on-site identification and quantification of imidacloprid and fipronil. All test results validated the platform's capability in the on-site rapid screening and detection of pesticide residues at the parts per billion and parts per million levels.Copyright © 2020 Elsevier B.V. All rights reserved.  KEYWORDS:  MeSH Chemical: Neonicotinoids| Nitro Compounds| Pesticide Residues| Pyrazoles| imidacloprid| fipronil MeSH: | Animals| Bees| Biosensing Techniques/majr| Ecosystem| Neonicotinoids| Nitro Compounds| Pesticide Residues/majr/analysis| Pyrazoles Other:Fipronil|Imidacloprid|Nanoslit|Spectral imaging|Surface plasmon resonance</t>
  </si>
  <si>
    <t>Design, synthesis, and insecticidal activities of novel 5-substituted 4,5-dihydropyrazolo[1,5-a]quinazoline derivatives.    ABSTRACT:  Chemical pesticides are the main measures for pest control, but have caused growing resistance of pests and brought a series of environmental problems. Development of high-efficient insecticidal molecules with novel scaffolds is therefore particularly urgent.Based on a [5 + 1] annulation reaction with 5-amino-1H-phenylpyrazole and dialkyl bromomalonate, 27 novel five-substituted 4,5-dihydropyrazolo[1,5-a]quinazolines were designed following the intermediate derivatization method and synthesized. Bioassay results indicated that most of the test compounds displayed good insecticidal activities against Plutella xylostella, Spodoptera frugiperda, and Solenopsis invicta. In particular, the insecticidal activities of compounds 4a, 4f, and 4m against P. xylostella [median lethal concentration (LC50 ) values ranged from 3.87 to 5.10 mg L-1 ] were comparable to that of indoxacarb (LC50 = 4.82 mg L-1 ). In addition, compounds 4a and 9e showed similar high insecticidal activities against Spodoptera frugiperda (mortality rate = 79.63% and 72.12%) at 100 mg L-1 , comparable to that of fipronil (mortality rate: 68.44%); compound 9a showed possible delayed toxicity against Solenopsis invicta (mortality rate: 95.66%) after 5 days of treatment at 1.0 mg L-1 .Due to their high insecticidal activities against P. xylostella, compound 4m, 4a, and 4f could be considered as qualified candidates for novel insecticide. Several other 4,5-dihydropyrazolo[1,5-a]quinazolines with relatively high bioactivity, such as compounds 9a and 9e, are also worth further optimization as potential insecticide or anticide candidates.© 2020 Society of Chemical Industry.  KEYWORDS:  MeSH Chemical: Insecticides| Pesticides| Quinazolines MeSH: | Animals| Insecticides/majr/pharmacology| Moths/majr| Pesticides/majr| Quinazolines/pharmacology| Structure-Activity Relationship Other:4,5-dihydropyrazolo[1,5-a]quinazoline|Plutella xylostella|Solenopsis invicta|Spodoptera frugiperda|insecticidal activity</t>
  </si>
  <si>
    <t>Mechanisms underlying the selectivity of meta-diamides between insect resistance to dieldrin (RDL) and human γ-aminobutyric acid (GABA) and glycine receptors.    ABSTRACT:  Meta-diamides [3-benzamido-N-(4-(perfluoropropan-2-yl)phenyl)benzamides] show high insecticide activity by acting as antagonists to the insect resistance to dieldrin (RDL) γ-aminobutyric acid (GABA) receptors. In contrast, low-level antagonist activities of meta-diamides have been demonstrated against the human GABA type A receptor (GABAA R) α1β2γ2S, mammalian GABAA R α1β3γ2S, and the human glycine receptor (GlyR) α1β. Glycine residue 336 in the membrane-spanning region M3 of the Drosophila RDL GABA receptor is essential for its high sensitivity to meta-diamide 7, [3-benzamido-N-(2-bromo-4-(perfluoropropan-2-yl)-6-(trifluoromethyl)phenyl)-2-fluorobenzamide].We examined the effects of an equivalent mutation (M288G) in spontaneously opened human GABAA R β3 homomers using membrane potential assay. Picrotoxin and fipronil blocked spontaneously opened human GABAA Rs β3 and β3-M286G in a concentration-dependent manner. In contrast, meta-diamide 7 did not block spontaneously opened GABAA R β3 homomers, although meta-diamide 7 blocked spontaneously opened GABAA R β3-M286G homomers. In addition, inhibitory potency of meta-diamide 7 for GABA-induced membrane potential change in cells expressing GABAA R α1β3-M286G was much higher than that in cells expressing GABAA R α1β3. In the same way, the equivalent mutation (A288G) in GlyR α1 increased the inhibitory potency of meta-diamide 7 for GlyRs α1 and α1β.Studies substituting an equivalent mutation (M288G) in spontaneously opening human GABAA R β3 homomers and human GABAA Rs α1β3 heteromers suggest that M286 in human GABAA R β3 is important for the low sensitivity to meta-diamide 7. In this study, we summarize the mechanisms underlying the selectivity of meta-diamides between insect RDL and human GABA and glycine receptors. © 2020 Society of Chemical Industry.© 2020 Society of Chemical Industry.  KEYWORDS:  MeSH Chemical: Drosophila Proteins| Rdl protein, Drosophila| Receptors, GABA-A| Receptors, Glycine| Diamide| gamma-Aminobutyric Acid| Dieldrin MeSH: | Animals| Diamide/majr| Dieldrin| Drosophila| Drosophila Proteins/majr| Humans| Receptors, GABA-A| Receptors, Glycine| gamma-Aminobutyric Acid Other:RDL GABA receptor|glycine receptor|human GABA type A receptor|meta-diamide</t>
  </si>
  <si>
    <t>Reverse genetics reveals contrary effects of two Rdl-homologous GABA receptors of Helicoverpa armigera on the toxicity of cyclodiene insecticides.    ABSTRACT:  The resistance to dieldrin gene (Rdl) encodes a subunit of the insect γ-amino butyric acid (GABA) receptor, and the encoded Rdl subunit is a major target site for cyclodiene and phenylpyrazole insecticides. Since the substitution of a single amino acid (Ala to Ser/Gly at position 302) of the Drosophila melanogaster Rdl gene was first identified to confer high level resistance to dieldrin, mutations at the equivalent positions have been reported to confer resistance to dieldrin and/or fipronil in a wide range of different insects. In the cotton bollworm Helicoverpa armigera, there are two Rdl homologs (HaRdl-1 and HaRdl-2) in close proximity on the Z chromosome, which as wild-type sequences, encode alanine and serine respectively at amino acid position 302. In the present study, we used the CRISPR/Cas9 gene editing approach to knock out HaRdl-1 and HaRdl-2 and establish two homozygous knockout strains (ΔRdl-1 and ΔRdl-2). The ΔRdl-1 strain showed low levels of resistance (8.0- to 9.3-fold) to three cyclodiene insecticides (endosulfan, aldrin and dieldrin) compared with the background SCD strain. In contrast, toxicity of the three cyclodiene insecticides to the ΔRdl-2 strain increased significantly (3.6- to 6.3-fold) when compared with the SCD strain. Genetic analysis indicated the obtained resistance to endosulfan and dieldrin in the ΔRdl-1 strain was sex-linked, which is consistent with the fact that HaRdl-1 locus is located on the Z chromosome. The above results demonstrate that both HaRdl-1 and HaRdl-2 are important determinants for the susceptibility of H. armigera SCD strain to the three cyclodiene insecticides, but have opposite effects. It was also found that HaRdl-1 and HaRdl-2 are involved, to some extent, in mediating sensitivity of H. armigera to avermectin and fipronil respectively. We speculate that the HaRdl-1 and HaRdl-2 subunits have different pharmacological properties, which contribute to the differential sensitivities of H. armigera to the tested cyclodienes and other insecticides.Copyright © 2020 Elsevier Inc. All rights reserved.  KEYWORDS:  MeSH Chemical: Drosophila Proteins| Insecticides| Rdl protein, Drosophila| Receptors, GABA| Receptors, GABA-A| Dieldrin MeSH: | Animals| Dieldrin/toxicity| Drosophila Proteins/majr/genetics| Drosophila melanogaster/genetics| Insecticide Resistance/drug effects/genetics| Insecticides/majr/pharmacology/toxicity| Moths/majr/genetics| Receptors, GABA/genetics| Receptors, GABA-A/genetics| Reverse Genetics Other:Cyclodiene|Fipronil|GABA receptor|Gene knockout|Helicoverpa armigera|Rdl</t>
  </si>
  <si>
    <t>Residual molecular and behavioral effects of the phenylpyrazole pesticide fipronil in larval zebrafish (Danio rerio) following a pulse embryonic exposure.    ABSTRACT:  Pesticides are typically applied to crops as acute applications, and residual effects of such intermittent exposures are not often characterized in developing fish. Fipronil is an agricultural pesticide that inhibits γ-amino-butyric acid (GABA) gated chloride channels. In this study, zebrafish (Danio rerio) embryos were exposed for 48 h (starting at ~3 h post fertilization, hpf) to various concentrations of fipronil (0.02 μg/L up to 4000 μg/L). Following this acute exposure, a subset of fish was transferred to clean water for a 7-day depuration phase. We hypothesized that a pulse exposure to fipronil during critical periods of central nervous system development would adversely affect fish later in life. After a 48 hour pulse exposure, survival was reduced in embryos exposed to 2 μg fipronil/L or greater. However, there was no further mortality during the depuration phase, nor were there changes in body length nor notochord length in larvae 9 dpf (days post-fertilization) compared to controls. Additional experiments were carried out at higher concentrations over 96 h (up to 4 dpf) to also elucidate developmental effects and teratogenicity of fipronil (43.7 μg/L up to 4370 μg/L). Fipronil at these higher concentrations significantly impacted the development of zebrafish, and the following morphometric and teratogenic effects were observed in 4 dpf fish; reduced body length, yolk sac and pericardial edema, reduced midbrain length, reduced optic and otic diameter, and truncation of the lower jaw. In depurated fish, we hypothesized that there would exist residual effects of exposure at the molecular level. Transcriptome profiling was therefore conducted on 9 dpf depurated larvae exposed initially for 48 h to one dose of either 0.2 μg/L, 200 μg/L or 2000 μg/L fipronil. The expression of gene networks associated with glycogen and omega-3-fatty acid metabolism were decreased in larvae exposed to each of the three concentrations of fipronil, suggesting metabolic disruption. Moreover, transcriptomics revealed that fipronil suppressed gene networks related to light-dark adaptation, photoperiod sensing, and circadian rhythm. Based on these data, we tested fish for altered behavioral responses in a Light-Dark preference test. Larvae exposed to &gt;200 μg fipronil/L as embryos showed fewer number of visits (20-30% less) to the dark zone compared to controls. Larvae also spent a lower amount of time in the dark zone compared to controls, suggesting that fipronil strengthened dark avoidance behavior which is indicative of anxiety. This study demonstrates that a short pulse exposure to fipronil can affect transcriptome networks for metabolism, circadian rhythm, and response to light in fish after depuration, and these molecular responses are hypothesized to be related to aberrant behavioral effects observed in the light-dark preference test.Copyright © 2020 Elsevier Inc. All rights reserved.  KEYWORDS:  MeSH Chemical: Insecticides| Pyrazoles| Zebrafish Proteins| fipronil MeSH: | Animals| Behavior, Animal/majr/drug effects| Embryo, Nonmammalian/majr/drug effects/metabolism/pathology| Gene Expression Profiling| Insecticides/majr/toxicity| Larva/majr/drug effects/growth &amp; development/metabolism| Pyrazoles/majr/toxicity| Toxicity Tests| Transcriptome| Zebrafish/majr/genetics/growth &amp; development/metabolism| Zebrafish Proteins/genetics/metabolism Other:Behavior|Oxidative respiration|Pesticide|Recovery|Transcriptome networks</t>
  </si>
  <si>
    <t>Molecular cloning and pharmacology of Min-UNC-49B, a GABA receptor from the southern root-knot nematode Meloidogyne incognita.    ABSTRACT:  Root-knot nematodes are plant-parasitic nematodes that cause immense damage to a broad range of cultivated crops by forming root galls, resulting in yield losses in crops. To facilitate the development of faster-acting selective nematicides, we cloned three cDNAs encoding UNC-49B proteins from the southern root-knot nematode Meloidogyne incognita and examined their functional and pharmacological properties by two-electrode voltage clamp electrophysiology using a Xenopus oocyte expression system.The three cloned cDNAs encoded Min-UNC-49B, Min-UNC-49B-L and Min-UNC-49B-XL; the last two proteins have longer N-terminal regions than the first protein. When expressed in Xenopus oocytes, these proteins responded to γ-aminobutyric acid (GABA) to activate currents with high-micromolar or low-millimolar half-maximal effective concentration (EC50 ) values, indicating the formation of functional homo-pentameric GABA receptors. Fipronil and picrotoxinin inhibited GABA-induced currents with high-nanomolar and low-micromolar half-maximal inhibitory concentration (IC50 ) values, respectively, in oocytes expressing Min-UNC-49B. The G2'A and T6'M mutations in the second transmembrane domain of Min-UNC-49B enhanced and reduced the sensitivity of Min-UNC-49B to these two antagonists, respectively. Samaderine B and SF-14 inhibited GABA responses in oocytes expressing Min-UNC-49B with low-micromolar and high-nanomolar IC50 values, respectively. Ivermectin, α-terpineol, thymol and methyl eugenol exerted dual effects on Min-UNC-49B by potentiating currents induced by low concentrations of GABA and inhibiting currents induced by high concentrations of GABA.We have shown that structurally diverse compounds act at Min-UNC-49B GABA receptors. Our results may serve as a starting point to decipher the molecular function of native GABA receptors of plant-parasitic nematodes, which could aid in the structure-based design of novel nematicides. © 2020 Society of Chemical Industry.© 2020 Society of Chemical Industry.  KEYWORDS:  MeSH Chemical: Receptors, GABA| gamma-Aminobutyric Acid MeSH: | Animals| Cloning, Molecular| Receptors, GABA/majr/genetics| Tylenchoidea/majr| Xenopus laevis| gamma-Aminobutyric Acid Other:GABA|UNC-49B|nematicide|receptor|root-knot nematode|γ-aminobutyric acid</t>
  </si>
  <si>
    <t>Pesticide mixtures show potential toxicity to aquatic life in U.S. streams, water years 2013-2017.    ABSTRACT:  During water years (WY) 2013-2017, the U.S. Geological Survey, National Water-Quality Assessment (NAWQA) Project, sampled the National Water Quality Network - Rivers and Streams (NWQN) year-round and reported on 221 pesticides at 72 sites across the United States in agricultural, developed, and mixed land use watersheds. The Pesticide Toxicity Index (PTI) was used to estimate the potential chronic and acute toxicity to three taxonomic groups - fish, cladocerans, and benthic invertebrates. For invertebrates (either cladocerans, benthic invertebrates, or both), the maximum PTI score exceeded the predicted acute toxicity screening level at 18 of the 72 sites (25%) at some point during WY 2013-2017. The predicted toxicity of a single pesticide compound was found to overwhelm the toxicity of other pesticides in the mixtures after concentrations were toxicity weighted. For this study, about 71%, 72%, and 92% of the Fish-, Cladoceran-, and Benthic Invertebrate-PTI scores, respectively, had one pesticide compound primarily contributing to sample potential toxicity (&gt;50%). There were 17 (13 insecticides, 2 herbicides, 1 fungicide, and 1 synergist) of the 221 pesticide compounds analyzed that were the primary drivers of potential toxicity in each water sample in which the PTI and TUmax (toxic unit score for the pesticide that makes the single largest contribution to the PTI) scores were above predicted chronic (&gt;0.1) or acute (&gt;1) toxicity levels for one of the three taxa. For cladocerans and benthic invertebrates, the drivers of predicted chronic (&gt;0.1) and acute (&gt;1) PTIs were mostly insecticides. For cladocerans, the pesticide compounds driving the PTI scores were bifenthrin, carbaryl, chlorpyrifos, diazinon, dichlorvos, dicrotophos, diflubenzuron, flubendiamide, and tebupirimfos. For benthic invertebrates, atrazine (an herbicide), as well as the insecticides - bifenthrin, carbaryl, carbofuran, chlorpyrifos, diazinon, dichlorvos, fipronil, imidacloprid, and methamidophos - were the drivers of predicted toxicity. For fish, there were three pesticide types that contributed the most to predicted chronic (&gt;0.1) PTIs - acetochlor, an herbicide; carbendazim, a fungicide degradate; and piperonylbutoxide, a synergist.Published by Elsevier B.V.  KEYWORDS:  MeSH Chemical: Pesticides| Water Pollutants, Chemical| Water MeSH: | Animals| Environmental Monitoring| Pesticides/majr/analysis/toxicity| Rivers| United States| Water| Water Pollutants, Chemical/majr/analysis/toxicity Other:Aquatic health|Pesticide toxicity|Pesticide toxicity index|Screening assessment|Stressor|Surface water</t>
  </si>
  <si>
    <t>Multi-organ characterisation of B-esterases in the European sea bass (Dicentrarchus labrax): Effects of the insecticide fipronil at two temperatures.    ABSTRACT:  In fish, the study of cholinesterases (ChEs) and carboxylesterases (CEs), apart from their involvement in neural activity and xenobiotic metabolism, respectively, requires to be further explored. The European sea bass (Dicentrarchus labrax) was the fish model used to characterise B-esterases in several matrices and organs, as well as to assess the impacts of the insecticide fipronil at two temperatures: the natural temperature at the time of sampling (13 °C) and at 16 °C (based on climate change-related predictions for the Mediterranean region). Fipronil exerts harmful effects in non-target species; however, some countries are reluctant to implement regulations without additional evidence on their toxicity. A comprehensive study was performed in fish pre-acclimated to the two targeted temperatures for 15 days. B-esterases were evaluated in multiple samples after 7 and 14 day exposures to fipronil in feed (dose of 10 mg/kg) and after a 7-day depurative period. Based on hydrolysis rates, results showed that CEs were measurable in all matrices while ChEs were more abundant in muscle and, particularly, acetylcholinesterase (AChE) in the brain. A + 3 °C increase in temperature had little influence on B-esterase activity; however, fipronil caused a significant increase in brain AChE (1.5-fold) and CE (3-fold) activities. Other matrices and organs also experienced alterations in their B-esterase activities that could compromise their physiological functions.Copyright © 2020 Elsevier B.V. All rights reserved.  KEYWORDS:  MeSH Chemical: Insecticides| Pyrazoles| Water Pollutants, Chemical| Carboxylesterase| Acetylcholinesterase| fipronil MeSH: | Acclimatization/majr/drug effects| Acetylcholinesterase/metabolism| Animals| Bass/majr/metabolism/physiology| Brain/drug effects/enzymology| Carboxylesterase/majr/metabolism| Insecticides/majr/toxicity| Pyrazoles/majr/toxicity| Temperature| Water Pollutants, Chemical/majr/toxicity Other:Carboxylesterases|Cholinesterases|Climate change|Pesticides|Sea bass</t>
  </si>
  <si>
    <t>Cypermethrin- and fipronil-based insecticides cause biochemical changes in Physalaemus gracilis tadpoles.    ABSTRACT:  Insecticides used for agricultural pest control, as cypermethrin-based insecticide (CBI) and fipronil-based insecticide (FBI), are constant threats to non-target aquatic organisms. This study aimed to investigate the effect of different concentrations of cypermethrin and fipronil on neurotoxicity and oxidative stress in Physalaemus gracilis. Physalaemus gracilis tadpoles were exposed to five insecticide concentrations and a control treatment, with six replicates. During the experimental period, the tadpole mortality rate was evaluated and after 168 h, the neurotoxic enzyme activity and metabolite quantification related to the antioxidant system were measured. Tadpoles reduced acetylcholinesterase (AChE) and butyrylcholinesterase (BChE) activities when exposed to 20 μg L-1 CBI and at all FBI concentrations, respectively. Glutathione S-transferase (GST) and superoxide dismutase (SOD) activities showed an increase from concentrations of 6 μg L-1 and 20 μg L-1 of CBI, respectively. After exposure of P. gracilis tadpoles to FBI, inhibitions of AChE and BChE were observed at the highest concentrations evaluated (500 and 1500 μg L-1). SOD activity decreased from 50 μg L-1 of FBI; however, catalase (CAT) and GST activities and carbonyl protein levels increased, regardless of the evaluated dose. We observed that both insecticides promoted oxidative stress and neurotoxic effects in P. gracilis tadpoles. These results suggest that biochemical biomarkers can be used for monitoring toxicity insecticides for the purpose of preservation of P. gracilis.  KEYWORDS:  MeSH Chemical: Insecticides| Pyrazoles| Pyrethrins| Water Pollutants, Chemical| cypermethrin| Catalase| fipronil MeSH: | Animals| Catalase/metabolism| Insecticides/majr/toxicity| Larva/metabolism| Oxidative Stress| Pyrazoles| Pyrethrins| Water Pollutants, Chemical/majr Other:Amphibians|Biomonitoring|Mortality|Neurotoxicity|Oxidative stress|Pesticides</t>
  </si>
  <si>
    <t>Experimental assessment of permethrin-fipronil combination in preventing Leishmania infantum transmission to dogs under natural exposures.    ABSTRACT:  Canine vector-borne disease transmission can be reduced with regular use of repellent insecticides. The objective of this year-long experimental study was to assess the efficacy of a topical formulation of fipronil/permethrin (Frontline Tri-Act®) in preventing transmission of Leishmania infantum by sandflies. This clinical field trial was conducted in Xanthi (Northern Greece), an area highly endemic for canine leishmaniosis, from April 2018 to March 2019. Forty purpose-bred Beagle dogs, testing negative for L. infantum prior to study initiation, were enrolled in the study, which consisted of three phases: Phase 1 (field exposure phase) took place from Day 0-196. The dogs were randomly allocated to two groups, group 1 (sham-treated topically with sterile water) and group 2 (treated topically with Frontline Tri-Act®). Dogs in both groups were housed in two subunits of an open-air kennel for a period of 7 months, spanning the Leishmania transmission season. All dogs were treated or sham-treated on Days 0, 28, 56, 84, 112, 140 and 168. Clinical examinations, PCR analysis of conjunctival swabs, and serological tests were performed on a monthly basis. Sandflies were collected every 2 weeks, during a 12 -h period overnight using light traps. Each collection was placed in a container and kept refrigerated until speciation and PCR analysis could be performed. In the second phase of the study, from Day 197 to 252, the dogs were moved into a protected environment (insect-proof protected environment phase). CDC light traps were activated every 2 weeks inside and outside the kennels to ensure the vector-free status of the facility. Monthly clinical examinations, including PCR analysis of conjunctival swabs, and serological tests continued. At the end of the phase 2, bone marrow samples were collected on all dogs. Phase 3 (the final post-winter check) took place from Day 253 to 350. Dogs were released and adopted by individual private owners on Day 253. Follow up analyses included blood collection for SNAP tests and conjunctival swaps for PCR analysis on Days 304 and 350. Additionally, bone marrow collections were also performed on Day 350. Presence of sandflies was observed only in the phase 1 exposure period, and 1714 sandflies were collected (1427 females and 287 males). Two species were identified, Phlebotomus perniciosus var. tobbi and Phlebotomus neglectus. Out of the 62 pooled samples of sandflies assessed by PCR, three were considered positive (4.8 %). By the end of the study, 35 % of the Group 1 dogs (7/20) became positive based on PCR (conjunctival swab and bone marrow) and 30 % (6/20) based on SNAP/IFAT and ELISA tests, while all the dogs in the Frontline Tri-Act® treated group 2 remained negative for all tests (G1 vs G2, p = 0.008). All tests identified the same positive animals, and PCR allowed the detection of one additional infected dog. This clinical field trial demonstrated that monthly administration of Frontline Tri-Act® to dogs exposed to Leishsmania infection in a high endemic area provided 100 % preventive efficacy against transmission of L. infantum.© 2020 The Authors.  KEYWORDS:  Other:Controlled study|Leishmania infantum|Permethrin|Prevention|Topical insecticide</t>
  </si>
  <si>
    <t>Exposure to environmental concentrations of fipronil and 2,4-D mixtures causes physiological, morphological and biochemical changes in Raphidocelis subcapitata.    ABSTRACT:  The occurrence of pesticides and their mixtures in the environment can alter the ecological relationships between aquatic food chains. Since fipronil and 2,4-dichlorophenoxyacetic acid (2,4-D) are commonly found together in Brazilian water bodies, the present study aimed to investigate through an integrative approach the toxicity mechanisms of environmentally relevant concentrations of pesticides Regent® 800 WG (active ingredient - a.i. fipronil), DMA® 806 BR (a.i. 2,4-D) isolated and in mixtures on the green alga Raphidocelis subcapitata using multiple parameters: physiological (growth rate and chlorophyll a fluorescence), morphological (cell complexity and size), biochemical (composition of lipid classes) and related to the photosynthetic activity (variable fluorescence, the maximum quantum yield of the photosystem II - PSII - and the efficiency of the oxygen evolving complex - OEC - of PSII). The results indicated that fipronil significantly inhibited algal population growth, increased the chlorophyll a content (observed by fluorescence), cell size and lipid class content of triacylglycerol (TAG), free fatty acid (FFA) and acetone mobile polar lipid (AMPL) and, on the other hand, decreased variable fluorescence of algae. The tested concentrations of 2,4-D increased the chlorophyll a fluorescence, the cell size and the lipid classes TAG and FFA. The pesticide mixtures have had more effects on algae than isolated compounds, causing alterations in all parameters analyzed, including photosynthetic activity (maximum quantum yield and efficiency of the oxygen evolving complex of the PSII), in which no alterations were observed for the toxicity of the single pesticides. The results suggest that these analyses are important to evaluate pesticide toxicity mechanisms in ecological risk assessments of tropical regions. Thus, here we demonstrate the importance of using multiple parameters in ecotoxicological studies to obtain a better understanding of the toxicity of these compounds for phytoplankton.Copyright © 2020 Elsevier Inc. All rights reserved.  KEYWORDS:  MeSH Chemical: Herbicides| Pesticides| Photosystem II Protein Complex| Pyrazoles| Water Pollutants, Chemical| Chlorophyll| 2,4-Dichlorophenoxyacetic Acid| fipronil| Chlorophyll A MeSH: | 2,4-Dichlorophenoxyacetic Acid/majr/toxicity| Brazil| Chlorophyceae/majr/physiology| Chlorophyll/metabolism| Chlorophyll A| Ecotoxicology| Herbicides/analysis| Pesticides/toxicity| Photosynthesis/drug effects| Photosystem II Protein Complex| Phytoplankton/metabolism| Pyrazoles/majr/toxicity| Water Pollutants, Chemical/majr/toxicity Other:Flow cytometry|Lipid classes|PAM fluorometry|Pesticides|Phytoplankton</t>
  </si>
  <si>
    <t>Acute and chronic toxicity of 2,4-D and fipronil formulations (individually and in mixture) to the Neotropical cladoceran Ceriodaphnia silvestrii.    ABSTRACT:  Brazil is the largest producer of sugarcane and the world's top pesticide market. Therefore, environmental consequences are of concern. The aim of the present study was to evaluate the acute and chronic toxicity of pesticide formulations largely used in sugarcane crops: the herbicide DMA® 806 BR (a.i. 2,4-D) and the insecticide Regent® 800 WG (a.i. fipronil), isolated and in mixture, to the Neotropical cladoceran Ceriodaphnia silvestrii. Toxicity tests with the individual formulated products indicated 48h-EC50 values of 169 ± 18 mg a.i./L for 2,4-D and 3.9 ± 0.50 µg a.i./L for fipronil. In the chronic tests, the 8d-EC50 values for reproduction were 55 mg a.i./L (NOEC/LOEC: 50/60 mg a.i./L) and 1.6 µg a.i./L (NOEC/LOEC: 0.40/0.80 µg a.i./L) for 2,4-D and fipronil, respectively. A significant decrease in reproduction of C. silvestrii in all concentrations tested of fipronil, except at the lowest, was observed. Regarding 2,4-D, the organisms had total inhibition of reproduction in the two highest concentrations. Probably your energy reallocation was focused (trade-off) only on its survival. The acute pesticide mixture toxicity (immobility) revealed a dose level dependent deviation with antagonism at low and synergism at high concentrations. For chronic mixture (reproduction) toxicity, antagonism occurred as a result of the interaction of the pesticides. Based on our results and concentrations measured in Brazilian water bodies, fipronil represents ecological risks for causing direct toxic effects on C. silvestrii. These results are worrisome given that agricultural production is likely to increase in the coming years.  KEYWORDS:  MeSH Chemical: Insecticides| Pesticides| Pyrazoles| Water Pollutants, Chemical| 2,4-Dichlorophenoxyacetic Acid| fipronil MeSH: | 2,4-Dichlorophenoxyacetic Acid/majr/toxicity| Animals| Brazil| Cladocera/majr/physiology| Ecosystem| Insecticides| Pesticides/majr/toxicity| Pyrazoles/majr/toxicity| Reproduction| Toxicity Tests| Toxicity Tests, Chronic| Water Pollutants, Chemical/majr/toxicity Other:Aquatic ecotoxicology|DMA® 806 BR|Herbicide|Insecticide|Regent® 800 WG|Reproduction</t>
  </si>
  <si>
    <t>Determination of Fipronil toxicity by different biomarkers in gill and liver tissue of rainbow trout (Oncorhynchus mykiss).    ABSTRACT:  Insecticides that disrupt the healthy functioning of the ecosystem have toxic potential on non-target organisms. Fish, an important component of the aquatic ecosystem, are exposed to these pesticides in different ways. The stress response is regarded as an adaptive mechanism that allows the fish to cope with the perceived stressor to maintain its normal or homeostatic state. This mechanism is determined by antioxidant parameters and oxidative stress indicators measured in gill and liver tissue of rainbow trout. Accordingly, the effects of fipronil (FP) insecticide on the physiology of rainbow trout (Oncorhynchus mykiss) were determined with using the different biomarkers (superoxide dismutase (SOD), catalase (CAT), glutathione peroxidase (GPX), malondialdehyde (MDA), paraoxonase (PON), arylesterase (ARE), myeloperoxidase (MPO), 8-hydroxy-2-deoxyguanosine (8-OHdG)), and caspase 3 activity) in this study. Different doses of FP inhibited antioxidant enzyme activities in rainbow trout liver and gill tissues while inducing oxidative stress parameter (MDA, MPO, and 8-OHdG) levels. Also, caspase-3 activity was increased in liver and gill tissue, but this increase was statistically significant only in gill tissue (p &lt; 0.05). When the results of the study were taken into consideration, it was concluded that different doses of FP insecticide caused physiological changes in rainbow trout and the studied parameters were usable biomarkers in explaining the adaptive response of stress factor.  KEYWORDS:  MeSH Chemical: Biomarkers| Pesticides| Pyrazoles| 8-Hydroxy-2'-Deoxyguanosine| Caspase 3| fipronil MeSH: | 8-Hydroxy-2'-Deoxyguanosine/metabolism| Animals| Apoptosis/drug effects| Biomarkers/majr/metabolism| Caspase 3/metabolism| DNA Damage| Gills/majr/drug effects/metabolism| Liver/majr/drug effects/metabolism| Oncorhynchus mykiss/majr/metabolism| Oxidative Stress/drug effects| Pesticides/toxicity| Pyrazoles/majr/toxicity| Toxicity Tests/majr Other:8-OHdG|Antioxidant enzyme activities|Caspase 3|Fipronil|O. mykiss</t>
  </si>
  <si>
    <t>Life-History Traits Response to Effects of Fish Predation (Kairomones), Fipronil and 2,4-D on Neotropical Cladoceran Ceriodaphnia silvestrii.    ABSTRACT:  Aquatic environments are constantly exposed to a cocktail of contaminants mainly due to human activities. As polluted ecosystems may simultaneously present other multiple natural stressors, the objective of the present study was to evaluate joint effect of stressors (natural and anthropogenic) on life history traits of the Neotropical cladoceran, Ceriodaphnia silvestrii. For this purpose, the effects of water conditioned with predator kairomones (fish) and environmental concentrations (sublethal) of two pesticides widely used in sugarcane monoculture in Brazil, the insecticide Regent® 800 WG (active ingredient-a.i. fipronil) and the herbicide DMA® 806 BR (a.i. 2,4-D) were evaluated using chronic toxicity testing, isolated and in mixture, for this cladoceran species. The environmental risks of pesticides for tropical freshwater biota were also estimated from the risk quotient MEC/PNEC. Among the characteristics of the life history of C. silvestrii evaluated after 8 days of exposure, compared with the mean value of control, the age of primiparous females was not affected by any evaluated treatment. However, species average survival decreased in the treatment of kairomones mixed with fipronil (FK) and in the treatment with a mixture of fipronil, 2,4-D, and kairomones (MFKD). The body length of maternal females was shorter than in the control after exposure in treatments with only kairomones (K) and FK. Fecundity of this cladoceran was reduced when exposed to FK and MFKD treatments, and the intrinsic rate of population increase significantly decreased for organisms exposed to treatment with fipronil (F) and to mixtures of fipronil and 2,4-D (MFD), MFDK, and FK. The results indicated that the combination of anthropogenic and natural stressors causes changes in C. silvestrii life history traits, which can contribute to the decline in populations, and our preliminary risk assessment results are a matter of concern regarding biota conservation.  KEYWORDS:  MeSH Chemical: Pheromones| Pyrazoles| Water Pollutants, Chemical| 2,4-Dichlorophenoxyacetic Acid| fipronil MeSH: | 2,4-Dichlorophenoxyacetic Acid/majr/toxicity| Animals| Brazil| Cladocera/majr/drug effects| Ecosystem| Female| Fertility/drug effects| Fishes/metabolism| Fresh Water/chemistry| Life History Traits/majr| Pheromones/majr/toxicity| Pyrazoles/majr/toxicity| Toxicity Tests, Chronic| Water Pollutants, Chemical/majr/toxicity</t>
  </si>
  <si>
    <t>Neonicotinoids, fipronil, chlorpyrifos, carbendazim, chlorotriazines, chlorophenoxy herbicides, bentazon, and selected pesticide transformation products in surface water and drinking water from northern Vietnam.    ABSTRACT:  Studies on the occurrence of emerging pesticides in surface and drinking water in Vietnam are limited. In this study, lake water (n = 7), river water (n = 1), tap water (n = 46), and bottled water (n = 3) collected from Hanoi and other four provinces in northern Vietnam were analyzed for selected pesticides (including insecticides such as neonicotinoids, fipronil, and chlorpyrifos; fungicide carbendazim; herbicides such as atrazine, terbuthylazine, simazine, 2,4-dichlorophenoxyacetic acid, 2-methyl-4-chlorophenoxyacetic acid, and bentazon) and some of their degradates by liquid chromatography-tandem mass spectrometry. Carbendazim (median: 86.7 ng/L) and triazines (49.3 ng/L) were the major pesticides found in lake water samples, followed by neonicotinoids and their degradation products (15.1 ng/L), chlorpyrifos and its degradate (13.4 ng/L), fipronil and its degradates (3.76 ng/L), chlorophenoxy acid herbicides (2.10 ng/L), and bentazon (0.62 ng/L). Triazines (164 ng/L) were the major pesticides in river water. Higher concentrations (median: 39.3 ng/L; range: 1.20-127) of selected pesticides were found in tap water from Hanoi than those from four other provinces studied (5.49 ng/L; 4.73-66.8 ng/L). Bottled water samples collected from Hanoi contained lower concentrations of pesticide residues (median: 3.54 ng/L, range: 2.18-8.09) than those of tap water samples. The calculated risks from pesticide exposure through ingestion of tap water by the general populations were low. However, fipronil concentrations in lake water exceeded the benchmark value recommended for freshwater in the United States or the Netherlands. Degradation of acetamiprid into desmethyl-acetamiprid was found in lake water.Copyright © 2020 Elsevier B.V. All rights reserved.  KEYWORDS:  MeSH Chemical: Benzimidazoles| Benzothiadiazines| Carbamates| Drinking Water| Herbicides| Neonicotinoids| Pesticides| Pyrazoles| Water Pollutants, Chemical| carbendazim| Chlorpyrifos| fipronil| bentazone MeSH: | Benzimidazoles| Benzothiadiazines| Carbamates| Chlorpyrifos/majr| Drinking Water/majr/analysis| Herbicides/majr/analysis| Neonicotinoids| Netherlands| Pesticides/majr/analysis| Pyrazoles| Vietnam| Water Pollutants, Chemical/majr/analysis Other:Bottled water|Fipronil|Herbicides|Lake water|Neonicotinoids|Tap water</t>
  </si>
  <si>
    <t>Fipronil and 2,4-D effects on tropical fish: Could avoidance response be explained by changes in swimming behavior and neurotransmission impairments?    ABSTRACT:  Brazil is the largest producer of sugarcane, a crop largely dependent on chemical control for its maintenance. The insecticide fipronil and herbicide 2,4-D stand out among the most commonly used pesticides and, therefore, environmental consequences are a matter of concern. The present study aimed to investigate the toxicity mechanisms of Regent® 800 WG (a.i. fipronil) and DMA® 806 BR (a.i. 2,4-D) pesticides using forced and non-forced exposures through an integrative approach: firstly, to assess whether contamination by fipronil and 2,4-D can trigger the avoidance behavior of the fish Danio rerio (zebrafish) and Hyphessobrycon eques (serpae tetra or mato-grosso). Additionally, the effects on fish were analyzed considering the swimming behavior together with a biomarker of neurotoxicity, the activity of acetylcholinesterase (AChE). In avoidance tests with pesticide gradients, D. rerio avoided the highest concentrations of the two compounds and H. eques avoided only the highest concentration of 2,4-D. The swimming behavior (distance moved) was reduced and AChE was inhibited when D. rerio was exposed to fipronil. The 2,4-D affected the swimming (maximum speed) of H. eques, but AChE was not altered. Avoidance response seemed not to have been affected by possible effects of contaminants on swimming behavior and Ache activity. This study showed the importance of knowing the avoidance capacity, swimming behavior and neurotoxic effects of pesticides on fish in an integrated and realistic context of exposure in environments contaminated with pesticides and can be useful as ecologically relevant tools for ecological risk assessment.Copyright © 2020 Elsevier Ltd. All rights reserved.  KEYWORDS:  MeSH Chemical: Herbicides| Insecticides| Pesticides| Pyrazoles| Water Pollutants, Chemical| 2,4-Dichlorophenoxyacetic Acid| Acetylcholinesterase| fipronil MeSH: | 2,4-Dichlorophenoxyacetic Acid/majr/toxicity| Acetylcholinesterase/metabolism| Animals| Behavior, Animal/majr/drug effects| Brazil| Herbicides/pharmacology| Insecticides/toxicity| Pesticides/toxicity| Pyrazoles/majr/chemistry| Swimming| Synaptic Transmission| Water Pollutants, Chemical/majr/toxicity| Zebrafish/metabolism/physiology Other:Acetylcholinesterase|Danio rerio|Habitat disturbance|Hyphessobrycon eques|Pesticides</t>
  </si>
  <si>
    <t>2D/2d heterojunction of MoS2/g-C3N4 nanoflowers for enhanced visible-light-driven photocatalytic and electrochemical degradation of organic pollutants.    ABSTRACT:  Photodegradation of toxic pollutants is a promising approach to deal with wastewater management. In this regard, MoS2/g-C3N4 (MSC) derived composites with varying weight-ratios were prepared via fast (30 min) one step microwave-assisted method. The materials were characterized by XRD, XPS, EDS, FESEM and HRTEM to validate their flower-like and sheet-like morphologies. The PL and UV-vis DRS spectra exhibited low recombination-rate and band-gap (1.7 eV), which is appropriate for an effective visible-light degradation. Photocatalytic performance of the catalysts was analyzed by investigating the degradation of methylene blue (MB) as well as pesticide fipronil. Best results were obtained by 5:1 MSC (98.7% degradation efficacy; rate constant 0.0261 min-1) in 80 min under the sunlight. The effects of solution pH, catalyst-dose, scavengers and illumination-area were also explored. The catalyst was reusable as confirmed by degradation studies (~82% efficiency) even after 5-cycles. The photocatalytic treatment of real industrial-wastewater was also conducted. The TOC and COD analysis validated that the treatment by as-prepared catalyst is more proficient for effluent-treatment than the industrial physico-chemical treatments. Electrochemical degradation of MB was also investigated using the glassy carbon electrode modified with different MSC-ratios. The electrode modified with 5:1 MSC at pH 7 manifested the maximum peak current. The plausible mechanisms for photocatalytic and electrochemical degradations were proposed, which suggested the remarkable potential the prepared nanocomposites for wastewater treatment.Copyright © 2020 Elsevier Ltd. All rights reserved.  KEYWORDS:  MeSH Chemical: Environmental Pollutants| Molybdenum MeSH: | Catalysis| Environmental Pollutants/majr| Light| Molybdenum/majr| Photolysis Other:Electrocatalysis|Methylene blue|Microwave method|MoS(2)/g-C(3)N(4)|Photocatalysis|Real wastewater</t>
  </si>
  <si>
    <t>Chronic Administration of Fipronil Heterogeneously Alters the Neurochemistry of Monoaminergic Systems in the Rat Brain.    ABSTRACT:  Fipronil (FPN), a widely used pesticide for agricultural and non-agricultural pest control, is possibly neurotoxic for mammals. Brain monoaminergic systems, involved in virtually all brain functions, have been shown to be sensitive to numerous pesticides. Here, we addressed the hypothesis that chronic exposure to FPN could modify brain monoamine neurochemistry. FPN (10 mg/kg) was chronically administered for 21 days through oral gavage in rats. Thereafter, the tissue concentrations of dopamine (DA) and its metabolites, 3,4-dihydroxyphenylacetic acid (DOPAC) and homovanillic acid; serotonin (5-HT) and its metabolite, 5-hydroxyindoleacetic acid (5-HIAA); and noradrenaline (NA) were measured in 30 distinct brain regions. FPN significantly decreased DA and its metabolite levels in most striatal territories, including the nucleus accumbens and the substantia nigra (SN). FPN also diminished 5-HT levels in some striatal regions and the SN. The indirect index of the turnovers, DOPAC/DA and 5-HIAA/5-HT ratios, was increased in numerous brain regions. FPN reduced the NA content only in the nucleus accumbens core. Using the Bravais-Pearson test to study the neurochemical organization of monoamines through multiple correlative analyses across the brain, we found fewer correlations for NA, DOPAC/DA, and 5-HIAA/5-HT ratios, and an altered pattern of correlations within and between monoamine systems. We therefore conclude that the chronic administration of FPN in rats induces massive and inhomogeneous changes in the DA and 5-HT systems in the brain.  KEYWORDS:  MeSH Chemical: Biogenic Monoamines| Insecticides| Pyrazoles| 3,4-Dihydroxyphenylacetic Acid| Serotonin| Hydroxyindoleacetic Acid| fipronil| Dopamine| Norepinephrine| Homovanillic Acid MeSH: | 3,4-Dihydroxyphenylacetic Acid/metabolism| Animals| Biogenic Monoamines/majr/metabolism| Brain/majr/drug effects/metabolism| Dopamine| Homovanillic Acid/metabolism| Hydroxyindoleacetic Acid/metabolism| Insecticides/pharmacology| Male| Neurochemistry/majr/methods| Norepinephrine/metabolism| Nucleus Accumbens/drug effects/metabolism| Pyrazoles/majr/pharmacology| Rats, Sprague-Dawley| Serotonin/metabolism| Substantia Nigra/drug effects/metabolism Other:dopamine|high pressure liquid chromatography|metabolism|nigrostriatal|pesticide|serotonin</t>
  </si>
  <si>
    <t>Mutagenic, genotoxic and morphotoxic potential of different pesticides in the erythrocytes of Podocnemis expansa neonates.    ABSTRACT:  Despite the damaging effects of pesticides glyphosate (Gly), atrazine (Atra) and fipronil (Fip) on different organisms, the mutagenic, genotoxic and morphotoxic potential of testudine erythrocytes in freshwater remains unknown. Thus, the aim of the present study is to assess the toxicological potential of these compounds in Podocnemis expansa (Amazonian turtles) neonates from eggs artificially incubated in substrate at different concentrations of herbicides Gly and Atra and insecticide Fip. Micronucleus test and other nuclear abnormalities, as well as comet assay and morphometric measurements taken of models' circulating erythrocytes were used as toxicity biomarkers. Pups exposed to Gly (groups Gly-65 ppb and Gly-6500 ppb) were the ones recording the largest amount of nuclear abnormalities; erythrocytes with multilobulated, notched and displaced nucleus were mostly frequent in groups Atra-2 ppb and Gly -65 ppb. All treatments (Gly-6500 ppb, Atra-2 ppb, Atra-200 ppb, Fip-4 ppb and Fip-400 ppb), except for group Gly-65 ppb, led to decreased erythrocyte area, increased "nuclear area: erythrocyte area" ratio, as well as to decreased erythrocyte and erythrocyte nuclei circularity, which highlights the clear effect on the size and shape of these cells. On the other hand, the comet assay did not evidence any genotoxic effect caused by the assessed pesticides. This is a pioneer study on the mutagenic and morphotoxic potential of pesticides in P. expansa eclodides exposed in ovo to Gly, Atra and Fip; therefore, it is an insight on how these compounds can affect the health of these animals.Copyright © 2020 Elsevier B.V. All rights reserved.  KEYWORDS:  MeSH Chemical: Mutagens| Pesticides| Atrazine MeSH: | Animals| Atrazine/majr| DNA Damage| Erythrocytes/drug effects| Humans| Infant, Newborn| Micronucleus Tests| Mutagens| Pesticides/majr Other:Ecotoxicology|Genotoxicity|Morphotoxicity|Mutagenicity|Pesticides</t>
  </si>
  <si>
    <t>Ginseng attenuates fipronil-induced hepatorenal toxicity via its antioxidant, anti-apoptotic, and anti-inflammatory activities in rats.    ABSTRACT:  Fipronil (FPN) is a relatively new and broad spectrum insecticide that induces toxic effects to animals and humans through induction of oxidative stress. Ginseng is a medicinal plant that has antioxidant, anti-inflammatory, and anti-apoptotic activities. Thus, the current study was conducted to evaluate the anti-toxic potential of ginseng aqueous extract (GAE) against FPN-induced hepatorenal toxicity in rats. Thirty-two male Wistar albino rats were randomly allocated into four equal groups. Rats of the control group received distilled water. The second group was administrated with GAE at a dose of 200 mg/kg b.w. orally day by day for 6 weeks. The third group was intoxicated with FPN at a dose of 4.85 mg/kg b.w. orally day by day for 6 weeks. The fourth group was administrated with GAE 2 h before FPN intoxication. Intoxication of rats with FPN significantly elevated the activities of serum alanine aminotransferase and aspartate aminotransferase and serum levels of urea and creatinine, as well as increased malondialdehyde level and protein expressions of caspase-3 and cyclooxygenase-2 in hepatic and renal tissues. However, it significantly decreased hepatic and renal GSH content and catalase activity. In addition, it induced histopathological alterations in hepatic and renal tissue architectures. Conversely, concomitant oral administration of GAE ameliorated the FPN-induced biochemical, pathological, and histochemical alterations in both hepatic and renal tissues. This study indicated that ginseng attenuates FPN-induced hepatorenal toxicity, possibly via its antioxidant, anti-apoptotic, and anti-inflammatory properties. Graphical Abstract CAL ABSTRACTPHIRAG.  KEYWORDS:  MeSH Chemical: Anti-Inflammatory Agents| Antioxidants| Pyrazoles| Glutathione| fipronil MeSH: | Animals| Anti-Inflammatory Agents/pharmacology| Antioxidants/majr/metabolism| Glutathione/metabolism| Kidney/metabolism| Liver/metabolism| Male| Oxidative Stress| Panax/majr| Pyrazoles| Rats| Rats, Wistar Other:Caspase-3|Cyclooxygenase-2|Fipronil|Ginseng|Oxidative damage</t>
  </si>
  <si>
    <t>Chemo-Protective Potential of Cerium Oxide Nanoparticles against Fipronil-Induced Oxidative Stress, Apoptosis, Inflammation and Reproductive Dysfunction in Male White Albino Rats.    ABSTRACT:  Fipronil (FIP) is an insecticide commonly used in many fields, such as agriculture, veterinary medicine, and public health, and recently it has been proposed as a potential endocrine disrupter. The purpose of this study was to inspect the reproductive impacts of FIP and the possible protective effects of cerium nanoparticles (CeNPs) on male albino rats. Rats received FIP (5 mg/kg bwt; 1/20 LD50), CeNPs (35 mg/kg bwt) and FIP+CeNPs per os daily for 28 days. Serum testosterone levels, testicular oxidative damage, histopathological and immunohistochemical changes were evaluated. FIP provoked testicular oxidative damage as indicated by decreased serum testosterone (≈60%) and superoxide dismutase (≈50%), glutathione peroxidase activity (≈46.67%) and increased malondialdehyde (≈116.67%) and nitric oxide (≈87.5%) levels in testicular tissues. Furthermore, FIP induced edematous changes and degeneration within the seminiferous tubules, hyperplasia, vacuolations, and apoptosis in the epididymides. In addition, FIP exposure upregulated interleukin-1β (IL-1β), nitric oxide synthase 2 (NOS), caspase-3 (Casp3) and downregulated the Burkitt-cell lymphomas (BCL-2), inhibin B proteins (IBP), and androgen receptor (Ar) mRNA expressions Casp3, nitric oxide synthase (iNOS), ionized calcium-binding adapter molecule 1(IBA1), and IL-1β immunoreactions were increased. Also, reduction of proliferating cell nuclear antigen (PCNA), mouse vasa homologue (MVH), and SOX9 protein reactions were reported. Interestingly, CeNPs diminished the harmful impacts of FIP on testicular tissue by decreasing lipid peroxidation, apoptosis and inflammation and increasing the antioxidant activities. The findings reported herein showed that the CeNPs might serve as a supposedly new and efficient protective agent toward reproductive toxicity caused by the FIP insecticide in white male rats.  KEYWORDS:  MeSH Chemical: Antioxidants| Insecticides| Pyrazoles| Cerium| Testosterone| ceric oxide| fipronil MeSH: | Animals| Antioxidants/majr/administration &amp; dosage| Apoptosis/majr/drug effects| Cerium/majr/administration &amp; dosage| Drug Delivery Systems/majr/methods| Gene Expression/drug effects| Immunohistochemistry| Infertility, Male/majr/blood/chemically induced/drug therapy/pathology| Inflammation/chemically induced/drug therapy| Insecticides/majr/adverse effects| Lipid Peroxidation/drug effects| Male| Metal Nanoparticles/majr/chemistry| Oxidative Stress/majr/drug effects| Pyrazoles/majr/adverse effects| Rats| Testis/metabolism/pathology| Testosterone/blood Other:CeNPs|apoptosis and inflammation gene regulation|fipronil|male subfertility|nanoparticles|reproductive toxicity</t>
  </si>
  <si>
    <t>Efficacy of a low dose fipronil bait against blacklegged tick (Ixodes scapularis) larvae feeding on white-footed mice (Peromyscus leucopus) under laboratory conditions.    ABSTRACT:  Lyme disease is the most prevalent vector-borne disease in the USA with cases continuing to increase. Current control measures have not been shown to be impactful, and therefore alternatives are needed. Treating pathogen reservoirs with low dose systemic acaricides in endemic areas may provide a useful tool for disrupting the cycle of the vector and pathogen. The purpose of this study was to determine the efficacy of a 0.005% fipronil bait, presented orally to white-footed mice, in controlling blacklegged tick larvae (larvae).Sixty mice were assigned to 3 treatment groups and three untreated control groups. All individually housed mice in treatment groups were exposed to 0.005% fipronil bait for 48 hours. Larvae were manually applied to mice within feeding capsules at one of three timepoints: Day 1, Day 9 and Day 15 post-exposure. For 4-days post-tick attachment, replete larvae were collected from water moats underneath each cage and attached larvae were observed by microscopy. Plasma from 4 treated mice at Day-1, Day 13 and Day 19, and 4 control mice (n = 16) was collected to obtain fipronil plasma concentrations (CP).Fipronil bait did not appear to produce neophobia in mice, as the amount of bait eaten at 24- and 48-hours exposure did not differ significantly. The 48-hour fipronil bait exposure prevented 100% of larvae from feeding to repletion at Day 1, Day 9 and Day 15 post-treatment. Within the treatment groups, all larvae observable within the capsules expired and were prevented from detaching by Day 4. In contrast, within the control groups a total of 502 replete larvae were collected from moats and 348 larvae observable within the capsules successfully detached. CP averaged 948.9, 101.2 and 79.4 ng/ml for mice euthanized at Day 1, Day 9 and Day 15, respectively. No fipronil was detected in control mice.We provide early indication that low dose fipronil bait, orally presented to white-footed mice, can effectively control blacklegged tick larvae. Future research should modify the exposure duration and post-exposure tick attachment timepoints to simulate various field scenarios under which successful efficacy might be obtained. Low dose fipronil bait could provide a cost-effective, practical means of controlling blacklegged ticks and other arthropod vectors.  KEYWORDS:  MeSH Chemical: Insecticides| Pyrazoles| fipronil MeSH: | Animals| Arthropod Vectors/drug effects/microbiology| Disease Models, Animal| Disease Reservoirs| Insecticides/administration &amp; dosage/pharmacology| Ixodes/majr/drug effects/microbiology| Larva/drug effects/microbiology| Lyme Disease/transmission| Mice| Peromyscus/parasitology| Pyrazoles/majr/administration &amp; dosage/pharmacology| Rodent Diseases/transmission| Tick Control/majr/methods| Tick Infestations Other:Acaricides|Blacklegged ticks|Borrelia burgdorferi (sensu stricto)|Fipronil bait|Ixodes scapularis|Peromyscus leucopus|Systemic insecticides|Vector control|White-footed mice</t>
  </si>
  <si>
    <t>Does bathing affect tick and flea burdens and ectoparasiticide effectiveness of a spot-on formulation (fipronil + (S)-methoprene) for dogs?    ABSTRACT:  This work evaluated tick and flea burdens and the efficacy of a single topical application of 10% fipronil + 9% (S)-methoprene spot-on against experimental infestations of Rhipicephalus sanguineus sensu lato and Ctenocephalides felis felis on dogs that were submitted to regular baths for 56-days post-treatment. Four treatments (n = 24) were evaluated: no chemical treatment and no bathing (T01); no chemical treatment + bathing (T02); chemical treatment and no bathing (T03) and chemical treatment + bathing (T04). Dogs were infested with adult ticks and fleas seven days pre-treatment (-7). The ectoparasites were then counted and removed on day -5, followed by a new infestation on day -2 and treatment on day 0. Ticks and fleas were then counted without removal on day 1 and counted with removal on day 2. The dogs were then repeatedly infested with both ectoparasites on days 5, 12, 19, 26, 33, 40, 47 and 54 post-treatment. Baths and ectoparasite counts with removal were performed every 48 h before and after experimental infestation, respectively. Animals of T04 had lower (P ≤ 0.05) tick burden than animals from T01 and T02 from day 2 to day 28. For fleas, the counts varied among days of the study. Dogs from T03 presented lower (P ≤ 0.05) flea burden than dogs from T01 from day 1 until day 56. The same was true for T04 when compared to T01 from day 1 to day 42. Animals of T02 greater (P ≤ 0.05) flea burden than animals of T04 in all dates post treatment. In addition, dogs from T02 presented higher (P ≤ 0.05) flea burden than T01 from day 7 to day 28 and from day 49 to day 56. In sum, the efficacy of the spot-on formulation used declined over the time against both ectoparasites. The efficacy for ticks ranged from 0.0 to 96.5% and 0.0 to 98.52% for T03 and T04, respectively. While for fleas, the efficacy of the formulation ranged from 67.41 to 100% for T03 and 40.18 to 100% for T04. So, bathing dogs that were not treated increased C. f. felis burden but not R. sanguineus s. l. burden. The residual efficacy of the product had a shorter duration against these ectoparasites for dogs that received subsequent bathing.Copyright © 2020 Elsevier B.V. All rights reserved.  KEYWORDS:  MeSH Chemical: Insecticides| Pyrazoles| Methoprene| fipronil MeSH: | Administration, Topical| Animals| Baths/majr/veterinary| Dog Diseases/majr/parasitology/prevention &amp; control| Dogs| Female| Flea Infestations/majr/parasitology/prevention &amp; control/veterinary| Insecticides/majr/therapeutic use| Male| Methoprene/majr/therapeutic use| Pyrazoles/majr/therapeutic use| Tick Infestations/majr/parasitology/prevention &amp; control/veterinary Other:Ctenocephalides felis|Rhipicephalus sanguineus|efficacy|experimental infestation|phenylpyrazole|spot-on|water</t>
  </si>
  <si>
    <t xml:space="preserve">Preclinical Transplacental Transfer and Pharmacokinetics of Fipronil in Rats.    ABSTRACT:  Fipronil, a widely used insecticide and pesticide, with its toxic metabolite fipronil sulfone was detected in fipronil-contaminated eggs as a result of inappropriate use. However, little is known about whether fipronil and fipronil sulfone transfer into fetus through the blood-placenta barrier. Our objectives were to investigate the transplacental transfer and the pharmacokinetics of fipronil and fipronil sulfone in rats. Male and female (with 13 days of gestation) Sprague-Dawley rats were used in pharmacokinetics and transplacental transfer experiments, respectively. Biologic samples were collected at each time point after fipronil intravenous or oral administration. To monitor fipronil and fipronil sulfone in the plasma, placenta, amniotic fluid, and fetus, a validated liquid chromatography tandem mass spectrometry method was developed. After fipronil administration in male rats, the oral bioavailability decreased, whereas the biotransformation increased as the dose increased, revealing an enhancement of first-pass effect and a fast metabolism in vivo. The results of fipronil transplacental transfer in pregnant rats demonstrated that the concentration of fipronil and fipronil sulfone varied in the following order, respectively: placenta &gt; plasma &gt; fetus &gt; amniotic fluid and plasma &gt; placenta &gt; fetus &gt; amniotic fluid. This is the first direct evidence that fipronil and fipronil sulfone cross the blood placental barriers and enter the fetus. The amount of fipronil distributed to the fetus was greater than that of fipronil sulfone in the short term, but by contrast, pharmacokinetic data showed that the latter stayed longer in the body. These findings provide constructive information for public health alarm. SIGNIFICANCE STATEMENT: Fipronil and fipronil sulfone interfere with the GABAergic system. Fipronil can cause thyroid dysfunction, which may affect brain growth and nerve development. Although we knew that fipronil and fipronil sulfone could enter eggs, there was no direct evidence that they would enter fetuses. This research provided evidence on the pharmacokinetics and transplacental transfer of fipronil and fipronil sulfone, confirming our hypothesis.Copyright © 2020 by The American Society for Pharmacology and Experimental Therapeutics.  KEYWORDS: </t>
  </si>
  <si>
    <t>Fitness cost, realized heritability and stability of resistance to spiromesifen in house fly, Musca domestica L. (Diptera: Muscidae).    ABSTRACT:  The house fly, Musca domestica L. (Diptera: Muscidae), is an insect pest of public health and veterinary importance. Spiromesifen is a new chemistry insecticide widely used for the management of sucking insect pests of vegetables and crops. In the present study, assessment of resistance risk and fitness costs associated with spiromesifen resistance in M. domestica was studied. Moreover, stability of resistance to spiromesifen and other tested insecticides (fipronil, spinosad, and bifenthrin) was evaluated in the spiromesifen-selected-strain (SPIRO-SEL-POP). After 7-generations of selection with spiromesifen, SPIRO-SEL-POP developed 108.76-fold resistance compared with the unselected strain (UNSEL-POP). The estimated value of realized heritability was 0.59 for spiromesifen resistance. Due to withdrawal of spiromesifen selection for five generations (F6-F10) on SPIRO-SEL-POP, a decline in LC50 values against spiromesifen, spinosad and bifenthrin was 0.16, 0.14 and 0.13-folds, respectively. In biological trait experiments, larval weight of Cross1 (SPIRO-SEL-POP♀ × UNSEL-POP♂) and SPIRO-SEL-POP was significantly lower than that of Cross2 (SPIRO-SEL-POP♂ × UNSEL-POP♀) and UNSEL-POP. Pupal weight of SPIRO-SEL-POP was higher when compared with Cross1 while it was similar to that of Cross2 and UNSEL-POP. Adult emergence rate of UNSEL-POP was higher than Cross1, but similar to the Cross2 and SPIRO-SEL-POP. The SPIRO-SEL-POP and Cross1 showed the lowest relative fitness when compared with USEL-POP and Cross2. Intrinsic rate of natural increase of SPIRO-SEL-POP was much lower than that of UNSEL-POP and Cross2 followed by Cross1. The SPIRO-SEL-POP exhibited lower biotic potential when compared with UNSEL-POP and Cross2 but similar to Cross1. Fecundity and hatching rates were lower in SPIRO-SEL-POP compared to UNSEL-POP. It could be concluded that spiromesifen resistance in M. domestica comes with a cost and is instable. Therefore, spiromesifen rotation with other insecticides and withdraw of its usage for some period could help to sustain its efficacy by delaying the development of resistance.Copyright © 2020 Elsevier Inc. All rights reserved.  KEYWORDS:  MeSH Chemical: Insecticides| Spiro Compounds| spiromesifen MeSH: | Animals| Houseflies/majr/drug effects| Insecticide Resistance/drug effects| Insecticides/majr/pharmacology| Muscidae/majr/drug effects| Spiro Compounds/majr Other:Biology|Diptera|Fitness traits|House fly|Muscidae|Vector</t>
  </si>
  <si>
    <t>Organic and conventional agriculture: Conventional rice farming causes biochemical changes in Astyanax lacustris.    ABSTRACT:  World food production is directly related to human population growth. Chemicals are constantly applied to pest control in crops to increase productivity. Therefore, sustainable alternatives are needed to reduce environmental impacts. The biochemical responses in liver and muscle of Astyanax lacustris collected in different rice planting systems were analysed. Ten fish were collected in organic rice cultivation systems and conventional as well as water and sediment for pesticide analysis. In water from conventional system, bentazon (56.1 μg L-1), fipronil (0.226 μg L-1) and propoxur (0.141 μg L-1) were found, while azoxystrobin and quinclorac were below the limit of quantification (LOQ). There were no pesticides in the sediment from the conventional system. In the water of the organic system, only propoxur (below the LOQ) was registered. Metalaxil (0.025 μg kg-1) were verified in the sediment, while diphenoconazole, dinoxifene and tebuconazole were below the LOQ. The presence of these pesticides in crops with an organic production system may be related to proximity to crops to conventional production systems. Besides this, the amount is very low as compared with conventional system. Muscle glycogen, protein and amino acid levels were higher in fish collected in organic ponds. Lactate and ammonia levels were higher in conventional cultures. Lipids and proteins had greater oxidative damage in both tissues in the conventional system. Although pesticides were detected in organic sediments, the parameters of metabolic and oxidative damage were probably related by exposure to higher concentrations of pesticide in the water or by the lower oxygen content of conventional systems. However, fish mortality was not observed during collections. Despite being an anthropic environment, areas of organic cultivation seem to present better conditions for the survival of A. lacustris.Copyright © 2020 Elsevier B.V. All rights reserved.  KEYWORDS:  MeSH Chemical: Pesticides| Water Pollutants, Chemical MeSH: | Agriculture| Animals| Fishes| Humans| Organic Agriculture| Oryza/majr| Pesticides/majr/analysis| Water Pollutants, Chemical/majr/analysis Other:Fish|Metabolism|Pesticides|Wetland</t>
  </si>
  <si>
    <t>Fleas infesting cats and dogs in Great Britain: spatial distribution of infestation risk and its relation to treatment.    ABSTRACT:  The spatial pattern of flea (Siphonaptera: Pulicidae) infestation risk in cats and dogs across Great Britain is quantified, using data collected from a national survey undertaken in 2018, with particular attention given to the association between insecticidal treatment and infestation risk. Flea infestation risk declined significantly from south to north. None of the factors: pet breed, sex, neutered status or whether the pet had been abroad, showed any relationship with the underlying geographic distribution, which is most likely to be associated with climatic factors. However, overall, only 23.6% of the cats and 35% of the dogs inspected had been treated with identifiable flea products that were still 'in date' at the point of inspection. The percentage of owners treating their pet broadly followed infestation risk. The insecticide fipronil is a common active in a wide range of flea treatments and was the most frequently applied insecticide class, particularly in cats. However, 62% of cats and 45% of dogs that had been treated with a fipronil-based product that was 'in date' at the point of inspection still had fleas. Persistent flea infestation is likely to be due to a range of factors, including compliance and application failure, but the data provide strong inferential evidence for a lack of efficacy of fipronil-based products. Given the ubiquity of flea infestation, this finding and the relatively low-level of treatment compliance, highlight a clear need for greater owner education about the importance of flea management and a better understanding of the efficacy of different products.© 2020 The Royal Entomological Society.  KEYWORDS:  MeSH Chemical: Insecticides| Pyrazoles| fipronil MeSH: | Animals| Cat Diseases| Cats| Ctenocephalides/majr/drug effects| Dog Diseases| Dogs| Flea Infestations/majr/drug therapy/veterinary| Geography| Insect Control| Insecticides/therapeutic use| Patient Compliance| Pyrazoles/majr/therapeutic use| United Kingdom Other:Climate|Ctenocephalides|efficacy|fipronil|infestation|insecticide</t>
  </si>
  <si>
    <t>Occurrence of the insecticide fipronil and its degradates in indoor dust from South, Central, and North China.    ABSTRACT:  No known data are available regarding the occurrence of fipronil (FP) in indoor dust in China, despite the fact that it is an emerging insecticide that is used extensively. In this study, FP and its derivatives (FPs), including fipronil sulfone (FP-SFO), fipronil sulfide, fipronil desulfinyl, and fipronil amide, were determined in indoor dust samples (n = 436) collected from three different cities in China between 2016 and 2019, namely Shenzhen (February and September 2019), Wuhan (October 2016, October 2018, and August 2019), and Taiyuan (October 2016), located in south, central, and north China, respectively. FP and FP-SFO were the major target analytes detected in all dust samples, accounting for approximately 68.6-90.1% of the cumulative concentration of FPs (ΣFPs). The ΣFPs values for the dust samples ranged from not detected (ND) to 33.6 μg/g (median ± median absolute deviation [MAD]: 7.12 ± 6.44 ng/g), with a detection frequency of 95.6%. The median value of the ΣFPs of the dust samples collected from Shenzhen (22.6 ± 15.6 ng/g) was higher than that found in the dust samples collected in Taiyuan 2016 (1.87 ± 1.65 ng/g) and Wuhan (6.43 ± 5.62 ng/g). Significantly higher ΣFPs were observed in the dust samples collected in urban areas than in the rural areas of Taiyuan and Wuhan. Furthermore, an increasing trend of FP (from 2016 to 2018) in the rural areas of Wuhan, and a seasonal variation (summer &gt; autumn) in FP, FP-SFO, and ΣFPs in the dust samples from urban areas of Wuhan were observed. The estimated daily intake of FPs via dust ingestion for people in Shenzhen was approximately 12 times higher than in Taiyuan based on the samples analyzed. This is the first study to describe the occurrence and spatiotemporal variations of FPs in indoor dust in China.Copyright © 2020 Elsevier B.V. All rights reserved.  KEYWORDS:  Other:Degradates|Fipronil|Indoor dust|Insecticide contamination|Spatial variation|Temporal variation</t>
  </si>
  <si>
    <t>Experimental removal of invasive Africanized honey bees increased breeding population size of the endangered Lear's macaw.    ABSTRACT:  Invasive Africanized honey bees potentially compete with cavity-nesting birds in South America. However, the impacts of this competition and its conservation consequences to threatened species are poorly known. We quantified the presence of these bees and assessed their competition for cliff cavities used by nesting Lear's macaws Anodorhynchus leari, a globally endangered parrot endemic to the Caatinga biome of Brazil. We treated beehives with permethrin by shooting them with a crossbow bolt that distributed the compound upon impact. When feasible, we removed the comb and applied an insecticide (fipronil) to deter bee recolonization. We subsequently surveyed the macaw breeding population to verify whether our treatment allowed for nest recruitment in cavities previously occupied by bees.We recorded &gt; 100 beehives in the nesting cliffs. Hives outnumbered macaw nests tenfold in two areas recently recolonized by macaws. Cavities occupied by bees were significantly higher than those occupied by macaws, suggesting that macaws may be forced to breed in lower cavities. None of the untreated cavities (n = 50) were occupied by nesting macaws, whereas 15% of treated cavities (n = 52) were occupied within 2 years post treatment. Treated cavities occupied by macaws were significantly higher than those not occupied. Hive management increased macaw breeding population by 71% of the macaw breeding population increase.Experimental hive treatments were effective in restoring nesting resources lost due to bee infestation. An intensive and continued eradication program is recommended to enhance macaw habitat restoration, facilitating its expansion into historical areas. © 2020 Society of Chemical Industry.© 2020 Society of Chemical Industry.  KEYWORDS:  MeSH: | Animals| Bees| Brazil| Breeding| Nesting Behavior/majr| Parrots/majr| Population Density Other:Africanized honey bees|Caatinga|Lear's macaw|biological invasions|fipronil|invasive species eradication|nest-site competition|permethrin</t>
  </si>
  <si>
    <t>Degradation mechanism of fipronil and its transformation products, matrix effects and toxicity during the solar/photo-Fenton process using ferric citrate complex.    ABSTRACT:  This study presents the degradation of fipronil in sewage treatment plant (STP) effluent by photo-Fenton at near neutral pH (pH 6.0) using Fe3+/Citrate complex. 83% of fipronil degradation was reached using a molar iron/citrate ratio of 1:3 (192 μmol L-1 of Fe3+/576 μmol L-1 of citrate). Photo-Fenton reduced the toxicity of treated solutions as according to the survival of Drosophila melanogaster exposed to non-treated and treated samples. Control experiments performed in distilled water using 32 μmol L-1 of Fe3+/96 μmol L-1 of citrate achieved 98% of fipronil degradation within 100 kJ m-2 (UV-A radiation, k = 30 × 10-3 kJ-1 m2 and t1/2 = 23 kJ m-2), thus indicating that fipronil degradation is impaired by natural organic matter and inorganic ions present in STP effluent. Degradation was faster under solar radiation, as the same efficiency (98%) was obtained after 75 kJ m-2 (k = 63 × 10-3 kJ-1 m2 and t1/2 = 11 kJ m-2). In addition, pathways of fipronil degradation using Fe3+/Citrate under solar and UV-A radiation were investigated and transformation products proposed. Results revealed that the HO• attack occurred preferentially in the pyrazole ring. Eight transformation products were identified by UHPLC-Q-TOF-MS and four are unprecedented in the literature. Control experiments in distilled water demonstrated that toxicity reduction is related to fipronil degradation and that transformation products are less toxic than fipronil. Furthermore, toxicity of STP fortified with fipronil was reduced after photo-Fenton. These results demonstrate the feasibility of applying this process using Fe3+/Citrate complex for fipronil degradation in a real matrix.Copyright © 2020 Elsevier Ltd. All rights reserved.  KEYWORDS:  MeSH Chemical: Ferric Compounds| Pyrazoles| Water Pollutants, Chemical| ferric citrate| Hydrogen Peroxide| fipronil MeSH: | Animals| Drosophila melanogaster| Ferric Compounds| Hydrogen Peroxide/majr| Oxidation-Reduction| Pyrazoles| Water Pollutants, Chemical/majr Other:Advanced oxidation processes|Drosophila melanogaster|Inseticides|Near neutral pH|Sewage treatment plant effluent|Wastewater composition</t>
  </si>
  <si>
    <t>Role of long non-coding RNA in DEET- and fipronil-mediated alteration of transcripts associated with Phase I and Phase II xenobiotic metabolism in human primary hepatocytes.    ABSTRACT:  Human exposure to environmental chemicals both individually and in combination occurs frequently world-wide most often with unknown consequences. Use of molecular approaches to aide in the assessment of risk involved in chemical exposure is a growing field in toxicology. In this study, we examined the impact of two environmental chemicals used in and around homes, the insect repellent DEET (N,N-diethyl-m-toluamide) and the phenylpyrazole insecticide fipronil (fluocyanobenpyrazole) on transcript levels of enzymes potentially involved in xenobiotic metabolism and on long non-coding RNAs (lncRNAs). Primary human hepatocytes were treated with these two chemicals both individually and in combination. Using RNA-Seq, we found that 10 major enzyme categories involved in phase 1 and phase 2 xenobiotic metabolism were significantly (α = 0.05) up- and down-regulated (i.e., 100 μM DEET-19 transcripts, 89% up and 11% down; 10 μM fipronil-52 transcripts, 53% up and 47% down; and 100 μM DEET +10 μM fipronil-69 transcripts, 43% up and 57% down). The altered genes were then mapped to the human genome and their proximity (within 1,000,000 bp) to lncRNAs examined. Unique proximities were discovered between altered lncRNA and altered P450s (CYP) and other enzymes (DEET, 2 CYP; Fipronil, 6 CYP and 15 other; and DEET + fipronil, 7 CYP and 21 other). Many of the altered P450 transcripts were in multiple clusters in the genome with proximal altered lncRNAs, suggesting a regulator function for the lncRNA. At the gene level there was high percent identity for lncRNAs near P450 clusters, but this relationship was not found at the transcript level. The role of these altered lncRNAs associated with xenobiotic induction, human diseases and chemical mixtures is discussed.Copyright © 2020 Elsevier Inc. All rights reserved.  KEYWORDS:  MeSH Chemical: Insect Repellents| Pyrazoles| RNA, Long Noncoding| DEET| fipronil MeSH: | DEET| Hepatocytes| Humans| Insect Repellents/majr| Pyrazoles| RNA, Long Noncoding/majr Other:Cytochrome P450|DEET|Environmental chemicals|Fipronil|Long non-coding RNA|Xenobiotic metabolism</t>
  </si>
  <si>
    <t>Simultaneous determination of neonicotinoids and fipronils in tea using a modified QuEChERS method and liquid chromatography-high resolution mass spectrometry.    ABSTRACT:  The widespread use of neonicotinoids (NEOs) and fipronils (FIPs) as insecticides in modern agriculture has been widely investigated because of their adverse effects on human health. This study aimed to develop an accurate quantitative approach to analyze NEOs and FIPs in tea by using a modified QuEChERS method based on dispersive solid-phase extraction procedure coupled with liquid chromatography-high resolution mass spectrometry. To minimize matrix interferences largely, we selected polyvinylpolypyrrolidone (PVPP) and strong cationic exchange adsorbent (PCX) as dispersive adsorbents to eliminate polyphenols and caffeine from tea extract, respectively. Under optimal conditions, a slight matrix effect was observed for NEOs and FIPs due to the highest reductions of polyphenols and caffeine (94% and 88%, respectively). The method was validated by the European Medicines Agency and Eurachem guidelines and was successfully applied to tea samples for NEOs and FIPs analysis. NEOs and FIPs were commonly detected in tea.Copyright © 2020 Elsevier Ltd. All rights reserved.  KEYWORDS:  MeSH Chemical: Insecticides| Neonicotinoids| Polyphenols| Pyrazoles| Tea| Caffeine| fipronil MeSH: | Caffeine/chemistry| Chromatography, High Pressure Liquid/methods| Chromatography, Liquid/methods| Food Analysis/methods| Food Contamination/majr/analysis| Insecticides/analysis| Neonicotinoids/majr/analysis| Polyphenols/chemistry| Pyrazoles/majr/analysis| Reproducibility of Results| Solid Phase Extraction/methods| Tandem Mass Spectrometry/methods| Tea/majr/chemistry Other:Acetamiprid (PubChem CID: 213021)|Caffeine (PubChem CID: 2519)|Clothianidin (PubChem CID: 86287519)|Dinotefuran (PubChem CID: 197701)|Dispersive solid-phase extraction|Fipronil (PubChem CID: 3352)|Fipronil sulfone (PubChem CID: 3078139)|Imidacloprid (PubChem CID: 86418)|Matrix effect|Nitenpyram (PubChem CID: 3034287)|PCX|Pesticides|Polyvinylpolypyrrolidone|Thiacloprid (PubChem CID: 115224)|Thiamethoxam (PubChem CID: 5821911)</t>
  </si>
  <si>
    <t>The insecticide fipronil affects the physical properties of model membranes: A combined experimental and molecular dynamics simulations study in Langmuir monolayers.    ABSTRACT:  Fipronil is a widely used commercial insecticide whose action mechanism consists in blocking the influx of chloride ions through the γ-aminobutyric acid type A receptor (GABAA-R), an integral membrane protein. The present study investigates the interaction of fipronil with phospholipid Langmuir monolayers, in order to characterize the effects that its partition could exert on the physical properties of these model membranes. A combined experimental and molecular dynamics (MD) simulations approach was performed. MD simulations were conducted in such a way that they resemble an experimental compression isotherm of DPPC in the presence of fipronil in the aqueous subphase. Both the experimental and the simulated compression isotherm showed that the partition of fipronil between DPPC molecules induces an expansion of the monolayer. Experimental results also showed that fipronil can penetrate lipid monolayers even in condensed packing states. MD simulations showed that fipronil induces an ordering effect in the acyl chains of DPPC in the liquid-condensed phase. In addition, the simulations indicate that fipronil orients parallel to the plane of the monolayer and that it establishes hydrogen bonds with the glycerol region of DPPC. Free energy profiles of the partition of fipronil into the monolayers, obtained by means of umbrella sampling, indicated that its penetration is thermodynamically favorable, being the interphase between the glycerol region and the acyl chains of DPPC its most favorable location. Our results suggest that fipronil could modulate the supramolecular organization of biological membranes surrounding GABAA-R, contributing, at least in part, to its action mechanism.Copyright © 2020 Elsevier B.V. All rights reserved.  KEYWORDS:  MeSH Chemical: Insecticides| Membranes, Artificial| Pyrazoles| 1,2-Dipalmitoylphosphatidylcholine| fipronil MeSH: | 1,2-Dipalmitoylphosphatidylcholine/chemistry| Insecticides/majr/pharmacology| Membranes, Artificial/majr| Molecular Dynamics Simulation| Pyrazoles/majr/pharmacology Other:Drug-membrane interaction|Fipronil|Gabaergic insecticides|Langmuir monolayers|Molecular dynamics simulations</t>
  </si>
  <si>
    <t>Pesticides used in Europe and autism spectrum disorder risk: can novel exposure hypotheses be formulated beyond organophosphates, organochlorines, pyrethroids and carbamates? - A systematic review.    ABSTRACT:  A growing body of evidences suggests an association between early exposure to organophosphates (OPs), organochlorines (OCs), pyrethroids or carbamates and autism spectrum disorder (ASD). However, there are limited data about the other pesticide groups, especially in Europe.Based on a systematic review, we aimed to assess the influence of neuro- and thyrotoxic agricultural and domestic pesticides (other than OPs, OCs, pyrethroids and carbamates) authorized in Europe on risk of ASD in children or ASD behavioral phenotypes in rodents.Pesticides were initially identified in the Hazardous Substances Data Bank. 20 currently used (10 pesticide groups) were retained based on the higher exposure potential. Epidemiological (children) and in vivo (rodents) studies were identified through PubMed, Web of Science and TOXLINE, without restriction of publication date or country (last update: November 2019). The risk of bias and level of evidence were also assessed. This systematic review is registered at the International Prospective Register of Systematic Reviews (PROSPERO, registration number CRD42019145384).In total, two epidemiological and 15 in vivo studies were retained, focusing on the azole, neonicotinoid, phenylpyrazole and phosphonoglycine pesticide groups. No study was conducted in Europe. Glyphosate, imidacloprid, clothianidin, myclobutanil, acetamiprid, tebuconazole, thiabendazole and fipronil, globally reported an association with an increased risk of ASD in children and/or ASD behavioral phenotypes in rodents. In children, glyphosate and myclobutanil showed a "moderate level of evidence" in their association with ASD, whereas imidacloprid showed an "inadequate level of evidence". In rodents, clothianidin, imidacloprid and glyphosate showed a "high level of evidence" in their association with altered behavioral, learning and memory skills.In the framework of environmental risk factors of ASD, novel hypotheses can be formulated about early exposure to eight pesticides. Glyphosate presented the most salient level of evidence. Given their neuro- and thyrotoxic properties, additional studies are needed for the 12 other pesticides not yet studied as potential ASD risk factors according to our inclusion criteria.Copyright © 2020 Elsevier Inc. All rights reserved.  KEYWORDS:  MeSH Chemical: Carbamates| Organophosphates| Pesticides| Pyrethrins MeSH: | Autism Spectrum Disorder/majr/epidemiology| Carbamates/toxicity| Child| Europe/epidemiology| Humans| Organophosphates/toxicity| Pesticides/majr/toxicity| Pyrethrins/majr/toxicity Other:Autism spectrum disorder|Environmental exposure|Europe|Neurobehavior|Pesticides</t>
  </si>
  <si>
    <t>A full evaluation of chiral phenylpyrazole pesticide flufiprole and the metabolites to non-target organism in paddy field.    ABSTRACT:  Pesticides applied to paddy fields may pose considerable danger to non-target aquatic organisms and further threaten human health. Flufiprole is a pesticide used in rice fields; considering the widespread existence of rice-fish-farming ecosystems, the acute toxicities of flufiprole enantiomers and its six metabolites (fipronil, flufiprole sulfide, flufiprole sulfone, detrifluoromethylsulfinyl flufiprole, desulfinyl flufiprole, and flufiprole amide) to four common aquatic organisms in rice fields including Misgurnus anguillicaudatus (pond loach), Carassius gibelio (Prussian carp), Pelophylax nigromaculatus (black-spotted frog), and Daphnia magna (water flea) were investigated. Genotoxicity, pathological changes and the effects on the antioxidant system of M. anguillicaudatus were also evaluated after exposure. The LC50 (EC50) values showed that fipronil and desulfinyl flufiprole were the most toxic compounds and were approximately about six times as toxic as flufiprole. No enantioselective toxicity was observed between the two enantiomers. The activity of antioxidant defense enzymes and the content of malondialdehyde (MDA) in the liver and gills of M. anguillicaudatus were significantly increased by the chemicals in most cases. In addition, fipronil and desulfinyl flufiprole were found to induce an increase in the micronucleus rate in M. anguillicaudatus. Histopathological analysis showed that the liver of M. anguillicaudatus was not significantly affected by flufiprole. Our study demonstrated a potential negative effect on flufiprole-treated aquatic organisms. As an alternative to fipronil, the environmental risk of flufiprole and its metabolites to non-target organisms in rice fields cannot be ignored.Copyright © 2020 Elsevier Ltd. All rights reserved.  KEYWORDS:  MeSH Chemical: Insecticides| Pesticides| Pyrazoles| Water Pollutants, Chemical| 1-(2,6-dichloro-4-trifluoromethylphenyl)-5-(N-(2-methylprop-2-enyl)amino)-4-trifluoromethylsulfinylpyrazole-3-carbonitrile MeSH: | Animals| Daphnia| Ecosystem| Insecticides/majr| Pesticides/majr| Pyrazoles| Water Pollutants, Chemical/majr Other:Flufiprole|Metabolites|Non-target organism|Rice–fish-farming ecosystems|Toxic effects</t>
  </si>
  <si>
    <t>Pesticide Residues in Peri-Urban Bovine Milk from India and Risk Assessment: A Multicenter Study.    ABSTRACT:  Pesticides residue poses serious concerns to human health. The present study was carried out to determine the pesticide residues of peri-urban bovine milk (n = 1183) from five different sites (Bangalore, Bhubaneswar, Guwahati, Ludhiana and Udaipur) in India and dietary exposure risk assessment to adults and children. Pesticide residues were estimated using gas chromatography with flame thermionic and electron capture detectors followed by confirmation on gas chromatography-mass spectrometer. The results noticed the contamination of milk with hexachlorocyclohexane (HCH), dichloro-diphenyl trichloroethane (DDT), endosulfan, cypermethrin, cyhalothrin, permethrin, chlorpyrifos, ethion and profenophos pesticides. The residue levels in some of the milk samples were observed to be higher than the respective maximum residue limits (MRLs) for pesticide. Milk samples contamination was found highest in Bhubaneswar (11.2%) followed by Bangalore (9.3%), Ludhiana (6.9%), Udaipur (6.4%) and Guwahati (6.3%). The dietary risk assessment of pesticides under two scenarios i.e. lower-bound scenario (LB) and upper-bound (UB) revealed that daily intake of pesticides was substantially below the prescribed acceptable daily intake except for fipronil in children at UB. The non-cancer risk by estimation of hazard index (HI) was found to be below the target value of one in adults at all five sites in India. However, for children at the UB level, the HI for lindane, DDT and ethion exceeded the value of one in Ludhiana and Udaipur. Cancer risk for adults was found to be in the recommended range of United States environment protection agency (USEPA), while it exceeded the USEPA values for children.  KEYWORDS:  MeSH Chemical: Pesticide Residues MeSH: | Animals| Cattle| Cross-Sectional Studies| Food Analysis/majr| Food Contamination/majr/analysis| Food Safety| Humans| India| Milk/majr/chemistry| Pesticide Residues/majr/analysis| Proportional Hazards Models| Risk Assessment</t>
  </si>
  <si>
    <t>Spatiotemporal variation in occurrence and co-occurrence of pesticides, hormones, and other organic contaminants in rivers in the Chesapeake Bay Watershed, United States.    ABSTRACT:  Investigating the spatiotemporal dynamics of contaminants in surface water is crucial to better understand how introduced chemicals are interacting with and potentially influencing aquatic organisms and environments. Within the Chesapeake Bay Watershed, United States, there are concerns about the potential role of contaminant exposure on fish health. Evidence suggests that exposure to contaminants in surface water is causing immunosuppression and intersex in freshwater fish species. Despite these concerns, there is a paucity of information regarding the complex dynamics of contaminant occurrence and co-occurrence in surface water across both space and time. To address these concerns, we applied a Bayesian hierarchical joint-contaminant model to describe the occurrence and co-occurrence patterns of 28 contaminants and total estrogenicity across six river sites and over three years. We found that seasonal occurrence patterns varied by contaminant, with the highest occurrence probabilities during the spring and summer months. Additionally, we found that the proportion of agricultural landcover in the immediate catchment, as well as stream discharge, did not have a significant effect on the occurrence probabilities of most compounds. Four pesticides (atrazine, metolachlor, fipronil and simazine) co-occurred across sites after accounting for environmental covariates. These results provide baseline information on the contaminant occurrence patterns of several classes of compounds within the Chesapeake Bay Watershed. Understanding the spatiotemporal dynamics of contaminants in surface water is the first step in investigating the effects of contaminant exposure on fisheries and aquatic environments.Copyright © 2020 Elsevier B.V. All rights reserved.  KEYWORDS:  MeSH Chemical: Pesticides| Water Pollutants, Chemical MeSH: | Animals| Bayes Theorem| Bays| Environmental Monitoring| Pesticides/majr/analysis| Rivers| United States| Water Pollutants, Chemical/majr/analysis Other:Agricultural landcover|Chesapeake Bay watershed|Contaminants|Multivariate analysis|Surface water</t>
  </si>
  <si>
    <t>Efficient degradation of Fipronil in water by microwave-induced argon plasma: Mechanism and degradation pathways.    ABSTRACT:  Fipronil and its metabolites are potentially harmful to the ecological environment and have chronic neurotoxic effects, which makes it to be classified as class C carcinogens. Fipronil has been banned from agricultural use in China since 2009, but its residue remains in the environment. Therefore, an efficient and economical method is urgently needed to degrade fipronil residues in the environment. Herein, the degradation of fipronil in water solution using argon microwave-induced plasma (MIP) system was studied and a plausible reaction pathway was proposed in combination with Density Functional Theory (DFT) calculations. The degradation of fipronil by MIP system was optimized in terms of input power, plasma-sample distance, initial concentration and gas flow rate. After short time MIP treatment with an input power of 150 W, as high as 85.62% degradation efficiency was achieved for the fipronil at concentration of 20 mg·L--1 under the optimized conditions, and the corresponding energy efficiency was 1334.8 mg·kwh-1. Optical emission spectrometry (OES) was employed to characterize the distribution and intensity of OH, H and O species which play key roles in the degradation of fipronil by plasma, and it revealed that the degradation reaction mainly occurs at gas-liquid interface where the highest intensity of OH, H and O species was observed. High resolution mass spectrometric analysis in combination quantum chemical calculations indicate that a wide diversity of reaction processes occurred for fipronil degradation under MIP treatment, involving oxidation or reduction, nitro reduction, oxidative dichlorination, reductive dichlorination, hydration, dehydration and thiourea to urea. The possible degradation mechanism and pathways were proposed based on the degrading species identified by high resolution Mass Spectrometry (HRMS) and the thermodynamic profiles.Copyright © 2020 Elsevier B.V. All rights reserved.  KEYWORDS:  Other:DFT|Fipronil|Mechanism and degradation pathways|Microwave-induced argon plasma|OES|Water</t>
  </si>
  <si>
    <t>Investigating the effects of fipronil on male fertility: Insight into the mechanism of capacitation.    ABSTRACT:  Fipronil (FPN) is a widely used phenylpyrazole pesticide for the control of insects and removal of veterinary pet fleas, ticks, etc. Although FPN presents moderate hazards to human health, people are readily exposed in daily life. FPN acts by impairing the central nervous systems of insects by blocking gamma-aminobutyric acid (GABA) and glutamate-activated chloride channels. A previous study demonstrated that GABA and GABAAR are present in spermatozoa and play various roles in the process of sperm capacitation, which is required for fertilization. However, the effects of FPN on mammalian fertility are not yet fully understood. Therefore, the present study was designed to investigate the effects of FPN on spermatozoa. Herein, we treated various concentrations of FPN (0.1, 1, 10, 100, and 300 μM) or a control treatment with mouse spermatozoa. FPN treatment significantly reduced sperm motility, motion kinematic parameters, and intracellular ATP level, whereas the acrosome reaction was enhanced. Levels of phospho-PKA and phospho-tyrosine substrate were significantly decreased in a dose-dependent manner. Meanwhile, there was no difference between control and treatment groups in the level of GABAAR β-3. Only the ratio of GABAAR β-3 pS408/pS409 was significantly decreased at higher concentrations of FPN. Moreover, cleavage and blastocyst formation rates were also significantly decreased by FPN treatments. Taken together, these data suggest that FPN can directly and indirectly suppress various sperm functions. Therefore, FPN can negatively affect male fertility leading to infertility. From these results, we suggest that the use of FPN as a pesticide requires the attention of reproductive toxicity.Copyright © 2020 Elsevier Inc. All rights reserved.  KEYWORDS:  MeSH Chemical: Insecticides| Pyrazoles| Adenosine Triphosphate| L-Lactate Dehydrogenase| fipronil MeSH: | Adenosine Triphosphate/metabolism| Animals| Female| Fertility/majr/drug effects| Insecticides/majr/toxicity| L-Lactate Dehydrogenase/metabolism| Male| Mice, Inbred ICR| Pyrazoles/majr/toxicity| Sperm Capacitation/majr/drug effects| Sperm Motility/drug effects| Spermatozoa/majr/drug effects/physiology Other:Capacitation|Fipronil|GABA(A) receptor|Male fertility|Spermatozoa</t>
  </si>
  <si>
    <t>Efficacy of ozone for removal of pesticides, metals and indicator virus from reverse osmosis concentrates generated during potable reuse of municipal wastewaters.    ABSTRACT:  This study evaluated ozone treatment to address concerns regarding the discharge to marine waters of chemical contaminants and pathogens in reverse osmosis (RO) concentrates generated during the potable reuse of municipal wastewaters. Previous studies indicated that contaminants can be sorted into five groups based on their reaction rate constants with ozone and hydroxyl radical to predict degradation of chemical contaminants during ozonation of municipal effluents. Spiking representatives of each group into five RO concentrate samples, this study demonstrated that the same contaminant grouping scheme could be used to predict contaminant degradation during ozonation of RO concentrates, despite the higher concentrations of ozone and hydroxyl radical scavengers. The predictive capability of the contaminant grouping scheme was further validated for four contaminants of concern in RO concentrates, including the pesticides fipronil and imidacloprid, and the metal chelates Ni-EDTA and Cu-EDTA. After measuring their ozone and hydroxyl radical reaction rate constants, these compounds were assigned to contaminant groups, and their degradation during ozonation matched predictions. Addition of 300 mg/L CaO at pH 11 achieved partial removal of the native nickel and copper by precipitation. Ozone pretreatment further enhanced precipitation of nickel, but not copper. Ozonation achieved 5-log inactivation of MS2 in all five concentrate samples at 1.18 mg O3/mg DOC. Ozonation at 0.9 mg O3/mg DOC formed 139-451 μg/L bromate. Pretreatment of RO concentrates with chlorine and ammonia reduced bromate formation by a maximum of 48% but increased total halogenated DBP concentrations from 20 μg/L to 36 μg/L. Regardless, neither bromate nor trihalomethane concentrations exceeded threshold concentrations of concern for discharge to marine waters.Copyright © 2020 Elsevier Ltd. All rights reserved.  KEYWORDS:  MeSH Chemical: Metals| Pesticides| Waste Water| Water Pollutants, Chemical| Ozone MeSH: | Metals| Osmosis| Ozone/majr| Pesticides/majr| Waste Water| Water Pollutants, Chemical/majr| Water Purification/majr Other:Bromate|Metals|Ozone|Pesticides|RO concentrate|Virus</t>
  </si>
  <si>
    <t>Time-dependent effects on bumble bees of dietary exposures to farmland insecticides (imidacloprid, thiamethoxam and fipronil).    ABSTRACT:  Farmland bees encounter insecticides in their diet when visiting the flowers of pesticide-treated crops with residues in nectar and pollen. A sustained exposure to even trace residues could be severely harmful if the ingested substance has a long biological half-life and its toxicity therefore intensifies over time, which is termed time-reinforced toxicity (TRT). Bumble bees are important farmland pollinators, but their susceptibility to TRT from insecticides has not been established previously. This study therefore investigated the potential for three farmland insecticides (imidacloprid, thiamethoxam and fipronil) to generate TRT in bumble bees (Bombus terrestris L.) by dietary exposure in the laboratory using lethality as an endpoint under both fixed-dose and pulsed-dose regimes.The insecticides varied in toxic effect. Fipronil exposures produced a dose-dependent reduction in longevity (days of exposure survived) and strong TRT with no evidence of clearance-based recovery. Thiamethoxam exposures also produced a dose-dependent reduction in longevity, but with moderate TRT and evidence of some clearance-based recovery. Imidacloprid exposures produced a hormesis with reduced longevity only at the highest doses and an absence of TRT.Our study further confirms the potential for certain dietary insecticides at trace levels to harm farmland bees during sustained exposures because of their capacity to cause time-reinforced toxicity. Our findings suggest that regulatory oversight of pesticides will better safeguard bee health by testing the active ingredients of farmland agrochemicals for their capacity to produce TRT in these ecologically important nontarget organisms. Our study demonstrates the potential for certain dietary insecticides at trace levels to harm farmland bumble bees during sustained exposures because of their capacity to cause time-reinforced toxicity. © 2020 Society of Chemical Industry.© 2020 Society of Chemical Industry.  KEYWORDS:  MeSH Chemical: Insecticides| Neonicotinoids| Nitro Compounds| Pyrazoles| imidacloprid| Thiamethoxam| fipronil MeSH: | Animals| Bees/majr| Diet| Dietary Exposure| Farms| Insecticides| Neonicotinoids| Nitro Compounds| Pyrazoles| Thiamethoxam Other:ecotoxicology|neonicotinoids|pollinators|time reinforcement</t>
  </si>
  <si>
    <t>Insecticide Resistance, and Its Effects on Bait Performance in Field-Collected German Cockroaches (Blattodea: Ectobiidae) From Taiwan.    ABSTRACT:  Insecticide resistance in the German cockroach, Blattella germanica (L.), is a significant challenge to the pest management professionals worldwide. We collected 24 field populations of B. germanica from different localities in Taiwan island, reared them for one to two generations, and evaluated them for their resistance to deltamethrin, propoxur, and fipronil using the surface-contact method. Results showed that deltamethrin resistance ratio ranged from 1.5 to 817.5×. Among the strains, TC Supermarket, TC Sanshang Logistics, TC THSR, and TC 1Taichungsteak strains showed very high resistance to deltamethrin, which mortality ranged between 0 and 33% at 7-d post-treatment. On the other hand, resistance to propoxur and fipronil RR were 0.70-7.13× and 1.67-3.72×, respectively. Synergism studies using piperonyl butoxide (PBO) and S,S,S-tributylphosphorotrithioate (DEF) suggested the major involvement of cytochrome P450 monooxygenase and minor involvement of esterases. However, deltamethrin resistance in two strains (i.e., TC Supermarket and TC THSR) was not affected by both PBO and DEF, indicating that other mechanisms are involved in the resistance, including kdr resistance. Evaluation of the field strains using commercial gel baits containing fipronil, imidacloprid, hydramethylnon, and indoxacarb for up to 7 d resulted in 24.4-100%, 11.3-78.5%, 15.8-75.5%, and 63.3-100% mortality, respectively. We found that high deltamethrin resistance in some strains could affect the performance of fipronil, imidacloprid, and indoxacarb baits, indicating the potential involvement of cytochrome P450 monooxygenase in reducing the effectiveness of the bait toxicants.© The Author(s) 2020. Published by Oxford University Press on behalf of Entomological Society of America. All rights reserved. For permissions, please e-mail: journals.permissions@oup.com.  KEYWORDS:  MeSH Chemical: Insecticides| Piperonyl Butoxide MeSH: | Animals| Blattellidae/majr| Cockroaches/majr| Insecticide Resistance| Insecticides/majr/pharmacology| Piperonyl Butoxide| Taiwan Other:kdr resistance|Cross-resistance|cytochrome P450 monooxygenase|esterases</t>
  </si>
  <si>
    <t>Do rainfall and tick burden affect the efficacy of pour-on formulations against Rhipicephalus (Boophilus) microplus?    ABSTRACT:  Rhipicephalus (Boophilus) microplus is the most important livestock tick, causing economical losses especially in tropical and subtropical regions. Pour-on formulations using synthetic chemicals, remain the most farmer friendly conventional form of tick control method. Misuse of acaricides can lead to the emergence of resistance, residual chemicals in animal products, the poisoning of vertebrates and environment contamination. Despite the increase in the use of pour-on formulations, little is known regarding the therapeutic and residual efficacy of these products after the treated animals are exposed to rainfall. Moreover, information is scanty on whether efficacy is modulated by different levels of tick burden. Three studies were conducted. In the two first experiments, we evaluated the therapeutic and residual efficacies of commercial pour-on products (fluazuron 2.5 mg/kg and fipronil 1.0 mg/kg, respectively) on cattle naturally infested with R. (B.) microplus under the condition of simulated rainfall. In the third study, we investigated whether tick burden affects the efficacy of the drugs used a chemical control method involving three different formulations (Day 0: cypermethrin 5.0 mg/kg + chlorpyrifos 7.0 mg/kg + citronellal 0.5 mg/kg; Day 7: fluazuron 3.0 mg/kg + abamectin 0.5 mg/kg and Day 56: fipronil 1.0 mg/kg + fluazuron 3.0 mg/kg). Tick counts were performed on different days to assess efficacy. It was observed that the residual efficacy of the commercial formulations was lower on animals that received simulated rain. In addition, therapeutic and residual efficacies of the products were reduced in the group of animals with a high tick burden of R. (B.) microplus. In conclusion, rainfall decreases the efficacy of acaricides. Also, the tick burden must be considered when selecting a pour-on formulation.Copyright © 2020 Elsevier B.V. All rights reserved.  KEYWORDS:  MeSH Chemical: Acaricides MeSH: | Acaricides/majr/therapeutic use| Animals| Cattle| Cattle Diseases/majr/parasitology/prevention &amp; control| Population Density| Rain| Rhipicephalus/majr| Tick Control/majr/methods| Tick Infestations/majr/parasitology/prevention &amp; control/veterinary Other:Cattle tick|Rain exposure|Residual efficacy|Strategic tick control|Therapeutic efficacy|Tick infestation</t>
  </si>
  <si>
    <t>Spatial variation of fipronil and its derivatives in tap water and ground water from China and the fate of them during drinking water treatment in Wuhan, central China.    ABSTRACT:  Fipronil (FP) is an emerging insecticide, however, its occurrence in drinking water and source water is limited. In this work, a total of 789 tap water and 95 ground water samples were collected from China in June 2019 in order to assess occurrence of FP and its derivatives (FPs). FPs were also analyzed in source, treated (n = 10, July), and tap water samples (n = 81, July and October 2019) originating from the central Yangtze River and its tributary, the Hanshui River in Wuhan. The sum concentrations of FPs (ΣFPs) in the tap water in China ranged from not detected (ND) to 5.07 (median: 0.03 ng/L), with FP found in 55.3% of the samples, and other targets ≤ 50.0%. Significant regional variations in the ΣFPs values were found between East China (75th percentile: 0.31 ng/L) and Northwest China (0.04), as well as between East China and North China (0.04). Similar ΣFPs values were found for ground water and tap water. The estimated daily intake of ΣFPs via water ingestion was below 200 pg/kg-bw/day for all age groups and was lower than the reference dose for FP (0.2 μg/kg-bw/day). Additionally, FPs were found in all of the source water samples collected in Wuhan with concentrations in the range of 0.84-2.72 ng/L for ΣFPs (median: 2.39). Most of these FPs were removed during water treatment. Higher concentration of ΣFPs in tap water was observed in July (median: 0.04 ng/L) compared to that in October (ND). This is the first study on the occurrence of FPs in the Yangtze River, the fate of FPs during the tap water treatment, and the regional distribution of FPs in tap water from China.Copyright © 2020 Elsevier Ltd. All rights reserved.  KEYWORDS:  MeSH Chemical: Drinking Water| Insecticides| Pyrazoles| Water Pollutants, Chemical| fipronil MeSH: | China| Drinking Water/analysis/chemistry| Environmental Monitoring| Groundwater| Insecticides| Pyrazoles/majr/analysis| Rivers| Water Pollutants, Chemical/majr/analysis| Water Purification/majr/methods Other:Contamination|Fipronil|Insecticide|Removal|Yangtze river</t>
  </si>
  <si>
    <t>Honeybee gut microbiota dysbiosis in pesticide/parasite co-exposures is mainly induced by Nosema ceranae.    ABSTRACT:  Honeybees ensure a key ecosystem service by pollinating many agricultural crops and wild plants. However, in the past few decades, managed bee colonies have been declining in Europe and North America. Researchers have emphasized both parasites and pesticides as the most important factors. Infection by the parasite Nosema ceranae and exposure to pesticides can contribute to gut dysbiosis, impacting the honeybee physiology. Here, we examined and quantified the effects of N. ceranae, the neonicotinoid thiamethoxam, the phenylpyrazole fipronil and the carboxamide boscalid, alone and in combination, on the honeybee gut microbiota. Chronic exposures to fipronil and thiamethoxam alone or combined with N. ceranae infection significantly decreased honeybee survival whereas the fungicide boscalid had no effect on uninfected bees. Interestingly, increased mortality was observed in N. ceranae-infected bees after exposure to boscalid, with synergistic negative effects. Regarding gut microbiota composition, co-exposure to the parasite and each pesticide led to decreased abundance of Alphaproteobacteria, and increased abundance of Gammaproteobacteria. The parasite also induced an increase of bacterial alpha-diversity (species richness). Our findings demonstrated that exposure of honeybees to N. ceranae and/or pesticides play a significant role in colony health and is associated with the establishment of a dysbiotic gut microbiota.Copyright © 2020 Elsevier Inc. All rights reserved.  KEYWORDS:  MeSH Chemical: Biphenyl Compounds| Fungicides, Industrial| Insecticides| Pyrazoles| Niacinamide| 2-chloro-N-(4-chlorobiphenyl-2-yl)nicotinamide| Thiamethoxam| fipronil MeSH: | Animals| Bees/majr/drug effects/microbiology| Biphenyl Compounds/adverse effects| Fungicides, Industrial/majr/adverse effects| Gastrointestinal Microbiome/majr/physiology| Insecticides/majr/adverse effects| Niacinamide/adverse effects/analogs &amp; derivatives| Nosema/majr/physiology| Pyrazoles/adverse effects| Thiamethoxam/adverse effects Other:Gut|Honeybee|Microbiome|Nosema|Pesticide</t>
  </si>
  <si>
    <t>The pesticide fipronil injected into the substantia nigra of male rats decreases striatal dopamine content: A neurochemical, immunohistochemical and behavioral study.    ABSTRACT:  Experimental evidence shows that the phenylpyrazole pesticide fipronil exerts neurotoxic effects at central level in rodents, and in particular on nigrostriatal dopaminergic neurons, whose degeneration is well known to cause motor and non-motor deficits in animals and in humans. In order to characterize better the central neurotoxic effect of fipronil, we injected fipronil (15 and 25 μg) dissolved in dimethyl sulfoxide (DMSO) unilaterally into the substantia nigra of male rats. Male rats injected with DMSO unilaterally into the substantia nigra were used as controls. Control and fipronil-treated rats were then tested in different motor (i.e., open field arena, rotarod, tail flick) and non motor tests (novel object recognition, social interaction) 15 days after injection. A systemic challenge dose of the dopamine-agonist apomorphine was also used to study the presence of a rotational behavior. Sixteen days after fipronil or DMSO injection into the substantia nigra, rats were sacrificed, and either striatal dopamine content or substantia nigra tyrosine hydroxylase (TH) immunoreactivity were measured. The results confirm that the unilateral injection of fipronil into the substantia nigra caused the degeneration of nigrostriatal dopaminergic neurons, which leads to a decrease around 50 % in striatal dopamine content and substantia nigra TH imunoreactivity. This occurred together with changes in motor activity and coordination, and in nociception but not in recognition memory and in social interaction, as revealed by the results of the behavioral experiments performed in fipronil-treated rats compared to vehicle-treated rats 15 days after treatment, as found with other compounds that destroy nigrostriatal dopaminergic neurons.Copyright © 2020 Elsevier B.V. All rights reserved.  KEYWORDS:  MeSH Chemical: Dopamine Agonists| Insecticides| Pyrazoles| Tyrosine 3-Monooxygenase| Apomorphine| fipronil| Dopamine MeSH: | Animals| Apomorphine/pharmacology| Corpus Striatum/majr/drug effects/metabolism| Dopamine/majr/metabolism| Dopamine Agonists/pharmacology| Immunohistochemistry| Insecticides/majr/toxicity| Locomotion/drug effects| Male| Motor Activity/majr/drug effects| Nociception/majr/drug effects| Open Field Test| Pyrazoles/majr/toxicity| Rats| Recognition, Psychology/drug effects| Rotarod Performance Test| Social Interaction/drug effects| Substantia Nigra/majr/drug effects/metabolism| Tyrosine 3-Monooxygenase/majr/drug effects/metabolism Other:Dopamine|Fipronil|Motor activity|Nociception|Novel object recognition|Social interaction</t>
  </si>
  <si>
    <t>Visceral leishmaniasis on the Indian Subcontinent: Efficacy of fipronil-based cattle treatment in controlling sand fly populations is dependent on specific aspects of sand fly ecology.    ABSTRACT:  Visceral leishmaniasis (VL) is a deadly disease transmitted by the sand fly Phlebotomus argentipes on the Indian subcontinent, with a promising means of vector control being orally treating cattle with fipronil-based drugs. While prior research investigating the dynamic relationship between timing of fipronil-based control schemes and the seasonality of sand flies provides insights into potential of treatment on a large scale, ecological uncertainties remain. We investigated how uncertainties associated with sand fly ecology might affect our ability to assess efficacy of fipronil-based control schemes. To do this, we used a previously-described, individual-based, stochastic sand fly model to quantify how uncertainties associated with 1) the percentage of female sand flies taking blood meals from cattle, and 2) the percentage of female sand flies ovipositing in organic matter containing feces from treated cattle might impact the efficacy of fipronil-based sand fly control schemes.Assuming no prior knowledge of sand fly blood meal and oviposition sites, the probabilities of achieving effective sand fly population reduction with treatments performed 3, 6 and 12 times per year were ≈5-22%, ≈27-36%, and ≈46-54%, respectively. Assuming ≥50% of sand flies feed on cattle, probabilities of achieving efficacious control increased to ≈8-31%, ≈15-42%, and ≈52-65%. Assuming also that ≥50% of sand flies oviposit in cattle feces, the above probabilities increased further to ≈14-53%, ≈31-81%, and ≈89-97%.Our assessments of the efficacy of fipronil-based cattle treatments in controlling sand fly populations depend on our assumptions regarding key aspects of sand fly ecology. Assessments are most sensitive to assumptions concerning the percentage of sand flies ovipositing in feces of treated cattle, thus emphasizing the importance of identifying sand fly oviposition sites. Our results place the evaluation of fipronil-based cattle treatment within a broader ecological context, which could aid in the planning and execution of a largescale field trial.  KEYWORDS:  MeSH Chemical: Insecticides| Pyrazoles| fipronil MeSH: | Administration, Oral| Animals| Cattle| Cattle Diseases/majr/epidemiology/prevention &amp; control| Computer Simulation| Ecosystem| India| Insect Bites and Stings/prevention &amp; control| Insect Control/majr/methods| Insecticides/pharmacology| Leishmaniasis, Visceral/majr/epidemiology/prevention &amp; control| Models, Biological| Psychodidae/majr/drug effects| Pyrazoles/majr/administration &amp; dosage/pharmacology| Uncertainty</t>
  </si>
  <si>
    <t>Modification of the head proteome of nurse honeybees (Apis mellifera) exposed to field-relevant doses of pesticides.    ABSTRACT:  Understanding the effect of pesticides on the survival of honeybee colonies is important because these pollinators are reportedly declining globally. In the present study, we examined the changes in the head proteome of nurse honeybees exposed to individual and combined pesticides (the fungicide pyraclostrobin and the insecticide fipronil) at field-relevant doses (850 and 2.5 ppb, respectively). The head proteomes of bees exposed to pesticides were compared with those of bees that were not exposed, and proteins with differences in expression were identified by mass spectrometry. The exposure of nurse bees to pesticides reduced the expression of four of the major royal jelly proteins (MRJP1, MRJP2, MRJP4, and MRJP5) and also several proteins associated with carbohydrate metabolism and energy synthesis, the antioxidant system, detoxification, biosynthesis, amino acid metabolism, transcription and translation, protein folding and binding, olfaction, and learning and memory. Overall, when pyraclostrobin and fipronil were combined, the changes in protein expression were exacerbated. Our results demonstrate that vital proteins and metabolic processes are impaired in nurse honeybees exposed to pesticides in doses close to those experienced by these insects in the field, increasing their susceptibility to stressors and affecting the nutrition and maintenance of both managed and natural colonies.  KEYWORDS:  MeSH Chemical: Fatty Acids| Fungicides, Industrial| Insect Proteins| Insecticides| Pesticides| Proteome| Pyrazoles| Strobilurins| pyrachlostrobin| royal jelly| fipronil MeSH: | Animals| Bees/majr/drug effects/metabolism| Conservation of Natural Resources/methods| Fatty Acids/metabolism| Fungicides, Industrial/adverse effects| Insect Proteins/metabolism| Insecticides/adverse effects| Pesticides/majr/adverse effects| Proteome/majr/drug effects/metabolism| Proteomics/methods| Pyrazoles/adverse effects| Strobilurins/adverse effects</t>
  </si>
  <si>
    <t>One pot solvothermal synthesis of novel fluorescent phloem-mobile phenylpyrazole amide pesticides fused olefin moieties to enhance insecticidal bioactivities and photodegradation properties.    ABSTRACT:  In order to find a novel type of fluorescent phloem-mobile insecticides, a facile one-pot solvothermal strategy via fipronil addition-elimination substitution reaction with the corresponding acyl chloride derivatives has been employed to construct series of phenylpyrazole amide derivatives (PAs) fused olefin moieties in high yields. The investigation for insecticidal bioactivities of PAs against 3rd instar larvae of Plutella xylostella exhibited better activities than that of fipronil, which can be elucidated by enhanced phloem mobility and calcium ions' coordination with amide N-C=O, CC double bonds and chloride ions, extended conjugate moieties and decreasing steric hindrance of the stereoscopic structure. The introduction of amide units conferred phloem mobility to PAs, which was evaluated by the hydrophobic parameters determined with reversed-phase HPLC through the chromatographic capacity factor. By introducing conjugate moieties and organic chromophore into phenylpyrazole parent structure to increase their conjugation degree and light absorption abilities, PAs exhibited good photodegradation properties. The relationships between extended conjugate moieties of parent structure, electronegativity of substituted groups and photodegradation properties have been discussed. The olefin units connected to PAs caused electronic absorption and fluorescent wavelengths bathochromic shifted. Under simulated solar irradiation, PAs can be reconverted into fipronil parent fragments by photodegradation, thereby enhancing their insecticidal activity. The fluorescent quantum yields of PAs were almost 4 times that of fipronil, which also laid a foundation for the natural degradation and fluorescence detection of insecticide residues.Copyright © 2019 Elsevier Inc. All rights reserved.  KEYWORDS:  MeSH Chemical: Alkenes| Amides| Insecticides| Pesticides MeSH: | Alkenes| Amides| Animals| Insecticides/majr| Pesticides/majr| Phloem| Photolysis Other:Fluorescent pesticides|Insecticidal bioactivities|One pot solvothermal|Phenylpyrazole amide derivatives|Phloem mobility|Photodegradation properties</t>
  </si>
  <si>
    <t>Changes in insecticide resistance and host range performance of planthoppers artificially selected to feed on resistant rice.    ABSTRACT:  Host plant resistance has received considerable attention for the management of insect herbivores on crop plants. However, resistance is threatened by the rapid adaptation of target herbivores towards virulence (the ability to survive, develop and damage a host with major resistance genes). This study examines the potential costs and benefits of adaptation for virulence in herbivores. We continuously reared planthoppers, Nilaparvata lugens, on two susceptible and three resistant rice, Oryza sativa, varieties for 20 + generations. We then assessed the performance of selected planthoppers across a range of rice lines with distinct resistance genes. We found that planthoppers with long-term exposure to resistant hosts (particularly IR62 with the Bph3(t) and BPH32 gene loci, and PTB33 with the Bph3(t), BPH32 and BPH26 gene loci) gained virulence against related varieties with the same and different resistance genes, but planthoppers adapted to the resistant host IR65482-4-136-2-2 (BPH10 locus) had reduced performance on phylogenetically distant plants with distinct resistant genes. In choice bioassays, avirulent planthoppers showed marked preferences for susceptible lines, whereas virulent planthoppers were less selective of varieties. We also examined whether virulence was associated with insecticide susceptibility. We tested susceptibility to three insecticides using a topical application method. Populations selectively reared on IR65482-4-136-2-2 had increased susceptibility to imidacloprid and fipronil, representing a possible trade-off with virulence. In contrast, a population with virulence to the highly resistant variety PTB33 was 4.88 × more resistant to imidacloprid and 3.18 × more resistant to BPMC compared to planthoppers of the same origin but reared on the susceptible variety IR22. Our results suggest complex relations between insecticide resistance and virulence that vary according to insecticidal toxins and resistance genes, and include potentially increased insecticide-susceptibility (a trade-off) as well as common detoxification mechanisms (a benefit).© 2019 The Authors.  KEYWORDS:  Other:BPH32|Bph3(t) gene|Fipronil|Host plant resistance|Imidacloprid|Insecticide resistance|Nilaparvata lugens|brown planthopper</t>
  </si>
  <si>
    <t>Oxidative stress, hematological and biochemical alterations induced by sub-acute exposure to fipronil (COACH®) in albino mice and ameliorative effect of selenium plus vitamin E.    ABSTRACT:  Fipronil (FIP) is a highly effective, broad-use insecticide that belongs to the phenylpyrazole chemical group. It is extensively used in the agriculture and veterinary medicine for controlling a wide variety of pests. Though FIP showed lower toxicity in vertebrates than in insects, it was recognized to have a variety of toxic effects in mammals. The present study was undertaken to evaluate FIP-induced alterations in the blood biochemical markers and oxidative stress parameters in male albino mice via oral sub-acute toxicity exposure. The possible ameliorative effect of the pretreatment with selenium plus α-tocopherol (vitamin E) against the harmful effects of FIP was also investigated. Mice in FIP-test groups were exposed to different sublethal doses, i.e., 1.43, 2.87, and 4.78 mg active ingredient (AI)/kg body weight (b.w.), equal to 1/100, 1/50, and 1/30 LD50 of FIP, respectively, for 28 days. Mice in the amelioration groups were orally administered with selenium + vitamin E (0.3 mg + 22.5 mg/kg b.w., respectively) 14 days prior to exposure to the higher dose (4.78 mg/kg) of FIP for another 14 days. Fipronil exposure at medium and high doses showed lowered values of red blood cell count (RBC), hematocrit (HCT), hemoglobin (HGB), white blood cell (WBC), and platelet (PLT) counts after 28-day exposure, compared to the control. All three doses caused significant increases in levels of liver-function biomarkers, i.e., aspartate amino transaminase (AST), alanine amino transaminase (ALT), alkaline phosphatase (ALP), cholesterol, and bilirubin levels compared to the control. Levels of biomarkers related to kidney functions, i.e., urea, uric acid, and creatinine, increased significantly than these of the control. Likewise, the oxidative stress indices, i.e., hydrogen peroxide (H2O2) and malondialdehyde (MDA), significantly increased at the higher and medium doses, while antioxidant enzymes, catalase (CAT) and superoxide dismutase (SOD), decreased significantly. On the other hand, prior administration of selenium + vitamin E in the FIP-exposed mice led to restore values of most hematological parameters nearly to these of the control. Also, the levels of AST, total protein, and creatinine seemed to be restored to the control values. Interestingly, pretreatment with selenium + vitamin E restored the levels of antioxidant enzymes, CAT and SOD, to the control values, whereas, oxidative stress indices, H2O2 and MDA, remained significantly high. It is our thought that the sublethal dose less than 1.43 mg/kg b.w. of commercial formulation of FIP (COACH® 200 SC) could be considered as no-observed-adverse-effect-level(NOAEL) under our present experimental conditions at short-term toxicity study. On the other hand, the higher sublethal doses, 4.78 and 2.87 mg/kg b.w., induced significant adverse effects in biomarkers and may be deleterious to human health following long-term exposure.  KEYWORDS:  MeSH Chemical: Antioxidants| Pyrazoles| Vitamin E| Hydrogen Peroxide| Selenium| fipronil MeSH: | Animals| Antioxidants| Humans| Hydrogen Peroxide| Lipid Peroxidation| Liver| Male| Mice| Oxidative Stress| Pyrazoles/majr/chemistry| Selenium/majr/chemistry| Vitamin E/chemistry Other:Antioxidant enzymes|Fipronil|Oxidative stress|Selenium plus vitamin E|Serum biochemical parameters|Short-term toxicity study</t>
  </si>
  <si>
    <t>Experimental assessment of permethrin-fipronil combination in preventing Leishmania infantum transmission to dogs under natural exposures.    ABSTRACT:  Canine vector-borne disease transmission can be reduced with regular use of repellent insecticides. The objective of this year-long experimental study was to assess the efficacy of a topical formulation of fipronil/permethrin (Frontline Tri-Act®) in preventing transmission of Leishmania infantum by sandflies. This clinical field trial was conducted in Xanthi (Northern Greece), an area highly endemic for canine leishmaniosis, from April 2018 to March 2019. Forty purpose-bred Beagle dogs, testing negative for L. infantum prior to study initiation, were enrolled in the study, which consisted of three phases: Phase 1 (field exposure phase) took place from Day 0-196. The dogs were randomly allocated to two groups, group 1 (sham-treated topically with sterile water) and group 2 (treated topically with Frontline Tri-Act®). Dogs in both groups were housed in two subunits of an open-air kennel for a period of 7 months, spanning the Leishmania transmission season. All dogs were treated or sham-treated on Days 0, 28, 56, 84, 112, 140 and 168. Clinical examinations, PCR analysis of conjunctival swabs, and serological tests were performed on a monthly basis. Sandflies were collected every 2 weeks, during a 12-h period overnight using light traps. Each collection was placed in a container and kept refrigerated until speciation and PCR analysis could be performed. In the second phase of the study, from Day 197 to 252, the dogs were moved into a protected environment (insect-proof protected environment phase). CDC light traps were activated every 2 weeks inside and outside the kennels to ensure the vector-free status of the facility. Monthly clinical examinations, including PCR analysis of conjunctival swabs, and serological tests continued. At the end of the phase 2, bone marrow samples were collected on all dogs. Phase 3 (the final post-winter check) took place from Day 253 to 350. Dogs were released and adopted by individual private owners on Day 253. Follow up analyses included blood collection for SNAP tests and conjunctival swaps for PCR analysis on Days 304 and 350. Additionally, bone marrow collections were also performed on Day 350. Presence of sandflies was observed only in the phase 1 exposure period, and 1714 sandflies were collected (1427 females and 287 males). Two species were identified, Phlebotomus perniciosus var. tobbi and Phlebotomus neglectus. Out of the 62 pooled samples of sandflies assessed by PCR, three were considered positive (4.8 %). By the end of the study, 35 % of the Group 1 dogs (7/20) became positive based on PCR (conjunctival swab and bone marrow) and 30 % (6/20) based on SNAP/IFAT and ELISA tests, while all the dogs in the Frontline Tri-Act® treated group 2 remained negative for all tests (G1 vs G2, p=0.008). All tests identified the same positive animals, and PCR allowed the detection of one additional infected dog. This clinical field trial demonstrated that monthly administration of Frontline Tri-Act® to dogs exposed to Leishsmania infection in a high endemic area provided 100 % preventive efficacy against transmission of L. infantum.Copyright © 2020 The Authors. Published by Elsevier B.V. All rights reserved.  KEYWORDS:  Other:Controlled study|Leishmania infantum|Permethrin|Prevention|Topical insecticide</t>
  </si>
  <si>
    <t>Efficacy of a topical combination of eprinomectin, praziquantel, fipronil and (S)-methoprene against developing and adult Troglostrongylus brevior lungworms (Nematoda, Crenosomatidae) in cats.    ABSTRACT:  The efficacy of the eprinomectin, praziquantel, fipronil and (S)-methoprene combination parasiticide Broadline® (Boehringer Ingelheim Animal Health) was evaluated against developing larval and adult stages of Troglostrongylus brevior, a metastrongyloid pulmonary nematode which is reported to parasitize domestic cats in southern Europe with increasing frequency. Twenty four purpose-bred cats were experimentally infected with 100 third-stage T. brevior larvae each and randomly allocated to either remain untreated (control) or to be treated with the combination product when T. brevior were developing larval (6 days post inoculation, dpi) or adult nematodes (28 dpi) (eight cats per group). Treatments were administered topically at the minimum label dose of 0.12mL/kg. Fecal samples of the cats were examined to confirm the presence of patent (adult) nematode infections prior to treatment at 28 dpi and to monitor the larval excretion. At necropsy (49 dpi), the weight of the pulmonary lymph nodes and lungs were determined, and T. brevior lungworms were recovered and counted. All control animals and cats to be treated at 28 dpi excreted T. brevior larvae 24 dpi and 26 dpi while no larvae were excreted by the cats treated at 6 dpi. Following treatment at 28 dpi, T. brevior larval excretion decreased immediatetly and ceased prior to necropsy. Nematode counts demonstrated that treatment with the combination product was 100 % efficacious against both developing larval and adult T. brevior: no lungworms were recovered from any treated cat while all control animals harbored T. brevior (range, 6-52) (p&lt;0.001). No treatment-related health problems or any other clinical signs were observed in the cats. However, significantly higher absolute and relative (organ weight to body weight ratio) pulmonary lymph node weights of the control animals compared with the treated cats at 6 dpi (p&lt;0.001 and p&lt;0.001, respectively) and at 28 dpi (p=0.003 and p=0.019, respectively) indicated the pathology of the T. brevior infection. In conclusion, the combination product was demonstrated to be 100 % efficacious against developing larval and adult T. brevior. Furthermore, it was demonstrated that indicators of impaired respiratory and immune systems resultant from T. brevior infection can be prevented with an efficacious treatment when administered during the pre-patent period of infection or are improving substantially within three weeks of treatment of cats harboring adult lungworms.Copyright © 2020 The Authors. Published by Elsevier B.V. All rights reserved.  KEYWORDS:  Other:Cat|Efficacy|Eprinomectin|Lungworm|Pathology|Troglostrongylus brevior</t>
  </si>
  <si>
    <t>Transcriptomic modifications of the thyroid gland upon exposure to phytosanitary-grade fipronil: Evidence for the activation of compensatory pathways.    ABSTRACT:  Fipronil is a phenylpyrazole insecticide used for the control of a variety of pest for domestic, veterinary and agricultural uses. Fipronil exposure is associated to thyroid disruption in the rat. It increases thyroid hormone (TH) hepatic clearance. The effect on thyroxine (T4) clearance is about four fold higher than the effect on T4 plasma concentrations suggesting that the thyroid gland might develop compensatory mechanisms. The aim of this study was to document the potential effects of fipronil treatment on the thyroid transcriptome together with its effects on TSH and TH blood levels under well characterized internal exposure to fipronil and its main metabolite fipronil sulfone. Fipronil (3 mg/kg/d by gavage for 14 days) clearance increased while its half-life decreased (about 10 fold) throughout treatment. Fipronil treatment in adult female rats significantly decreased total T4 and free triiodothyronine (T3) concentrations. Key genes related to thyroid hormone synthesis and/or cellular dynamic were modulated by fipronil exposure. RT-PCR confirmed that thyroglobulin gene expression was upregulated. A trend toward higher Na/I symporter expression was also noted, while sulfotransferase 1a1 gene expression was down-regulated. The expression of genes potentially involved in thyroid cell dynamic were upregulated (e.g. prostaglandin synthase 1, amphiregulin and Rhoa). Our results indicate that both pathways of TH synthesis and thyroid cell dynamics are transcriptional targets of fipronil and/or its main sulfone metabolite. The underlying mechanisms remain to be elucidated.Copyright © 2019 Elsevier Inc. All rights reserved.  KEYWORDS:  MeSH Chemical: Insecticides| Pyrazoles| Thyroid Hormones| Triiodothyronine| Thyrotropin| Thyroxine| fipronil MeSH: | Animals| Female| Insecticides/pharmacology| Pyrazoles/majr/pharmacology| Rats| Rats, Wistar| Thyroid Function Tests/methods| Thyroid Gland/majr/drug effects| Thyroid Hormones/metabolism| Thyrotropin/metabolism| Thyroxine/metabolism| Transcriptome/majr/drug effects| Triiodothyronine/metabolism Other:Endocrine disruptor|Fipronil|Thyroid|Toxicokinetic</t>
  </si>
  <si>
    <t>Synergistic antioxidant effects of resveratrol and curcumin against fipronil-triggered oxidative damage in male albino rats.    ABSTRACT:  Fipronil (FPN), a phenylpyrazole insecticide, has been receiving increased attention owing to its toxicity, which is largely mediated through its effects on antioxidant systems. The present study was undertaken to assess the effects of resveratrol (RSV) and curcumin (CUR) on oxidative damage induced by FPN. Forty mature male Wistar rats were randomized into five groups (n = 8 per group): the first group was the control; the second was administered FPN (10 mg/kg); and the third, fourth, and fifth were co-treated with RSV (10 mg/kg), CUR (200 mg/kg), and their combination, respectively, 2 h prior to FPN administration. All animals were dosed via oral gavage for 4 weeks. FPN significantly (p &lt; 0.05) elevated the sera of alanine aminotransferase (ALT), aspartate aminotransferase (AST), alkaline phosphatase (ALP), lactate dehydrogenase (LDH), γ-glutamyl transferase (GGT), urea, creatinine, and cholesterol levels, whereas serum total protein, albumin, and triglyceride levels were significantly (p &lt; 0.05) decreased, compared to those of the control group. Reduced glutathione (GSH), superoxide dismutase (SOD), glutathione peroxidase (GPx), and catalase (CAT) were decreased (p &lt; 0.05) in the FPN-treated group compared to those in the control group; however, malondialdehyde (MDA) and nitric oxide (NO) levels were markedly increased (p &lt; 0.05) in the hepatic, renal, and brain tissues. Co-treatment with RSV or CUR alleviated (p ˂ 0.05) the increased lipid peroxidation and changes in enzymatic/nonenzymatic antioxidants induced by FPN; all these variables mostly returned to normal levels with the combined of RSV and CUR treatment. In conclusion, RSV and/or CUR relieved and synergistically reversed the FPN-induced tissue oxidative injury, probably by improving the antioxidant defenses via their free radical scavenging and antioxidant characteristics.  KEYWORDS:  MeSH Chemical: Antioxidants| Pyrazoles| Glutathione| Curcumin| Resveratrol| fipronil MeSH: | Animals| Antioxidants/majr/metabolism| Curcumin/majr/metabolism| Drug Synergism| Glutathione| Lipid Peroxidation| Liver| Male| Oxidative Stress/majr/drug effects/physiology| Pyrazoles/majr/toxicity| Rats| Rats, Wistar| Resveratrol/majr/metabolism Other:Curcumin|Fipronil|Liver, kidney, brain|Oxidative damage|Rats|Resveratrol</t>
  </si>
  <si>
    <t>A mixture of fipronil and fungicides induces alterations on behavioral and oxidative stress parameters in zebrafish.    ABSTRACT:  Pesticide commercial mixtures, including the insecticide fipronil and the fungicides pyraclostrobin and methyl-thiophanate, have been used in concomitant pest control, facilitating agricultural management. Their widespread use can lead to soil and water contamination and potentially induce damages in the ecosystem, producing toxic effects in non-target organisms. Despite their toxicological potential, their effects on behavioral and biochemical parameters are not well understood. Here we investigated the effects of the mixture of fipronil and fungicides (MFF) pyraclostrobin and methyl- thiophanate on behavioral and biochemical parameters of oxidative stress in adult zebrafish. Animals exposed to the highest MFF tested concentration showed a decrease in the total distance traveled and in the number of crossings in the different zones of the tank. Furthermore, animals exposed to highest MFF tested concentration spent more time in water surface. In addition, our data showed that the exposure to this preparation promoted a decrease in non-protein thiol content as well as in catalase activity. Finally, pesticide exposure induced an increase in the superoxide dismutase/catalase ratio. Our results indicate that alterations in behavioral and oxidative parameters are involved in MFF toxicity in zebrafish. The antioxidant mechanisms analyzed were altered in concentrations that did not affect zebrafish behavior. Therefore, the assessment of oxidative stress parameters in zebrafish brains could be very useful to detect the early effects of environmental exposure to the MFF.  KEYWORDS:  MeSH Chemical: Antioxidants| Fungicides, Industrial| Pyrazoles| Water Pollutants, Chemical| fipronil MeSH: | Animals| Antioxidants| Behavior, Animal/physiology| Fungicides, Industrial| Oxidative Stress/physiology| Pyrazoles/majr/toxicity| Water Pollutants, Chemical/toxicity| Zebrafish/majr/physiology Other:Antioxidant system|Behavior|Methyl-thiophanate|Non-target organisms|Pesticide|Pyraclostrobin</t>
  </si>
  <si>
    <t>Controlling invasive Argentine ants, Linepithema humile, in conservation areas using horizontal insecticide transfer.    ABSTRACT:  Invasive ants are major agricultural and urban pests and a significant concern in conservation areas. Despite long history of control and eradication efforts, invasive ants continue to spread around the globe driven by a multitude of synergistic factors. Lack of effective management tools is one of the biggest challenges in controlling invasive ants. The goal of the current study was to improve the efficacy and safety of ant management and to develop effective control strategies for sensitive conservation areas. We utilized the Argentine ant (Linepithema humile) as a model system to evaluate a target-specific pesticide delivery system that exploits the interconnected nature of social insect colonies to distribute a toxicant effectively within the colony. The approach, based entirely on horizontal transfer, takes advantage of various levels of social interactions in ant colonies to disseminate a toxicant throughout the colony. Results of laboratory studies coupled with LC/MS/MS analysis demonstrate that fipronil is toxic to Argentine ants in extremely small (nanogram) quantities and is efficiently transferred from a single treated donor to multiple recipients, causing significant secondary mortality. A field study was conducted in native fynbos plots invaded by Argentine ants. The study consisted of collecting naïve workers, treating them with fipronil, and releasing them within invaded plots. Results show that the release of fipronil-treated ants reduced Argentine ant abundance by &gt;90% within 24 h. The horizontal transfer approach offers environmental benefits with regard to pesticide use in ecologically sensitive environments and appears ideally suited for ant management in conservation areas.  KEYWORDS:  MeSH Chemical: Insecticides| Pyrazoles| fipronil MeSH: | Animals| Ants/majr/drug effects| Insect Control/methods| Insecticides/majr/pharmacology| Pyrazoles/pharmacology| Tandem Mass Spectrometry/majr/methods</t>
  </si>
  <si>
    <t>Multibiomarker approach to fipronil exposure in the fish Dicentrarchus labrax under two temperature regimes.    ABSTRACT:  Fipronil is a phenylpyrazole insecticide widely used to control pests in agriculture even though evidence of harmful side effects in non-target species has been reported. A comprehensive study on the effects of dietary administration of Regent®800WG (80 % fipronil) in European sea bass juveniles was carried out under two temperature regimes: a) natural conditions, and b) 3 °C above the natural temperature (an increase predicted for the NW Mediterranean by the end of this century). Fipronil was added to the fish food (10 mg fipronil /Kg feed) and the effects were studied at several time points including right before administration, 7 and 14 days after daily fipronil feed and one-week after the insecticide withdrawal from the diet (depuration period). A wide array of physiological and metabolic biomarkers including feeding rate, general condition indices, plasma and epidermal mucus metabolites, immune response, osmoregulation, detoxification and oxidative-stress markers and digestive enzymes were assessed. General linear models and principal component analyses indicated that regardless of water temperature, fipronil resulted in a significant alteration of several of the above listed biomarkers. Among them, glucose and lactate levels increased in plasma and decreased in epidermal mucus as indicators of a stress response. Similarly, a depletion in catalase activity and higher lipid peroxidation in liver of fipronil-exposed fish were also indicative of an oxidative-stress condition. Fipronil induced a time dependent inhibition of Cytochrome P450-related activities and an increase of phase II glutathione-S-transferase. Moreover, fipronil administration was able to reduce the hypo-osmoregulatory capability as shown by the increase of plasmatic osmolality and altered several digestive enzymes including trypsin, lipase, alpha amylase and maltase. Finally, analyses in bile and muscle confirmed the rapid clearance of fipronil but the persistence of the metabolite fipronil-sulfone in bile even after the 7-day depuration period. Altogether, the results reveal a notable impact of this compound on the physiological condition of the European sea bass. The results should be considered in future environmental risk assessment studies since fipronil could be hazardous to fish species, particularly those inhabiting estuarine ecosystems exposed to the discharge of agriculture runoffs where this pesticide is mainly used.Copyright © 2019 Elsevier B.V. All rights reserved.  KEYWORDS:  MeSH Chemical: Environmental Biomarkers| Pesticides| Pyrazoles| Water Pollutants, Chemical| Glucose| fipronil MeSH: | Animals| Bass/majr/metabolism| Ecosystem| Environmental Biomarkers/majr/drug effects| Glucose/metabolism| Lipid Peroxidation/drug effects| Liver/drug effects/metabolism| Osmoregulation| Oxidation-Reduction| Oxidative Stress/drug effects| Pesticides/majr/toxicity| Pyrazoles/majr/toxicity| Seawater/chemistry| Temperature/majr| Water Pollutants, Chemical/majr/toxicity Other:Biomarkers|CYP metabolism|Climate change|Fipronil|Oxidative stress|Sea bass</t>
  </si>
  <si>
    <t>House fly resistance to chlorantraniliprole: cross resistance patterns, stability and associated fitness costs.    ABSTRACT:  The house fly, Musca domestica L. (Diptera: Muscidae) is an important public health pest that serves as a carrier for pathogens transmitting various diseases of man and animals. It is well known for rapid resistance development to insecticides applied for its chemical control. Chlorantraniliprole, an anthranilic diamide, a ryanodine receptor agonist, is a promising agent for the integrated pest management of various insect pests. To design a retrospective resistance management strategy, life history traits of the chlorantraniliprole laboratory-selected (CTPR-SEL) and unselected counterpart (UNSEL) sub-populations of a field strain and their reciprocal crosses were studied.After eight generations of consecutive selection with chlorantraniliprole, a 750-fold resistance level when compared to a susceptible strain and a 124-fold resistance level when compared to the UNSEL strain had developed in CTPR-SEL. Very low cross resistance to bifenthrin but no cross resistance to spinosad and fipronil was observed in the CTPR-SEL strain. Results of the fitness traits suggest that the CTPR-SEL has a lower relative fitness (0.34), reduced fecundity, a decrease in eggs hatchability, lower biotic potential and net reproductive rate as compared to the UNSEL strain. Interestingly, chlorantraniliprole resistance was unstable in the CTPR-SEL.Fitness costs associated with chlorantraniliprole resistance suggest that the efficacy of this insecticide could be preserved for a prolonged duration of time by alternating its use with insecticides having dissimilar modes of action and no cross resistance. When cross-resistance is absent, a sequence of two insecticides is expected to be more durable than a mixture unless the population's h2 of resistance to the mixture is less than half of the mean of the population's h2 of resistance to the two individual components of the mixture. Unstable chlorantraniliprole resistance could also help to sustain its efficacy by being withdrawn from usage for some period of time. © 2019 Society of Chemical Industry.© 2019 Society of Chemical Industry.  KEYWORDS:  MeSH Chemical: Insecticides| ortho-Aminobenzoates| chlorantranilipole MeSH: | Animals| Houseflies/majr| Insecticide Resistance| Insecticides| Retrospective Studies| ortho-Aminobenzoates Other:biotic potential|cross resistance|fitness cost|insecticide resistance|relative fitness</t>
  </si>
  <si>
    <t>Simultaneous determination of eight neonicotinoid insecticides, fipronil and its three transformation products in sediments by continuous solvent extraction coupled with liquid chromatography-tandem mass spectrometry.    ABSTRACT:  Neonicotinoids (NEOs) and fipronil (FIP) are insecticides that are widely used in modern agriculture and have received considerable attention in recent years due to their adverse effects on non-target organisms in the environment. In the present study, a new method to simultaneously detect eight common NEO insecticides and FIP and its three transformation products (FIPs) in sediments was developed using high-performance liquid chromatography-tandem mass spectrometry (HPLC-MS/MS) based on a combined pretreatment of continuous solvent extraction (CSE) and solid phase extraction (SPE). Under optimized conditions, 5.0 g of freeze-dried sediment samples were initially extracted with methanol (20 mL)-methanol (15 mL)-water (20 mL) in sequence, and then the extract was cleaned with hydrophilic-lypophilic balance SPE cartridges, and HPLC-MS/MS analysis was conducted. The established method was validated to be sensitive, linear, accurate, and precise. The limits of detection (LOD) and limits of quantification (LOQ) of target compounds were 0.012-0.055 μg/kg d.w and 0.031-0.091 μg/kg d.w, respectively. Good linearity (R2 &gt; 0.990) was observed between 4.0 × 10-2 and 20.0 μg/kg d.w. The recovery rates of all target insecticides were between 75.5% and 98.5%, and the relative standard deviations (RSD) were all less than 15.0% at the low, medium, and high spiked levels. Finally, the optimized method was applied to analyze 12 target insecticides in the sediments obtained from Jiaozhou Bay of China and its main inflow rivers. Acetamiprid, thiamethoxam, fipronil sulfide, and fipronil sulfone were detected in the river sediment samples at the concentration from &lt;LOQ to 0.197 μg/kg d.w. Thus, the two types of studied insecticides can enter the sedimentary environment. Overall, the proposed method can be used to investigate the contamination status of typical NEOs and FIP insecticides in sediments and provide base data to comprehensively understand their environmental behavior, safety, and fate.Copyright © 2019 Elsevier Inc. All rights reserved.  KEYWORDS:  MeSH Chemical: Insecticides| Neonicotinoids| Pyrazoles| Water Pollutants, Chemical| fipronil MeSH: | China| Chromatography, High Pressure Liquid/methods| Environmental Monitoring/methods| Geologic Sediments/majr/chemistry| Insecticides/majr/analysis/chemistry| Limit of Detection| Neonicotinoids/majr/analysis/chemistry| Pyrazoles/analysis/chemistry| Rivers/chemistry| Solid Phase Extraction/methods| Tandem Mass Spectrometry/methods| Water Pollutants, Chemical/majr/analysis/chemistry Other:Fipronil and its three transformation products|HPLC-MS/MS|Neonicotinoids|Sediment</t>
  </si>
  <si>
    <t>[The status and health risk assessment of dietary fipronil contamination among 20 provinces of China].    ABSTRACT:  Objective: To understand the status and health risk assessment of dietary fipronil contamination among 20 provinces of China. Methods: A total of 13 kinds of dietary samples in Chinese total diet study include cereals, legumes, potatoes, meats, eggs, aquatics, dairies, vegetables, fruits, sugars, beverages and water, alcohols, condiments and their corresponding products. Among them, condiments were used in the preparation of 12 other sample categories; thus, the actual mixed dietary samples of each province covered 12 groups. A total of 240 mixed dietary samples were collected from 20 provinces in China from 2009 to 2013. After the sample extraction and cleanup, dietary samples were analyzed for the residues of fipronil and its metabolites to obtain the contamination levels of fipronil residues using liquid chromatography-high resolution mass spectrometry. The dietary intake of adult residents was estimated based on food consumption of general population of China. Results: Among the 240 dietary samples, the detection rate of fipronil was 10.4% (25 samples), and the detection rates of fipronil metabolites, i.e. fipronil desulfinyl, fipronil sulfone and fipronil sulfide were 20.4% (49 samples), 40.0% (96 samples) and 8.8% (21 samples), respectively. According to the dietary exposure analysis, the average lower and upper dietary exposure levels of fipronil residues in adult residents of China were 11.34 and 12.35 ng·kg(-1)·d(-1), accounting for 5.7% and 6.2% of acceptable daily intake (ADI), respectively. The highest adult dietary intake of fipronil residues was found in Hunan province, with a value of 72.98 ng·kg(-1)·d(-1), accounting for 36.5% of ADI. Vegetables were the main dietary source of fipronil residues, which contributed to 71.0% of the total intake dose. Conclusion: Fipronil residues were detected in varying degrees in dietary samples, yet the health risk caused by the dietary intake of adult residents among 20 provinces of China is low.  KEYWORDS:  MeSH Chemical: Environmental Pollutants| Insecticides| Pesticide Residues| Pyrazoles| fipronil MeSH: | Adult| China| Chromatography, Liquid| Diet| Environmental Pollutants/majr/analysis| Food Analysis/majr/methods| Food Contamination/majr/analysis| Gas Chromatography-Mass Spectrometry/majr/methods| Humans| Insecticides/chemistry/metabolism| Pesticide Residues/majr/analysis| Pyrazoles/majr/chemistry/metabolism| Risk Assessment| Vegetables/majr/chemistry Other:Chromatography|Diet surveys|Fipronil|Mass spectrometry|Pesticides</t>
  </si>
  <si>
    <t>Cumulative exposure to organic pollutants of French children assessed by hair analysis.    ABSTRACT:  Children represent one of the most vulnerable parts of the population regarding the effects of pollutants exposure on health. In this study, hair samples were collected between October 2013 and August 2015 from 142 French children originating from different geographical areas (urban and rural) and analysed with a GC/MS-MS method, allowing for the detection of 55 biomarkers for pesticides and metabolites both persistent and non-persistent from different families, including: organochlorines, organophosphates, pyrethroids, azoles, dinitroanilines, oxadiazines, phenylpyrazoles and carboxamidas; 4 polychlorobiphenyls (PCBs) and 5 polybromodiphenylethers (PBDEs). The number of compounds detected in each sample ranged from 9 up to 37 (21 on average), which clearly highlighted the cumulative exposure of the children. The results also showed a wide range of concentration of the pollutants in hair (often more than 100 times higher in the most exposed child compared to the less exposed), suggesting significant disparities in the exposure level, even in children living in the same area. In addition to the detection of currently used chemicals, the presence of persistent organic pollutants (POPs) in children also suggests that the French population is still exposed to POPs nowadays. PCP, DEP, PNP, 3Me4NP, trans-Cl2CA, 3PBA, fipronil and fipronil sulfone, presented statistically significant higher concentration in the hair of boys compared to girls. PCP, PNP and 3Me4NP presented statistically significant higher concentration in younger children. Finally, this study also suggests that local environmental contamination would not be the main source of exposure, and that individual specificities (habits, diet…) would be the main contributors to the exposure to the pollutants analysed here. The present study strongly supports the relevance of hair for the biomonitoring of exposure and provides the first values of organic pollutant concentration in the hair of French children.Copyright © 2019 The Authors. Published by Elsevier Ltd.. All rights reserved.  KEYWORDS:  MeSH Chemical: Biomarkers| Environmental Pollutants| Hydrocarbons, Chlorinated| Pesticides MeSH: | Biomarkers/analysis| Child| Environmental Monitoring| Environmental Pollutants/majr/analysis| Female| France| Hair Analysis/majr| Humans| Hydrocarbons, Chlorinated/majr/analysis| Male| Pesticides/majr/analysis Other:Children|Exposure|Hair analysis|Organic pollutants</t>
  </si>
  <si>
    <t>Thyroxine modulation of immune toxicity induced by mixture pesticides mancozeb and fipronil in mice.    ABSTRACT:  The cross regulation between neuroendocrine system, particularly Hypothalamus-Pituitary-Thyroid (HPT) axis and immune system during embryonic/early neonatal developmental stages shapes the functional attribute of immune response throughout the life. Thus, disruption of immune system was anticipated on exposure to thyroid disrupting pesticides (TDPs) mancozeb (MCZ) and fipronil (FPN) during critical windows of early postnatal days (PND) development.Mice were exposed to MCZ and FPN as individual (0.5% LD 50 each) and as mixtures (0.25% and 0.5% LD 50 each) from PND 31 (initiation phase of immune response) till PND 60 (Maturation phase). Thyroxine (T4) supplementation was given from PND 51 to PND 60. Assessment was done at PND 61 as well as at PND 91 (adults).Plasma level of thyroid hormones (T3 and T4) was reduced but pituitary hormone (TSH) increased till adulthood on exposure to mixture pesticides but not on individual exposure. Mixture pesticides also increased body weight gain and reduced survival rate in adults. Exposure of individual pesticides exert immunotoxicity but more pronounced immune suppression was observed in mixture pesticides exposed group as reflected in reduced relative weight and cellularity in spleen and thymus, reduced in vitro mitogenic (Con A/LPS) response of splenocytes and thymocytes (reduced proliferative index and increased apoptotic/necrotic death). T4 supplementation ameliorated thyroid disruptive and immunotoxic effect of pesticides.The additive/synergistic toxicity as well as hypothyroidism induced by mixture pesticides has produced pronounced immune suppression that reflected till adulthood. Supplementation of T4 prevented thyroid axis disruption mediated immunosuppression.Copyright © 2019 Elsevier Inc. All rights reserved.  KEYWORDS:  MeSH Chemical: Endocrine Disruptors| Fungicides, Industrial| Insecticides| Pesticides| Pyrazoles| Maneb| Thyroxine| fipronil| mancozeb| Zineb MeSH: | Animals| Body Weight| Endocrine Disruptors/majr/toxicity| Female| Fungicides, Industrial/majr/toxicity| Immune System/majr/drug effects| Insecticides/majr/toxicity| Male| Maneb/majr/toxicity| Mice| Organ Size/drug effects| Pesticides/majr/antagonists &amp; inhibitors/toxicity| Pyrazoles/majr/toxicity| Spleen/cytology/drug effects/immunology| Survival Analysis| Thymus Gland/cytology/drug effects/immunology| Thyroxine/majr/metabolism/therapeutic use| Zineb/majr/toxicity Other:Immune modulators|Immune toxicity|Mixture pesticides|Thyroid disruption|Thyroxine</t>
  </si>
  <si>
    <t>A comparison of the efficacy of two commercial acaricides (fipronil and amitraz) with Azadirachta indica (neem) on the brown dog tick (Rhipicephalus sanguineus) from canines in Trinidad.    ABSTRACT:  The brown dog tick (Rhipicephalus sanguineus) is prevalent on canids in Trinidad. It is directly (by causing anaemia) and indirectly (by acting as a vector of tick-borne pathogens) responsible for morbidity and mortalities in the canine population. The most commonly used commercial acaricides available to pet owners in Trinidad are amitraz and fipronil. Often, these acaricides may be abused and misused in a desperate attempt to rid pets of ticks. The objective of this study was to compare the efficacy of amitraz and fipronil with the herbal alternative, neem (Azadirachta indica). Triplicate in vitro trials utilizing the Larval Packet Test (LPT) were conducted using three concentrations (low, recommended and high) of fipronil (0.025%, 0.05% and 0.1%), amitraz (0.01%, 0.02% and 1%), neem oil (10%, 20% and 40%) and neem leaf extract (0.25%, 0.5% and 2%) for each trial. Statistical analysis using the mixed-effect Poisson regression analysis indicated that there was a significant difference (p &lt; .05) in the survival of ticks pre-treatment versus post-treatment with amitraz, fipronil and all controls when compared to the neem oil. Fipronil and amitraz caused ≥99% mortality for all concentrations used in this study. Mortalities for neem oil and neem leaf extract ranged from 72.7% to 82% and 38% to 95.3%, respectively, with the greatest percentage of mortalities occurring at the lower concentrations. Neem oil and neem leaf extract can be used as alternative acaricides, and however, they are less efficacious against the brown dog tick than amitraz and fipronil.© 2019 Blackwell Verlag GmbH.  KEYWORDS:  MeSH Chemical: Acaricides| Glycerides| Plant Extracts| Pyrazoles| Terpenes| Toluidines| amitraz| neem oil| fipronil MeSH: | Acaricides/majr/pharmacology| Animals| Azadirachta/majr/chemistry| Dogs| Female| Geography| Glycerides/majr/pharmacology| Larva| Plant Extracts/chemistry/pharmacology| Plant Leaves/chemistry| Pyrazoles/majr/pharmacology| Rhipicephalus sanguineus/majr/drug effects| Terpenes/majr/pharmacology| Tick Infestations/majr/epidemiology/mortality/parasitology/veterinary| Toluidines/majr/pharmacology| Trinidad and Tobago/epidemiology Other:Rhipicephalus sanguineus|acaricides|amitraz|fipronil|neem|ticks</t>
  </si>
  <si>
    <t>Developmental toxicity of fipronil in early development of zebrafish (Danio rerio) larvae: Disrupted vascular formation with angiogenic failure and inhibited neurogenesis.    ABSTRACT:  Fipronil has been widely used in agriculture to prevent aggressive insects from damaging agricultural products. Fipronil residues circulate in the environment and they have been detected in non-targeted organisms in aquatic environments. To study the effect of fipronil toxicity on environmental health, 6 h post fertilization (hpf) zebrafish embryos were treated with fipronil for 72 h. LC50 value was obtained by applying varying concentrations of fipronil to zebrafish embryos for 72 h. As zebrafish embryos are useful vertebrate models for studying developmental and genetic findings in toxicology research, they were exposed to fipronil to study detailed elucidating mechanisms with hazardous end points of toxicity. Cell cycle arrest-related apoptosis supported pathological alterations, such as increased mortality, shortened body length, and reduced hatchability. Furthermore, observed heart defects, including edema and irregular heartbeat were caused due to abnormal blood circulation. In transgenic zebrafish models (fli1:eGFP and olig2:dsRED), disrupted blood vessel formations were indicated by eGFP+ endothelial cells. Moreover, neurogenic defects were observed by studying dsRED+ motor neurons and oligodendrocytes. This study demonstrates fipronil accumulation in aquatic environment and its ability to impair essential processes, such as angiogenesis and neurogenesis during early developmental stage of zebrafish, along with general developmental toxicity.Copyright © 2019 Elsevier B.V. All rights reserved.  KEYWORDS:  MeSH Chemical: Angiogenesis Inhibitors| Insecticides| Pyrazoles| Water Pollutants, Chemical| fipronil MeSH: | Angiogenesis Inhibitors/majr/toxicity| Animals| Animals, Genetically Modified| Apoptosis/drug effects| Cell Proliferation/drug effects| Embryo, Nonmammalian/drug effects| Embryonic Development/majr/drug effects| Insecticides/majr/toxicity| Neurogenesis/majr/drug effects| Pyrazoles/majr/toxicity| Water Pollutants, Chemical/majr/toxicity| Zebrafish/embryology Other:Cardiac failure|Developmental toxicity|Embryogenesis|Fipronil|Neuronal defect</t>
  </si>
  <si>
    <t>Residual Effects of Termiticides on Mortality of Formosan Subterranean Termite (Isoptera: Rhinotermitidae) on Substrates Subjected to Flooding.    ABSTRACT:  Concerns on efficacies of termiticides used for soil treatment to prevent Formosan subterranean termite (Coptotermes formosanus Shiraki) infestations have prompted pest control companies to suggest that retreatments are necessary after flooding of homes. Therefore, to address concerns about the efficacy of termiticides after flooding, we designed a flooding simulation experiment in the laboratory. We used four formulated termiticides containing fipronil, imidacloprid, chlorantraniliprole, or bifenthrin as active ingredients (a.i.) and two colonies of field-collected C. formosanus for this study. Evaluations of each chemical at concentrations of 1, 10, and 25 ppm in both sand and soil were conducted in the laboratory by comparing termite mortalities in no-choice bioassays after exposure to flooded (for 1 wk) and unflooded substrates. Toxicity from bifenthrin and fipronil were not affected by flooding regardless of substrate type except at the lowest concentration tested. Toxicity from chlorantraniliprole was lower in flooded sand at 1 ppm but otherwise similar among flooding treatments. In flooded soil, toxicity from chlorantraniliprole was low at 1 ppm, but unexpectedly high in flooded conditions at 10 and 25 ppm. For all concentrations of imidacloprid-treated sand, mortality of C. formosanus was reduced after a flood. However, like chlorantraniliprole, 10 and 25 ppm of imidacloprid-treated soil in flooded conditions resulted in an increased toxicity on C. formosanus. Our study supports the idea that chemicals with a higher water solubility like imidacloprid may require a home to be retreated with less water-soluble termiticides or baits after a flood.© The Author(s) 2019. Published by Oxford University Press on behalf of Entomological Society of America.  KEYWORDS:  MeSH Chemical: Insecticides| Soil MeSH: | Animals| Floods| Insecticides/majr| Isoptera/majr| Soil Other:bifenthrin|chlorantraniliprole|fipronil|imidacloprid|termiticide efficacy and flooding</t>
  </si>
  <si>
    <t>Multiple pesticides in mothers' hair samples and children's measurements at birth: Results from the French national birth cohort (ELFE).    ABSTRACT:  A growing body of studies now suggests that the general population is continuously and ubiquitously exposed to numerous pesticides. However, studies investigating the possible role of environmental exposure to pesticides on fetal growth have focused on a limited set of substances, despite the hundreds of modern pesticides currently available.To explore the relation between maternal hair concentrations of 64 pesticides and metabolites and their newborns' measurements at birth, with data from the ELFE French nationwide birth cohort.We measured 64 compounds (10-100% detection) in bundles of hair 9 cm long collected at birth from 311 women who gave birth in France in 2011. We assessed their associations with birth weight, length, and head circumference, adjusted for potential confounders, and used elastic net regularization to simultaneously select the strongest predictors of measurements at birth. Selected variables were multiply imputed for missing values, and unpenalized estimators were assessed by standard linear regression.We observed statistically significant associations between maternal hair concentrations of seven pesticides or pesticide metabolites and birth measurements (weight: fipronil sulfone; length: TCPy, bitertanol, DEP, and isoproturon; head circumference: tebuconazole and prochloraz). Analyses restricted to boys identified 12 additional compounds: 8 independently associated with birth weight (3Me4NP, DCPMU, DMST, fipronil, mecoprop, propoxur, fenhexamid, and thiabendazole), 2 with birth length (dieldrin and β-endosulfan), and 6 with head circumference (β-endosulfan, β-HCH, fenuron, DCPMU, propoxur, and thiabendazole).Our results suggest that prenatal exposure to 19 pesticides or metabolites from various chemical families may influence measurements at birth. As with any exploratory research findings, results should be interpreted cautiously, until they are replicated or verified by further epidemiological or mechanistic studies.Copyright © 2019 Elsevier GmbH. All rights reserved.  KEYWORDS:  MeSH Chemical: Environmental Pollutants| Pesticides MeSH: | Adult| Birth Weight| Child| Environmental Pollutants/majr/analysis| Female| France| Hair/majr/chemistry| Humans| Infant, Newborn| Male| Maternal Exposure/majr/statistics &amp; numerical data| Pesticides/majr/analysis| Pregnancy Other:Birth weight|Environmental exposure|Fetal development|Maternal exposures|Pesticides</t>
  </si>
  <si>
    <t>Insecticidal and repellent properties of novel trifluoromethylphenyl amides III.    ABSTRACT:  The adulticidal, larvicidal, and repellent activity of 18 trifluoromethylphenyl amides (TFMPAs) was determined against Aedes aegypti mosquitoes. The compounds studied are the third generation designed from active structures of the previous two generations. N-(3,5-Bis(trifluoromethyl)phenyl)-2-chloroacetamide (8f) and N-(3,5-bis(trifluoromethyl)phenyl)-2,2,3,3,3-pentafluoropropanamide (8h) were most active against 1st stage Ae. aegypti larvae with LC50 values of 125 and 2.53 μM; for comparative purposes, the published LC50 for fipronil is 0.014 μM. Compound 8h was the most toxic against adult female Ae. aegypti with an LD50 = 2.12 nmol/mg, followed by 8f, and N-(3,5-bis(trifluoromethyl)phenyl)-2,2,2-trifluoroacetamide (8g) with LD50 values of 4.27 and 4.73 nmol/mg, respectively, although these compounds were significantly less toxic than fipronil against adult female Ae. aegypti. Compounds N-(2-(trifluoromethyl)phenyl)butyramide (9c), N-(2-(trifluoromethyl)phenyl)pentanamide (9d) and N-(2-(trifluoromethyl)phenyl)hex-5-enamide (9e) were the best repellents for female Ae. aegypti, with minimum effective dosages (MEDs) of 0.026, 0.052, and 0.091 μmol/cm2, respectively, compared to DEET at 0.052 μmol/cm2. Out of 52 TFMPAs (total number of compounds from three generations of this research) compound 9c was the most active repellent along with two synthesized in our previous studies, 2-chloro-N-(3-(trifluoromethyl)phenyl)acetamide (6a) and 2,2,2-trifluoro-N-(2-(trifluoromethyl)phenyl)acetamide (4c).Copyright © 2019 Elsevier Inc. All rights reserved.  KEYWORDS:  MeSH Chemical: Amides| Insect Repellents| Insecticides MeSH: | Aedes/majr/drug effects/embryology| Amides/majr/pharmacology| Animals| Biological Assay| Dose-Response Relationship, Drug| Insect Repellents/majr/administration &amp; dosage/chemistry/pharmacology| Insecticides/majr/administration &amp; dosage/chemistry/pharmacology| Larva/drug effects| Structure-Activity Relationship Other:Aedes aegypti|Mosquito|Repellency|Toxicity</t>
  </si>
  <si>
    <t>In vivo investigation of pesticide residues in garlic using solid phase microextraction-gas chromatography-mass spectrometry.    ABSTRACT:  In this study, a novel multiwalled carbon nanotubes/polyaniline-polypyrrole@polydimethylsiloxane (MWCNTs/PANI-PPy@PDMS) fiber was prepared by a facile electrodeposition strategy followed by polymer surface modification, and used as the sorbent of in vivo solid phase microextraction (in vivo SPME). The custom-made fiber exhibits better enrichment capacity than three commercial SPME fibers. Ultra-high enrichment factor (438-2659), satisfactory thermal and mechanical stability, excellent matrix-compatibility and anti-biofouling ability render the fiber attractive as in vivo sampling probe. Combining in vivo SPME with gas chromatography-mass spectrometry (GC-MS), a convenient and sensitive method was successfully developed for the rapid determination of pesticides (hexachlorobenzene, chlorothalonil, fipronil, chlorfenapyr) in garlic. Under the optimal conditions, the proposed method displays relatively wide linear range (three or four orders of magnitude) with a coefficient of determination above 0.9944 both in the standard solution and spiked homogenized garlic samples, respectively. Low detection limits from 0.38 to 1.90 ng g-1 were obtained in homogenized garlic samples. Relative standard deviations (RSDs) less than 15.5% and recovery between 84.0% and 108.2% indicate satisfactory precision and accuracy of the method. In summary, a promising non-lethal method based on in vivo SPME-GC-MS is developed in this study, which provides a green, efficient, economic and rapid strategy for the determination of trace pesticide residues in edible plants.Copyright © 2019 Elsevier B.V. All rights reserved.  KEYWORDS:  MeSH Chemical: Aniline Compounds| Dimethylpolysiloxanes| Nanotubes, Carbon| Nitriles| Pesticide Residues| Polymers| Pyrazoles| Pyrethrins| Pyrroles| polyaniline| polypyrrole| Hexachlorobenzene| baysilon| tetrachloroisophthalonitrile| chlorfenapyr| fipronil MeSH: | Adsorption| Aniline Compounds/chemistry| Dimethylpolysiloxanes/chemistry| Garlic/majr/chemistry| Gas Chromatography-Mass Spectrometry/majr/methods| Hexachlorobenzene/analysis| Limit of Detection| Nanotubes, Carbon/chemistry| Nitriles/analysis| Pesticide Residues/majr/analysis| Polymers/chemistry| Pyrazoles/analysis| Pyrethrins/analysis| Pyrroles/chemistry| Solid Phase Microextraction/majr/methods Other:Gas chromatography-mass spectrometry|In vivo solid phase microextraction|Multi-walled carbon nanotubes|Pesticides|Polydimethylsiloxane</t>
  </si>
  <si>
    <t>Side effects of insecticidal usage in rice farming system on the non-target house fly Musca domestica in Punjab, Pakistan.    ABSTRACT:  Insecticidal usage in the rice farming system may affect non-target insect species present in the same fields. Musca domestica, a well-known pest of medical and veterinary importance worldwide, is one of the important non-target insect species present in the rice farming system. In this study, five strains of M. domestica were exclusively collected from rice fields in major rice cultivated areas of Punjab, Pakistan, and evaluated for the presence of insecticide resistance against nine commonly used insecticides in the rice farming system. Moreover, the performance of life-history traits was also studied. Compared with a Lab-susceptible reference strain of M. domestica, all the field strains exhibited moderate levels of resistance to carbofuran (RRs = 27.96-46.00 fold) and cartap hydrochloride (RRs = 31.48-48.21 fold), low to moderate levels of resistance to gamma-cyhalothrin (RRs = 19.00-43.00 fold), chlorantraniliprole (RRs = 11.90-27.10 fold), monomehypo (RRs = 14.38-25.84 fold), and fipronil (RRs = 13.23-40.15 fold), low levels of resistance to triazophos (RRs = 11.13-19.83 fold), and very low to low levels of resistance (RRs = 7.83-13.28 fold) to flonicamid. The performance of life-history traits (developmental time, adult eclosion rate, fecundity, egg hatch rate, and longevity of adults) of field strains was weaker as compared with that of the Lab-susceptible strain. These results contribute to the growing knowledge on the effects of insecticidal usage in agriculture on non-target invertebrates, and necessitate the need to explore alternate insecticides that can effectively control insect pests but safe for non-target organisms.Copyright © 2019 Elsevier Ltd. All rights reserved.  KEYWORDS:  MeSH Chemical: Insecticides| Nitriles| Organothiophosphates| Pyrazoles| Pyrethrins| Triazoles| triazophos| fipronil| cyhalothrin MeSH: | Agriculture/majr/methods| Animals| Houseflies/majr/drug effects| Insecticide Resistance/drug effects| Insecticides/majr/pharmacology| Nitriles/pharmacology| Organothiophosphates/pharmacology| Oryza/majr| Pakistan| Pyrazoles/pharmacology| Pyrethrins/pharmacology| Triazoles/pharmacology Other:Ecotoxicology|Insecticide toxicity|Resistance development</t>
  </si>
  <si>
    <t>Complete removal of endocrine disrupting compound and toxic dye by visible light active porous g-C3N4/H-ZSM-5 nanocomposite.    ABSTRACT:  Photocatalytic degradation of toxic pollutants is an efficient technique to completely remove the toxic pollutants from water bodies. In the present investigation, photocatalytic degradation of pollutants was studied over porous g-C3N4/H-ZSM-5 nanocomposite under visible light irradiation. The composite g-C3N4/H-ZSM-5 was synthesized by mixing an aqueous solution of H-ZSM-5 zeolite (increases surface area and provides active sites for degradation) with melamine (precursor of g-C3N4) for 10-12 h followed by calcinations at 550 °C. The photocatalyst was characterized by XRD, BET, HRTEM, FESEM, EDS and elemental mapping analysis. These techniques confirmed that, g-C3N4/H-ZSM-5 composite have layered and porous structure with uniform distribution of g-C3N4 on H-ZSM-5 surface. The BET N2 adsorption-desorption analysis verified that the catalyst has high surface area (∼175 m2/g) having mesopores and micropores. The prepared catalyst was then used for the photodegradation of a model dye, Methylene Blue (MB) and an endocrine disrupting compound, Fipronil (FIP). Effects of various parameters such as pH, catalyst dose and scavengers were also studied. The % photocatalytic degradation of MB and FIP were around ∼92% and ∼84% with a high rate constants of 0.00997 and 0.00875 min-1, respectively. From the scavenger study, OH (hydroxyl radical) and radical was found to be the major reactive species for MB and FIP degradation. From these studies it is revealed that, the catalyst is visible active, easy to prepare and an efficient photocatalyst for toxic pollutant degradation.Copyright © 2019 Elsevier Ltd. All rights reserved.  KEYWORDS:  MeSH Chemical: Endocrine Disruptors| ZSM-5 zeolite| Zeolites| Methylene Blue MeSH: | Adsorption| Catalysis| Endocrine Disruptors/majr/chemistry/radiation effects| Light/majr| Methylene Blue/chemistry| Microscopy, Electron, Transmission| Nanocomposites/majr/chemistry| Photolysis/majr| Porosity| Zeolites/majr/chemistry Other:Dye|Fipronil|Photocatalytic degradation|Zeolite|g-C(3)N(4)/H-ZSM-5 nanocomposites</t>
  </si>
  <si>
    <t>Effects of insecticides, fipronil and imidacloprid, on the growth, survival, and behavior of brown shrimp Farfantepenaeus aztecus.    ABSTRACT:  Increased use of pesticide is causing detrimental effects on non-target species worldwide. In this study, we examined the lethal and sub-lethal effects of fipronil and imidacloprid, two commonly used insecticides, on juvenile brown shrimp (Farfantepenaeus aztecus), one of the most commercially and ecologically important species in the United States. The effects of six concentrations of fipronil (0.0, 0.005, 0.01, 0.1, 1.0, and 3.0 μg/L) and six concentrations of imidacloprid (0.0, 0.5, 1.0, 15.0, 34.5, 320.0 μg/L) were tested in a laboratory. We examined five different endpoints: growth, moulting interval, survivorship, behavioral change, and body color change. Growth of shrimp was reduced significantly under higher concentrations of both insecticides. Under fipronil exposure, shrimp in control showed the shortest inter-moult interval (7.57 ± 2.17 day) compared with other treatments; similarly, in the imidacloprid experiment, moulting increased from 8.43 ± 2.52 day in control to 11.95 ± 4.9 day in 0.5 μg/L treatment. Higher concentrations of fipronil (1.0 and 3.0 μg/L) showed a 0.0% survival rate compared with 100% survival in the control and 0.005 μg/L treatment. Under imidacloprid, survivorship decreased from 100% in the control to 33.33% in the 320.0 μg/L treatment. The 96-h LC50 of fipronil was 0.12 μg/L, which makes brown shrimp one of the most sensitive invertebrates to the pesticide. Changes in behavior and body color were observed under both insecticides after different durations of exposures depending on concentrations. We conclude that, at the corresponding EPA benchmark concentrations, fipronil had more lethal effects than imidacloprid, and imidacloprid had more sub-lethal effects than fipronil. Both effects are of serious concern, and we suggest monitoring is necessary in estuaries.  KEYWORDS:  MeSH Chemical: Insecticides| Neonicotinoids| Nitro Compounds| Pyrazoles| imidacloprid| fipronil MeSH: | Animals| Behavior, Animal/majr/drug effects| Insecticides/majr/toxicity| Molting/drug effects| Neonicotinoids/majr/toxicity| Nitro Compounds/majr/toxicity| Penaeidae/majr/growth &amp; development| Pyrazoles/majr/toxicity| Survival Analysis| Water Quality| Weight Gain/drug effects</t>
  </si>
  <si>
    <t>Assessment of fipronil toxicity to the freshwater midge Chironomus riparius: Molecular, biochemical, and organismal responses.    ABSTRACT:  Fipronil is a phenylpyrazole insecticide that entered the market to replace organochlorides and organophosphates. Fipronil impairs the regular inhibition of nerve impulses that ultimately result in paralysis and death of insects. Because of its use as a pest control, and due to runoff events, fipronil has been detected in freshwater systems near agricultural areas, and therefore might represent a threat to non-target aquatic organisms. In this study, the toxicity of fipronil to the freshwater midge Chironomus riparius was investigated at biochemical, molecular, and whole organism (e.g. growth, emergence, and behavior) levels. At the individual level, chronic (28 days) exposure to fipronil resulted in reduced larval growth and emergence with a lowest observed effect concentration (LOEC) of 0.081 μg L-1. Adult weight, which is directly linked to the flying performance and fecundity of midges, was also affected (LOEC = 0.040 μg L-1). Additionally, behavioral changes such as irregular burrowing behavior of C. riparius larvae (EC50 = 0.084 μg L-1) and impairment of adult flying performance were observed. At a biochemical level, acute (48 h) exposure to fipronil increased cellular oxygen consumption (as indicated by the increase of electron transport system (ETS) activity) and decreased antioxidant and detoxification defenses (as suggested by the decrease in catalase (CAT) and glutathione S-transferase (GST) activities). Exposure to fipronil also caused alterations in the fatty acid profile of C. riparius, since high levels of stearidonic acid (SDA) were observed. A comparison between exposed and non-exposed larvae also revealed alterations in the expression of globins, cytoskeleton and motor proteins, and proteins involved in protein biosynthesis. These alterations may aid in the interpretation of potential mechanisms of action that lead to the effects observed at the organism level. Present results show that environmentally relevant concentrations of fipronil are toxic to chironomid populations which call for monitoring of phenylpyrazole insecticides and of their ecological effects in freshwaters. Present results also emphasize the importance of complementing ecotoxicological data with molecular approaches such as proteomics, for a better interpretation of the mode of action of insecticides in aquatic invertebrates.Copyright © 2019 Elsevier B.V. All rights reserved.  KEYWORDS:  MeSH Chemical: Biomarkers| Insecticides| Pyrazoles| Water Pollutants, Chemical| fipronil MeSH: | Animals| Biomarkers/metabolism| Chironomidae/majr/drug effects/genetics/growth &amp; development| Female| Fresh Water/majr| Geologic Sediments/chemistry| Insecticides/toxicity| Larva/drug effects/growth &amp; development| Male| Pyrazoles/majr/toxicity| Water Pollutants, Chemical/toxicity Other:Aquatic insects|Biomarkers|Environmental proteomics|Phenylpyrazole insecticides|Sub-lethal toxicity</t>
  </si>
  <si>
    <t>Immune-protective, antioxidant and relative genes expression impacts of β-glucan against fipronil toxicity in Nile tilapia, Oreochromis niloticus.    ABSTRACT:  Our study is considered to attempt reducing the immune-toxic and antioxidant impacts of exposure to fipronil (FP) on Nile tilapia, Oreochromis niloticus using the β-glucan (βG). Two hundred and seventy fingerlings of Nile tilapia were divided randomly into six groups (45 tilapias of each, in 3 replicates): group I control (CT) group nourished on a basal diet. Group II (βG) nourished a basal diet supplemented with 0.4% βG. Groups III (1/20 FP) and V (1/10 FP) was exposed to 1/20 and 1/10 of the 96 h LC50 of FP in water and nourished the basal diet respectively. Groups IV (1/20 FP+ βG) and VI (1/10 FP+ βG) were exposed to 1/20 and 1/10 FP concomitantly with 0.4% βG supplementation for 90 successive days. Growth performance metrics were higher in βG group than CT. While those metrics were fallen at exposure to 1/20 or 1/10 FP. Supplementation with βG elevated the IgM and lysozyme levels.Whereas, tilapias exposed to FP only at different concentration showed lowering of those compared to CT. Supplementation with βG was effectively augmented IgM and lysozyme in 1/20 FP exposed tilapias. Furthermore, in a minor grade at 1/10 FP exposed tilapias. Exposure to FP increased the activities of hepatic markers chiefly at 1/10, however the βG supplementation was successfully improved these markers. There was imbalance of cortisol level at FP exposure where, βG combining to FP alleviate this disparity. There was fallen in LDH, MDH and FDPase in βG tilapias where continuing raise in 1/10 FP followed by 1/20 FP. βG supplementation raise the level of GSH, without significant variations in MDA conversely occurs in FP alone. Genes expression of βG caused raise of both GPx and GR, without fluctuations in CAT and SOD. Exposure to FP diminishes all evaluated antioxidant genes. It could fulfilled that supplementation with βG successfully alleviated the immune-toxic and antioxidant impact of FP in tilapias.Copyright © 2019 Elsevier Ltd. All rights reserved.  KEYWORDS:  MeSH Chemical: Adjuvants, Immunologic| Antioxidants| Insecticides| Pyrazoles| beta-Glucans| fipronil MeSH: | Adjuvants, Immunologic/majr/pharmacology| Animal Feed/analysis| Animals| Antioxidants/majr/metabolism| Cichlids/majr/genetics/immunology/metabolism| Diet/veterinary| Dietary Supplements/analysis| Dose-Response Relationship, Drug| Gene Expression/majr/drug effects| Insecticides/majr/adverse effects| Pyrazoles/majr/adverse effects| beta-Glucans/majr/pharmacology Other:Acetylcholine esterase|Antioxidant|Brain|Fipronil|Growth|IgM|Immunostimulants|Liver|Oreochromis niloticus|β-glucan</t>
  </si>
  <si>
    <t>Toxicity of Fipronil and Emamectin Benzoate and Their Mixtures Against Cotton Leafworm, Spodoptera littoralis (Lepidoptera: Noctuidae) With Relation to GABA Content.    ABSTRACT:  Fipronil and emamectin benzoate (EMB) are effective insecticides for controlling cotton leafworm, Spodoptera littoralis. Fipronil works by blocking gamma-amino butyric acid (GABA) gated chloride. In contrast, EMB is activating GABA transporters. The objectives of our study were to assess relative toxicity of the technical fipronil and EMB alone and in mixture against S. littoralis. In addition, the GABA content was simultaneously determined using HPLC. Technical fipronil and EMB and their mixtures were applied topically to the fourth-instar larvae, and their LD50 values were estimated after 48 h. Results demonstrated that the LD50 for EMB applied alone was 0.751 ng/larva which was much less than for fipronil 7.271 ng/larva. Each of the two insecticides alone showed a significant decrease in GABA content at LD10, LD25, and LD50 doses, while their mixtures induced GABA levels. The highest potentiation was observed when both insecticides were in a mixture at the ratio of LD10:LD10 which was associated with higher increase in GABA levels. Moreover, the weight of the alive larvae was less than that was in the untreated control. However, all mixtures exhibited potentiation effect, except for the mixture of fipronil at LD50 with EMB at LD10, LD25, and LD50 that had antagonistic effect correlated with the lowest decrease in GABA level. Results suggested that lower doses of both insecticides in a binary mixture had potentiation effect against S. littoralis. This mixture could be used in combination as field application for successful and effective control of S. littoralis and would also help in managing insecticide resistance.© The Author(s) 2019. Published by Oxford University Press on behalf of Entomological Society of America. All rights reserved. For permissions, please e-mail: journals.permissions@oup.com.  KEYWORDS:  MeSH Chemical: Insecticides| Pyrazoles| gamma-Aminobutyric Acid| Ivermectin| emamectin benzoate| fipronil MeSH: | Animals| Insecticides/majr| Ivermectin/majr/analogs &amp; derivatives| Larva| Pyrazoles| Spodoptera| gamma-Aminobutyric Acid Other:GABA|cotton leafworm|emamectin benzoate|fipronil</t>
  </si>
  <si>
    <t>Neurotoxic Effect of Fipronil in Neuroblastoma SH-SY5Y Cell Line.    ABSTRACT:  Fipronil is a broad-spectrum insecticide belonging to the phenyl pyrazole chemical family. Fipronil disrupts gamma-aminobutyric acid (GABA) receptors in the central nervous system, thereby blocking GABA-gated chloride channels. Neurotoxic symptoms of fipronil poisoning in humans are typically associated with the antagonism of central GABA receptors. In this study, the cytotoxic effects of fipronil in SH-SY5Y neuroblastoma cell line, the human neural cell line, were investigated. SH-SY5Y cells were exposed to 125, 250, and 500 μM fipronil doses and incubated for 24 and 48 h, and its neurotoxic effect was examined by MTT (3-(4,5-dimethylthiazol-2-yl)-2,5 diphenyl tetrazolium bromide) test, lactate dehydrogenase (LDH) test, trypan blue dye exclusion test, and neutral red uptake assay. Acridine orange-propidium iodide and DAPI (4',6-diamidino-2-phenylindole dihydrochloride) staining methods were also used to determine the type of cell death. In addition, neurodegenerative changes were also examined by immunofluorescence staining of the cytoskeleton. The amount of neurofilament heavy chain and the degree of phosphorylation of neurofilament subunits were investigated to determine the effect of fipronil on the axonal viability, and we observed a reduction in the amount of neurofilament heavy chain, speculating disruption of the axonal transport leading to cell death. According to our results, we may suggest that fipronil caused cytotoxicity in SH-SY5Y cells.  KEYWORDS:  MeSH Chemical: Insecticides| Neurofilament Proteins| Pyrazoles| neurofilament protein H| L-Lactate Dehydrogenase| fipronil MeSH: | Axons/majr/drug effects/pathology| Cell Death/majr/drug effects| Cell Line, Tumor| Cell Nucleus/drug effects| Cell Survival/majr/drug effects| Dose-Response Relationship, Drug| Humans| Insecticides/toxicity| L-Lactate Dehydrogenase/metabolism| Nerve Degeneration/chemically induced| Neurofilament Proteins/metabolism| Phosphorylation/drug effects| Primary Cell Culture| Pyrazoles/majr/toxicity Other:Fipronil|Immunofluorescence staining|Neurofilament phosphorylation|Neurotoxicity|SH-SY5Y cell line</t>
  </si>
  <si>
    <t>The effects of insecticides on two splice variants of the glutamate-gated chloride channel receptor of the major malaria vector, Anopheles gambiae.    ABSTRACT:  Between half to 1 million people die annually from malaria. Anopheles gambiae mosquitoes are major malaria vectors. Unfortunately, resistance has emerged to the agents currently used to control A. gambiae, creating a demand for novel control measures. The pentameric glutamate-gated chloride channel (GluCl) expressed in the muscle and nerve cells of these organisms are a potentially important biological target for malaria control. The pharmacological properties of Anophiline GluCl receptors are, however, largely unknown. Accordingly, we compared the efficacy of four insecticides (lindane, fipronil, picrotoxin, and ivermectin) on two A. gambiae GluCl receptor splice variants with the aim of providing a molecular basis for designing novel anti-malaria treatments.The A. gambiae GluCl receptor b1 and c splice variants were expressed homomerically in Xenopus laevis oocytes and studied with electrophysiological techniques, using two-electrode voltage-clamp.The b1 and c GluCl receptors were activated with similar potencies by glutamate and ivermectin. Fipronil was more potent than picrotoxin and lindane at inhibiting glutamate- and ivermectin-gated currents. Importantly, b1 GluCl receptors exhibited reduced sensitivity to picrotoxin and lindane. They also recovered from these effects to a greater extent than c GluCl receptors CONCLUSIONS AND IMPLICATIONS: The two splice variant subunits exhibited differential sensitivities to multiple, structurally divergent insecticides, without accompanying changes in the sensitivity to the endogenous neurotransmitter, glutamate, implying that drug resistance may be caused by alterations in relative subunit expression levels, without affecting physiological function. Our results strongly suggest that it should be feasible to develop novel subunit-specific pharmacological agents.© 2019 The British Pharmacological Society.  KEYWORDS:  MeSH Chemical: Chloride Channels| Insecticides| Protein Isoforms| glutamate-gated chloride channels| Glutamic Acid| Ivermectin MeSH: | Amino Acid Sequence| Animals| Anopheles/majr/genetics/metabolism| Chloride Channels/majr/genetics/metabolism| Dose-Response Relationship, Drug| Female| Glutamic Acid/pharmacology| Insecticides/majr/pharmacology| Ivermectin/pharmacology| Mosquito Vectors/majr/genetics/metabolism| Oocytes/drug effects/metabolism| Protein Isoforms/majr/genetics/metabolism| Xenopus laevis</t>
  </si>
  <si>
    <t>Anthropogenic contaminants of high concern: Existence in water resources and their adverse effects.    ABSTRACT:  Existence of anthropogenic contaminants (ACs) in different environmental matrices is a serious and unresolved concern. For instance, ACs from different sectors, such as industrial, agricultural, and pharmaceutical, are found in water bodies with considerable endocrine disruptors potency and can damage the biotic components of the environment. The continuous ACs exposure can cause cellular toxicity, apoptosis, genotoxicity, and alterations in sex ratios in human beings. Whereas, aquatic organisms show bioaccumulation, trophic chains, and biomagnification of ACs through different entry route. These problems have been found in many countries around the globe, making them a worldwide concern. ACs have been found in different environmental matrices, such as water reservoirs for human consumption, wastewater treatment plants (WWTPs), drinking water treatment plants (DWTPs), groundwaters, surface waters, rivers, and seas, which demonstrate their free movement within the environment in an uncontrolled manner. This work provides a detailed overview of ACs occurrence in water bodies along with their toxicological effect on living organisms. The literature data reported between 2017 and 2018 is compiled following inclusion-exclusion criteria, and the obtained information was mapped as per type and source of ACs. The most important ACs are pharmaceuticals (diclofenac, ibuprofen, naproxen, ofloxacin, acetaminophen, progesterone ranitidine, and testosterone), agricultural products or pesticides (atrazine, carbendazim, fipronil), narcotics and illegal drugs (amphetamines, cocaine, and benzoylecgonine), food industry derivatives (bisphenol A, and caffeine), and personal care products (triclosan, and other related surfactants). Considering this threatening issue, robust detection and removal strategies must be considered in the design of WWTPs and DWTPs.Copyright © 2019 Elsevier B.V. All rights reserved.  KEYWORDS:  MeSH Chemical: Benzhydryl Compounds| Endocrine Disruptors| Pesticides| Pharmaceutical Preparations| Phenols| Water Pollutants, Chemical| Diclofenac| bisphenol A MeSH: | Aquatic Organisms| Benzhydryl Compounds| Diclofenac| Endocrine Disruptors| Environmental Monitoring/majr| Pesticides| Pharmaceutical Preparations| Phenols| Water Pollutants, Chemical/majr/analysis/toxicity| Water Resources| Water Supply/majr/statistics &amp; numerical data Other:Anthropogenic contaminants|Bio-magnification|Bioaccumulation|Bisphenol A|Endocrine disruptors|Toxicity|Wastewater</t>
  </si>
  <si>
    <t>Fipronil and ivermectin treatment of cattle reduced the survival and ovarian development of field-collected Anopheles albimanus in a pilot trial conducted in northern Belize.    ABSTRACT:  Most malaria vector control programmes rely on indoor residual spraying of insecticides and insecticide-treated bed nets. This is effective against vector species that feed indoors at night and rest inside the house afterwards. In Central America, malaria vectors have different behaviours and are typically exophagic (i.e., bite outdoors), exophilic (i.e., remain outdoors after feeding), and zoophagic (i.e., as likely to feed on non-humans as humans). Thus, malaria elimination in Central America may require additional tactics. This pilot study investigated whether commercially-available products used to treat livestock for ticks could also be used to kill and/or sterilize zoophagic malaria vectors that feed on treated cattle in Belize.Cattle were treated with either a pour-on formulation of 1% fipronil (3 heifers) or injection of 1% ivemectin (1 heifer). Control heifers (n = 2) were left untreated. Field-collected Anopheles albimanus contained in screen-top cages were strapped onto cattle at 2, 5, 7, and 14 days after treatment. Mosquito mortality was monitored once a day for 4 successive days. Surviving mosquitoes were dissected to assess blood meal digestion and ovarian development.A total of 1078 female An. albimanus mosquitoes were fed and monitored for mortality. Both fipronil and ivermectin significantly reduced survivorship of An. albimanus for up to 7 days after treatment. By 14 days, efficacy had declined. The ivermectin treatment completely lost its effectiveness and even though the fipronil-treated heifers were still killing significantly more mosquitoes than the untreated heifers, the amount of mosquito killing had diminished greatly. Both treatments significantly reduced ovary development in mosquitoes fed on treated cattle for the duration of the 2-week trial.Treatment of cattle in northern Belize with topical fipronil and injectable ivermectin had significant lethal and sublethal effects on wild An. albimanus females. These results suggest that efforts towards eliminating residual transmission of malaria by zoophagic vectors in Central America may benefit by the judicious, targeted treatment of livestock with mosquitocidal compounds, such as fipronil or ivermectin.  KEYWORDS:  MeSH Chemical: Insecticides| Pyrazoles| Ivermectin| fipronil MeSH: | Administration, Topical| Animals| Belize| Cattle| Feeding Behavior| Female| Injections, Intramuscular/adverse effects| Insecticides/majr/administration &amp; dosage| Ivermectin/majr/administration &amp; dosage| Malaria/prevention &amp; control| Male| Mosquito Control/majr/methods| Mosquito Vectors/parasitology| Ovary/majr/drug effects| Pilot Projects| Pyrazoles/majr/administration &amp; dosage Other:Anopheles albimanus|Belize|Cattle|Fipronil|Ivermectin|Malaria</t>
  </si>
  <si>
    <t>Blood pharmacokinetic of 17 common pesticides in mixture following a single oral exposure in rats: implications for human biomonitoring and exposure assessment.    ABSTRACT:  Human biomonitoring provides information about chemicals measured in biological matrices, but their interpretation remains uncertain because of pharmacokinetic (PK) interactions. This study examined the PKs in blood from Long-Evans rats after a single oral dose of 0.4 mg/kg bw of each pesticide via a mixture of the 17 pesticides most frequently measured in humans. These pesticides are β-endosulfan; β-hexachlorocyclohexane [β-HCH]; γ-hexachlorocyclohexane [γ-HCH]; carbofuran; chlorpyrifos; cyhalothrin; cypermethrin; diazinon; dieldrin; diflufenican; fipronil; oxadiazon; pentachlorophenol [PCP]; permethrin; 1,1-dichloro-2,2bis(4-chlorophenyl)ethylene [p,p'-DDE]; 1,1,1-trichloro-2,2-bis(p-chlorophenyl)ethane [p,p'-DDT]; and trifluralin. We collected blood at 10 min to 48-h timepoints in addition to one sample before gavage (for a control). We used GS-MS/MS to measure the pesticide (parents and major metabolites) concentrations in plasma, determined the PK parameters from 20 sampling timepoints, and analyzed the food, litter, and cardboard in the rats' environment for pesticides. We detected many parents and metabolites pesticides in plasma control (e.g., diethyl phosphate [DEP]; PCP; 3-phenoxybenzoic acid [3-PBA]; 3,5,6-trichloro-2-pyridinol [TCPy], suggesting pre-exposure contamination. The PK values post-exposure showed that the AUC0-∞ and Cmax were highest for TCPy and PCP; β-endosulfan, permethrin, and trifluralin presented the lowest values. Terminal T1/2 and MRT for γ-HCH and β-HCH ranged from 74.5 h to 117.1 h; carbofuran phenol presented the shortest values with 4.3 h and 4.8 h. These results present the first PK values obtained through a realistic pattern applied to a mixture of 17 pesticides to assess exposure. This study also highlights the issues of background exposure and the need to work with a relevant mixture found in human matrices.  KEYWORDS:  MeSH Chemical: Environmental Pollutants| Pesticides MeSH: | Administration, Oral| Animals| Biological Monitoring| Chromatography, Gas| Environmental Exposure/majr/analysis| Environmental Monitoring/majr/methods| Environmental Pollutants/majr/analysis| Female| Humans| Pesticides/majr/pharmacokinetics| Rats| Rats, Long-Evans| Tandem Mass Spectrometry Other:Background exposure|Mixture|Pesticides|Pharmacokinetic|Rat</t>
  </si>
  <si>
    <t>In vitro biotransformation of pharmaceuticals and pesticides by trout liver S9 in the presence and absence of carbamazepine.    ABSTRACT:  The aim of the present study was to develop (i) a technique for identifying metabolites of organic contaminants by using an in vitro system of trout S9 and liquid chromatography-high-resolution mass spectrometry-based identification method and (ii) to apply this technique to identify the interactive potential of carbamazepine on the formation rate of other metabolites. The pharmaceuticals carbamazepine and propranolol and the pesticides azoxystrobin, diazinon, and fipronil were selected as test contaminants. As a result, a total of ten metabolites were identified for the five parent substances, six of which were confirmed using reference standards. Metabolic reactions included hydroxylation, epoxidation, S-oxidation, and dealkylation. The metabolic transformation rate ranged from 0.2 to 3.5 pmol/mg protein/min/μmol substrate. In the binary exposure experiment with increasing carbamazepine concentration, the formation rates of diazinon and fipronil metabolites (MDI2 and MFP2, respectively) increased, while formation of metabolites of propranolol and azoxystrobin (MPR1, MPR2, MPR3, and MAZ1) slowed down. Meanwhile, S9 pre-exposed to carbamazepine produced diazoxon, a toxic metabolite of diazinon, and pyrimidinol, a less toxic metabolite, more rapidly. These results suggest that carbamazepine, a perennial environmental pollutant, might modulate the toxicity of other substances such as diazinon but further in vivo studies are needed.Copyright © 2019 Elsevier Inc. All rights reserved.  KEYWORDS:  MeSH Chemical: Pesticides| Pharmaceutical Preparations| Water Pollutants, Chemical| Carbamazepine| Propranolol MeSH: | Animals| Biotransformation| Carbamazepine/majr/metabolism| Chromatography, Liquid| In Vitro Techniques| Liver/majr/drug effects/metabolism| Pesticides/majr/metabolism| Pharmaceutical Preparations/metabolism| Propranolol/metabolism| Subcellular Fractions/metabolism| Tandem Mass Spectrometry| Trout/majr/metabolism| Water Pollutants, Chemical/majr/metabolism Other:Biotransformation|Carbamazepine|Diazinon|Liquid chromatography-high resolution mass spectroscopy|Suspect/non-target screening|Trout liver S9 fraction</t>
  </si>
  <si>
    <t>Comparative analysis on the sorption kinetics and isotherms of fipronil on nondegradable and biodegradable microplastics.    ABSTRACT:  Biodegradable plastics have been introduced and widely used as a promising alternative to traditional nondegradable plastics. However, the differences in sorption behavior of pesticides on nondegradable and biodegradable microplastics has been insufficiently studied. Here, four types of nondegradable [polyethylene (PE), polystyrene (PS), polyvinyl chloride (PVC), polypropylene (PP)] and two types of biodegradable [polylactic acid (PLA), polybutylene succinate (PBS)] microplastics were selected to investigate the sorption mechanism of fipronil based on their sorption kinetics and isotherms. The results indicated that the sorption rates of PLA and PBS were much higher than those of PE, PP, PVC and PS and that the sorption capacities of fipronil on microplastics followed the order of PBS &gt; PLA &gt; PP &gt; PE &gt; PS &gt; PVC. The sorption kinetics followed a pseudo-second-order kinetics model (R2 = 0.953-0.998) for all tested microplastics. External mass transport and intraparticle diffusion were the main rate controlling steps of the sorption of fipronil on microplastics. Furthermore, isotherm results indicated that a Langmuir model provided the best fit for fipronil sorption on PE, PS, PVC and PP (R2 = 0.997-0.999), while a Freundlich model was the most appropriate model for PLA and PBS (R2 = 0.998-0.999). The presence of surface O-containing functional groups and the spatial arrangement of rubbery domains are likely to affect the sorption process. The results from this work suggest that microplastics, especially biodegradable ones, may play an important role in the fate and transport of pesticides, and their effects on soil organisms (e.g., earthworms) require further investigation.Copyright © 2019 Elsevier Ltd. All rights reserved.  KEYWORDS:  MeSH Chemical: Plastics| Polyesters| Polypropylenes| Polystyrenes| Pyrazoles| poly(lactide)| Polyvinyl Chloride| Polyethylene| fipronil MeSH: | Adsorption| Diffusion| Kinetics| Plastics/majr/chemistry| Polyesters| Polyethylene| Polypropylenes| Polystyrenes| Polyvinyl Chloride| Pyrazoles/majr/chemistry Other:Biodegradable microplastics|Fipronil|Nondegradable microplastics|Sorption kinetics and isotherms</t>
  </si>
  <si>
    <t>A critical review of synthetic chemicals in surface waters of the US, the EU and China.    ABSTRACT:  There is a wide concern that emerging organic pollutants (EOPs) in surface water could adversely affect human health and wildlife. However, the geographic distribution, exposure pattern and ecological risk of emerging organic pollutants are poorly understood at a global scale. This paper provides a comprehensive survey on the exposure level of EOPs in China, the US and the EU based on the published literature. The hazard level of three categories of EOPs, namely pharmaceuticals and personal care products (PPCPs), pesticides and industrial chemicals was further evaluated by adopting a novel Aquatic HazPi index that jointly accounts for the persistence, bioaccumulation, toxicity and bioactivity. Furthermore, a correlation analysis of land use with the surface water exposure status regarding the synthetic chemicals was conducted. According to the published data reported between 2010 and 2016, the concentration of pesticides in the US was higher than in the EU and China. The concentration of PPCPs in the EU was generally lower than in both the US and China, while the concentration of industrial chemicals in China was higher than in the EU and the US. Among the chemicals whose median concentration in surface water was &gt;10 ng/L, the antiretroviral Efavirenz, the pesticide Fipronil, and octocrylene, an industrial chemical and cosmetic ingredient, were found with the highest aquatic HazPi value. Lastly, the spatial distribution and concentration of hazardous EOPs was shown to depend on local landscape and land usages. Our study provides the first broad overview on the geographic distribution, exposure pattern of hazardous EOPs in the three major economic entities: China, the US and the EU.Copyright © 2019 The Authors. Published by Elsevier Ltd.. All rights reserved.  KEYWORDS:  MeSH Chemical: Water Pollutants, Chemical MeSH: | China| Environmental Monitoring/majr| European Union| Fresh Water/majr/analysis| United States| Water Pollutants, Chemical/majr/analysis/classification Other:Chemical pollution|Industry|Land use|Pesticide|Pharmaceutical and personal care products|Risk assessment</t>
  </si>
  <si>
    <t>In vitro inhibition of human CYP2D6 by the chiral pesticide fipronil and its metabolite fipronil sulfone: Prediction of pesticide-drug interactions.    ABSTRACT:  Fipronil is a chiral insecticide employed worldwide in crops, control of public hygiene and control of veterinary pests. Humans can be exposed to fipronil through occupational, food, and environmental contamination. Therefore, the risk assessment of fipronil in humans is important to protect human health. Fipronil sulfone is the major metabolite formed during fipronil metabolism by humans. Since the CYP450 enzymes are the main ones involved in drug metabolism, the evaluation of their inhibition by fipronil and its main metabolite is important to predict drug-pesticide interactions. The aim of this work was to investigate the inhibition effects of rac-fipronil, S-fipronil, R-fipronil and fipronil sulfone on the main human CYP450 isoforms. The results showed that CYP2D6 is the only CYP450 isoform inhibited by these xenobiotics. In addition, no enantioselective differences were observed in the inhibition of CYP450 isoforms by fipronil and its individuals' enantiomers. Rac-fipronil, S-fipronil and R-fipronil are moderate CYP2D6 inhibitors showing a competitive inhibition profile. On the other hand, the metabolite fipronil sulfone showed to be a strong inhibitor of CYP2D6 also by competitive inhibition. These results highlight the importance of metabolite evaluation on pesticide safety since the metabolism of fipronil into fipronil sulfone increases the risk of pesticide-drug interactions for drugs metabolized by CYP2D6.Copyright © 2019 Elsevier B.V. All rights reserved.  KEYWORDS:  MeSH Chemical: Cytochrome P-450 CYP2D6 Inhibitors| Pesticides| Pyrazoles| Cytochrome P-450 CYP2D6| fipronil sulfone| fipronil MeSH: | Cytochrome P-450 CYP2D6/majr/chemistry/metabolism| Cytochrome P-450 CYP2D6 Inhibitors/majr/chemistry/toxicity| Dose-Response Relationship, Drug| Drug Interactions| Humans| Microsomes, Liver/drug effects/enzymology| Models, Biological| Pesticides/majr/chemistry/toxicity| Protein Conformation| Pyrazoles/majr/chemistry/toxicity| Risk Assessment| Structure-Activity Relationship Other:Cytochrome P450|Fipronil|Fipronil sulfone|Human liver microsomes|In vitro|Inhibition mechanism|Pesticide-drug interaction</t>
  </si>
  <si>
    <t>Fipronil induces apoptosis and cell cycle arrest in porcine oocytes during in vitro maturation.    ABSTRACT:  Fipronil (FPN) is a widely used phenylpyrazole pesticide that can kill pests by blocking γ-aminobutyric acid (GABA)-gated chloride channels. In addition, there are lack of studies on the effects of FPN on the female mammalian gametes. In this study, porcine oocytes were used to investigate the effects of FPN on the oocyte maturation process. The results showed that the first polar body extrusion rate significantly decreased (100 μM FPN vs. control, 18.64 ± 2.95% vs. 74.90 ± 1.50%, respectively), and oocytes were arrested at the germinal vesicle stage in 100 μM FPN group. Meanwhile, the FPN caused a significant increase in reactive oxygen species (ROS) levels and severe DNA damage inside the oocytes. Furthermore, apoptosis was enhanced along with decreases in mitochondrial membrane potential, BCL-xL, and the release of cytochrome C in FPN-treated group. Additionally, low CDK1 activity and delayed cyclin B1 degradation during germinal vesicle breakdown were found in the FPN-treated group, which resulted from the activation of ATM-P53-P21 pathway. In conclusion, FPN induces apoptosis and cell cycle arrest in porcine oocyte maturation because of increased ROS levels and DNA damage. This suggests that the FPN in the environment may have potential detrimental effects on the female mammalian reproductive system.  KEYWORDS:  MeSH Chemical: Cyclin B1| Pesticides| Pyrazoles| Reactive Oxygen Species| bcl-X Protein| Cytochromes c| CDC2 Protein Kinase| fipronil MeSH: | Animals| Apoptosis/majr/drug effects| CDC2 Protein Kinase/drug effects/metabolism| Cell Cycle Checkpoints/majr/drug effects| Cyclin B1/drug effects| Cytochromes c/drug effects/metabolism| DNA Damage/drug effects| Female| In Vitro Techniques| Oocytes/majr/cytology/drug effects| Oogenesis/drug effects| Pesticides/pharmacology| Pyrazoles/majr/pharmacology| Reactive Oxygen Species/metabolism| Signal Transduction/drug effects| Swine| bcl-X Protein/drug effects/metabolism Other:Apoptosis|Fipronil|MPF|Oocyte maturation|Porcine</t>
  </si>
  <si>
    <t>Simultaneous determination of neonicotinoids and fipronil and its metabolites in environmental water from coastal bay using disk-based solid-phase extraction and high-performance liquid chromatography-tandem mass spectrometry.    ABSTRACT:  In the previous decade, neonicotinoids (NEOs) and fipronil (FIP) have received increasing attention as environmental pollutants because the high toxicity of these insecticides to nontarget arthropods has been recognized. In this study, a new method was developed for the simultaneous determination of seven NEOs and FIP and its metabolites (FIPs) in seawater and river water samples using disk-based solid-phase extraction (SPE) and high-performance liquid chromatography-tandem mass spectrometry (HPLC-MS/MS). The optimization of disk-based SPE extraction and HPLC separation parameters of target analytes was investigated. Under optimal conditions, the low limit of quantitation (LOQ) of 11 target analytes in actual water samples ranged from 0.05 ng/L to 0.50 ng/L. Satisfactory absolute recoveries (58.9%-109.9%), precision (relative standard deviations, ≤13.3%), and linearity (R2 ≥ 0.995) were also achieved, thereby indicating that the developed method would be suitable to determine the target NEOs and FIPs in seawater and river water. Finally, the proposed method was applied to determine the amounts of these insecticides in authentic environmental water samples collected from Jiaozhou Bay, China, and its adjacent rivers. Nitenpyram, thiamethoxam, imidacloprid, clothianidin, and acetamiprid were detected, as well as FIPs in seawater and river water samples. This study is the first to report that NEOs and FIPs are detected in the coastal seawater. The total concentration of these insecticides ranged from ≤LOD to 11.19 ng/L, which indicates that these pesticides are eventually discharged into the marine environment. Therefore, it is necessary to investigate the temporal spatial distribution, migration and transformation, environmental fate, and bioavailability of these pesticides in further studies.Copyright © 2019 Elsevier Ltd. All rights reserved.  KEYWORDS:  MeSH Chemical: Neonicotinoids| Pyrazoles| Water Pollutants, Chemical| fipronil MeSH: | Bays| China| Chromatography, High Pressure Liquid/majr/methods| Environmental Monitoring/majr/methods| Fresh Water/analysis| Neonicotinoids/majr/analysis| Pyrazoles/majr/analysis| Rivers/chemistry| Seawater/majr/analysis| Solid Phase Extraction/majr/methods| Tandem Mass Spectrometry/majr/methods| Water Pollutants, Chemical/majr/analysis Other:Jiaozhou Bay|Neonicotinoids|Seawater|Solid-phase extraction-disk|fipronil</t>
  </si>
  <si>
    <t>Ivermectin decreases triglyceride accumulation by inhibiting adipogenesis of 3T3-L1 preadipocytes.    ABSTRACT:  Ivermectin, a member of the avermectins, is one of the most used anti-parasitic agents, and acts by binding to glutamate-gated chloride channels in invertebrate nerve cells. There is limited information, however, on the effects of ivermectin in non-neural cell, such as adipocytes. The present work aimed to investigate the role of ivermectin in adipogenesis using 3T3-L1 preadipocytes. Ivermectin inhibited the differentiation of preadipocytes and triglyceride (TG) accumulation. In particular, the treatment of ivermectin at the middle to late adipogenic differentiation period (day 2-8) was correlated with the inhibition of fat accumulation. Ivermectin treatment also significantly modulated the mRNA expression of key markers in adipogenesis, fatty acid synthesis, uptake, and oxidation, and enhanced the gene expression of two subunits of the glycine receptor (GlyR). Specifically, the protein levels of peroxisome proliferator-activated receptor gamma (PPARγ), CCAAT/enhancer-binding protein alpha (C/EBPα), and acetyl-CoA carboxylase (ACC) were reduced. Interestingly, the suppression of TG accumulation by ivermectin was partially abolished by rosiglitazone, a specific PPARγ agonist, but Z-guggulsterone, a selective FXR antagonist, failed to rescue the ivermectin-induced effect on adipogenesis. Lastly, ivermectin prevented adipogenesis induced by permethrin and fipronil. In conclusion, ivermectin inhibits adipogenesis of 3T3-L1 preadipocytes partially via PPARγ &amp; GlyR-dependent, but not FXR-dependent, pathway.Copyright © 2019 Elsevier Ltd. All rights reserved.  KEYWORDS:  MeSH Chemical: Antiparasitic Agents| PPAR gamma| RNA, Messenger| Receptors, Cytoplasmic and Nuclear| Receptors, Glycine| Triglycerides| farnesoid X-activated receptor| Ivermectin MeSH: | 3T3-L1 Cells| Adipogenesis/majr/drug effects| Animals| Antiparasitic Agents/majr/pharmacology| Cell Differentiation/drug effects| Gene Expression/drug effects| Ivermectin/majr/pharmacology| Mice| PPAR gamma/metabolism| RNA, Messenger/metabolism| Receptors, Cytoplasmic and Nuclear/metabolism| Receptors, Glycine/metabolism| Triglycerides/majr/metabolism Other:3T3-L1 preadipocyte|Differentiation|GlyR|Ivermectin|PPARγ</t>
  </si>
  <si>
    <t>Resistance to deltamethrin, fipronil and ivermectin in the brown dog tick, Rhipicephalus sanguineus sensu stricto, Latreille (Acari: Ixodidae).    ABSTRACT:  Rhipicephalus sanguineus sensu stricto (s.s.), the temperate lineage of the brown dog tick, is the most common tick found on dogs from urban areas in Rio Grande do Sul (RS) state, southern Brazil. Chemical treatments against ticks are important to control this pest, but can lead to selection for acaricide resistance. Unfortunately, little is known about acaricide resistance in this tick species in Brazil, although such information is very important to companion animal clinical practice. The objective of this study was to analyze acaricide susceptibility of R. sanguineus s.s. from the metropolitan area of Porto Alegre, RS. Engorged females ticks were collected in ten different locations, from naturally infested dogs or the environment (homes, shelters and kennels). The progenies were used in toxicological larval tests with deltamethrin, fipronil and ivermectin. Mortality data was used to determine the median lethal concentrations (LC50) for each tick population and resistance was characterized based on relative susceptibility of the different tick populations against each acaricide. Seven samples were considered resistant to deltamethrin, with resistance ratios (RR) ranging from 2.32 to 5.67. From five tick populations tested with fipronil, three were considered resistant, with RR varying from 2.56 to 13.83. For ivermectin, resistance ratios were lower, ranging from 1.54 to 2.97. The results reveal a notable variance of susceptibility to deltamethrin, fipronil and ivermectin in the R. sanguineus s.s. populations studied. This study documents for the first time the existence of acaricide-resistant populations of R. sanguineus s.s. in Brazil.Copyright © 2019 Elsevier GmbH. All rights reserved.  KEYWORDS:  MeSH Chemical: Acaricides| Nitriles| Pyrazoles| Pyrethrins| decamethrin| Ivermectin| fipronil MeSH: | Acaricides/majr/pharmacology| Animals| Brazil| Drug Resistance/majr| Ivermectin/majr/pharmacology| Larva/drug effects/growth &amp; development| Nitriles/majr/pharmacology| Pyrazoles/majr/pharmacology| Pyrethrins/majr/pharmacology| Rhipicephalus sanguineus/majr/drug effects/growth &amp; development Other:Diagnosis|Dog|Fipronil|Macrocyclic lactones|Pyrethroids|Resistance|Tick</t>
  </si>
  <si>
    <t>Effects of a herbicide on paddy predatory insects depend on their microhabitat use and an insecticide application.    ABSTRACT:  Indirect effects of agrochemicals on organisms via biotic interactions are less studied than direct chemical toxicity despite their potential relevance in agricultural landscapes. In particular, the role of species traits in characterizing indirect effects of pesticides has been largely overlooked. Moreover, it is still unclear whether such indirect effects on organisms are prevalent even when the organisms are exposed to direct toxicity. We conducted a mesocosm experiment to examine indirect effects of a herbicide (pentoxazone) on aquatic predatory insects of rice paddies. Because the herbicide selectively controls photosynthetic organisms, we assumed that the effects of the herbicide on predatory insects would be indirect. We hypothesized that phytophilous predators such as some Odonata larvae, which cling to aquatic macrophytes, would be more subject to negative indirect effects of the herbicide through a decrease in abundance of aquatic macrophytes than benthic, nektonic, and neustonic predators. Also, we crossed-applied an insecticide (fipronil) with herbicide application to examine whether the indirect effects of the herbicide on the assembling predators act additively with direct adverse effects of the insecticide. The herbicide application did not decrease the abundance of phytoplankton constitutively, and there were no clear negative impacts of the herbicide on zooplankton and prey insects (detritivores and herbivores). However, the abundance of aquatic macrophytes was significantly decreased by the herbicide application. Although indirect effects of the herbicide were not so strong on most predators, their magnitude and sign differed markedly among predator species. In particular, the abundance of phytophilous predators was more likely to decrease than that of benthic, nektonic, and neustonic predators when the herbicide was applied. However, these indirect effects of the herbicide could not be detected when the insecticide was also applied, seemingly due to fipronil's high lethal toxicity. Our study highlights the importance of species traits such as microhabitat use, which characterize biotic interactions, for predicting indirect effects of agrochemicals. Given that indirect effects of the chemicals vary in response to species traits and direct toxicity of other chemicals, efforts to explain this variation are needed to predict the realistic risks of indirect effects of agrochemicals in nature.© 2019 by the Ecological Society of America.  KEYWORDS:  MeSH Chemical: Herbicides| Insecticides| Water Pollutants, Chemical MeSH: | Animals| Herbicides/majr| Insecta| Insecticides/majr| Predatory Behavior| Water Pollutants, Chemical/majr| Zooplankton Other:Odonata|agroecosystem|biotic interactions|ecotoxicology|fipronil|functional traits|indirect effects of pesticides|mesocosms|pentoxazone|pesticide mixture effects</t>
  </si>
  <si>
    <t>Maternal exposure to fipronil results in sulfone metabolite enrichment and transgenerational toxicity in zebrafish offspring: Indication for an overlooked risk in maternal transfer?    ABSTRACT:  Ecotoxicological studies show the association between pesticide pollution and transgenerational toxicity in aquatic organisms. However, a less considered risk is that many pesticides can be metabolized and transferred to offspring as new toxicants. In this study, we used zebrafish to evaluate the maternal transfer risk of fipronil (FIP), which is a great threat to aquatic organisms with toxic metabolite formation. After 28-day exposure to environmentally relevant concentrations (1.0, 5.0 and 10.0 μg/L) of FIP in adult female zebrafish (F0), the toxicants off-loading and transgenerational toxicity in offspring were studied. High burdens of FIP and its sulfone metabolite were found in both F0 and the embryos (F1), resulting in increased CYP450 activity. The residual levels of the metabolite were higher than those of the parent compound. Chiral analysis further showed a preferential accumulation of S-enantiomer of FIP in both F0 and F1. Maternal exposure to FIP increased the malformation rate and decreased the swim speed in larvae. Additionally, after exposure, the levels of thyroid hormones (THs), including triiodothyronine (T3) and thyroxine (T4), decreased in both generations, particularly in the F1. Gene transcription expression along the hypothalamic-pituitary-thyroid (HPT) axis was also significantly affected. Maternal exposure to FIP increased sulfone metabolite enrichment and cause multiple toxic effects in F1. Findings from this study highlight the key role of biologically active product formation in the maternal transfer of pollutants and associated risk assessment.Copyright © 2019 Elsevier Ltd. All rights reserved.  KEYWORDS:  MeSH Chemical: Endocrine Disruptors| Pesticides| Pyrazoles| Sulfones| Thyroid Hormones| Water Pollutants, Chemical| fipronil MeSH: | Animals| Endocrine Disruptors/metabolism/toxicity| Female| Maternal Exposure/majr/adverse effects| Pesticides/majr/metabolism/toxicity| Pyrazoles/majr/metabolism/toxicity| Sulfones/majr/metabolism/toxicity| Thyroid Hormones/metabolism| Water Pollutants, Chemical/majr/metabolism/toxicity| Zebrafish Other:Fipronil|Maternal transfer|Metabolite|Thyroid disruption|Zebrafish</t>
  </si>
  <si>
    <t>In vitro investigation to explore the toxicity of different groups of pesticides for an agronomically important rhizosphere isolate Azotobacter vinelandii.    ABSTRACT:  In this work, an attempt was made to evaluate the effect of pesticides on growth pattern, surface morphology, cell viability and growth regulators of nitrogen fixing soil bacterium. Pesticide tolerant Azotobacter vinelandii strain AZ6 (Accession no. MG028654) was found to tolerate maximum level of pesticide and displayed multifarious PGP activities. At higher concentrations, pesticides triggered cellular/structural damage and reduced the cell viability as clearly shown under SEM and CLSM. With increase in concentration, pesticides exhibited a significant (p &lt; 0.05) decrease in PGP traits of strain AZ6. Among all three groups of pesticides, herbicides glyphosate and atrazine were most toxic. Kitazin, hexaconazole, metalaxyl, glyphosate, quizalofop, atrazine, fipronil, monocrotophos and imidacloprid at 2400, 1800, 1500, 900, 1200, 900, 1800, 2100 and 2700 μg mL-1, respectively, decreased the production of IAA by 19.5 ± 1.9 (61%), 18.1 ± 1.2 (64%), 36.4 ± 3.4 (28%), 13.1 ± 0.8 (74%), 15.6 ± 1.0 (69%), 7.6 ± 0.5 (83%), 11.9 ± 0.8 (76%), 24.7 ± 1.7 (51%) and 32 ± 2.3 (37%) μg mL-1, respectively, over control (50.7 ± 3.6 μg mL-1). A maximum reduction of 8.4 ± 1.2 (46%), 5.8 ± 0.6 (62%) and 4 ± 0.2 (74%) μg mL-1 in 2, 3-DHBA at 300 (1×), 600 (2×) and 900 (3×) μg mL-1 glyphosate, respectively, While, 32.8 ± 2.7 (19%), 27.2 ± 2 (33%) and 21.5 ± 1.3 (47%) μg mL-1, respectively in the production of SA was observed at 300 (1×), 600 (2×) and 900 (3×) μg mL-1 atrazine, respectively. Likewise, with increase in concentration of pesticides, decrease in P solubilization ability and change in pH of broth was detected. The order of pesticide toxicity to PSE (percent decline over control) at highest concentration was: atrazine (45) &gt; kitazin (44) &gt; metalaxyl (43) &gt; monocrotophos (43) &gt; glyphosate (41) &gt; hexaconazole (39) &gt; quizalofop (33) &gt; imidacloprid (31) &gt; fipronil (25). The present study undoubtedly suggests that even at higher doses of pesticides, A. vinelandii maintained secreting plant growth regulators and this property makes this strain agronomically important microbe for enhancing the growth of plants.Copyright © 2019 Elsevier Inc. All rights reserved.  KEYWORDS:  MeSH Chemical: Fungicides, Industrial| Plant Growth Regulators MeSH: | Azotobacter vinelandii/majr/drug effects| Cell Survival/drug effects| Fungicides, Industrial/majr/pharmacology| Microscopy, Electrochemical, Scanning| Plant Growth Regulators| Rhizosphere Other:Azotobacter vinelandii|Cell viability|Pesticide toxicity|Plant growth regulators|SEM &amp; CLSM</t>
  </si>
  <si>
    <t>Garlic and allopurinol attenuate hepatic apoptosis induced by fipronil in male albino rats.    ABSTRACT:  Fipronil (FPN) can induce oxidative tissue damage and may be contemplated as an apoptosis inducer. Our aim is to investigate the possible hepatoprotective roles of garlic or allopurinol (ALP) against fipronil subacute toxicity. Thirty-six mature male albino rats were randomly divided into six groups; the first group was saved as control (C), the 2nd (G) was orally intubated with 500 mg/kg aqueous garlic extract, and the 3rd (A) received 150 mg/L allopurinol in their drinking water. The 4th group (F) was administered 13.277 mg/kg fipronil by gavage, while the 5th (G + F) and 6th (A + F) groups received the same doses of garlic and allopurinol, respectively two hours before fipronil intoxication. Our results revealed that FPN significantly increased the hepatic malondialdehyde, protein carbonyl levels, and the enzymatic activities of superoxide dismutase, catalase, glutathione peroxidase, and xanthine oxidase, but it decreased glutathione-S-transferase compared to the control group. Moreover, FPN exhibited significant up-regulation in the hepatic pro-apoptotic (Bax) and caspase-3 genes expression, down-regulation in the anti-apoptotic (Bcl-2) mRNA gene expression and induced DNA fragmentation. Surprisingly, garlic or allopurinol co-treatment ameliorated the hepatic lipid peroxidation, antioxidants disruption, and apoptosis induced by FPN. In conclusion, garlic and allopurinol relieved the oxidative injury and reduced the fipronil-induced apoptosis probably by improving the tissue antioxidant defense system.Copyright © 2019 Elsevier Inc. All rights reserved.  KEYWORDS:  MeSH Chemical: Bcl2 protein, rat| Insecticides| Plant Extracts| Protective Agents| Proto-Oncogene Proteins c-bcl-2| Pyrazoles| Malondialdehyde| Allopurinol| Oxidoreductases| Casp3 protein, rat| Caspase 3| Glutathione| fipronil MeSH: | Allopurinol/majr/pharmacology/therapeutic use| Animals| Apoptosis/drug effects| Caspase 3/genetics| Chemical and Drug Induced Liver Injury/majr/drug therapy/genetics/metabolism/pathology| Garlic/majr| Glutathione/metabolism| Insecticides/majr/toxicity| Liver/drug effects/metabolism/pathology| Male| Malondialdehyde/metabolism| Oxidoreductases/metabolism| Plant Extracts/majr/pharmacology/therapeutic use| Plant Roots| Protective Agents/majr/pharmacology/therapeutic use| Proto-Oncogene Proteins c-bcl-2/genetics| Pyrazoles/majr/toxicity| Rats Other:Allopurinol|Apoptosis|Fipronil|Garlic|Liver|Oxidative stress</t>
  </si>
  <si>
    <t>Occurrence of neonicotinoids and fipronil in estuaries and their potential risks to aquatic invertebrates.    ABSTRACT:  This study aimed to evaluate and qualify field-based potential risks of seven neonicotinoid and phenylpyrazole (fipronil) insecticides on aquatic invertebrates, including estuary-resident marine crustaceans. One hundred and ninety-three estuarine water samples, with salinity ranging from 0.5 to 32.7, were collected from four estuarine sites in the Seto Inland Sea of Japan, in 2015-2018 and the insecticide levels were measured. Five neonicotinoid and fipronil insecticides were successfully identified, and their occurrence varied temporally. Marine crustaceans were simultaneously harvested every month from one of the estuarine water sampling sites in 2015-2017. Three predominant crustacean species, kuruma prawn (Penaeus japonicus), sand shrimp (Crangon uritai), and mysid (Neomysis awatschensis), were captured and their seasonal presence was species independent. A 96-h laboratory toxicity study with the insecticides using kuruma prawn, sand shrimp, and a surrogate mysid species (Americamysis bahia) indicated that fipronil exerted the highest toxicity to the three crustaceans. Using both toxicity data and insecticide occurrence in estuarine water (salinity ≥10, n = 169), the potential risks on the three marine crustaceans were quantified by calculating the proportion of mixture toxicity effects (Pmix). The Pmix of seven neonicotinoids on the crustaceans was less than 0.8%, which is likely to be too low to indicate adverse effects caused by the insecticides. However, short temporal detection of fipronil (exclusively in June and July) significantly affected the Pmix, which presented the maximal Pmix values of 21%, 3.4%, and 72% for kuruma prawn, sand shrimp, and mysid, respectively, indicating a significant effect on the organisms. As for estuarine water (salinity &lt;10), some water samples contained imidacloprid and fipronil exceeding the freshwater benchmarks for aquatic invertebrates. The present study provides novel insights into the seasonally varying risks of insecticides to estuarine crustaceans and highlights the importance of considering whether ecological risk periods coincide with crustacean presence.Copyright © 2019 Elsevier Ltd. All rights reserved.  KEYWORDS:  MeSH Chemical: Insecticides| Neonicotinoids| Nitro Compounds| Pyrazoles| Water Pollutants, Chemical| imidacloprid| fipronil MeSH: | Animals| Crangonidae/majr/drug effects| Ecology| Estuaries| Fresh Water/chemistry| Insecticides/majr/analysis/toxicity| Japan| Neonicotinoids/majr/analysis/toxicity| Nitro Compounds/majr/analysis/toxicity| Penaeidae/majr/drug effects| Pyrazoles/majr/analysis/toxicity| Water Pollutants, Chemical/majr/analysis/toxicity Other:Aquatic invertebrate|Fipronil|Marine crustacean|Neonicotinoid|Proportion of mixture toxicity effect|Risk assessment</t>
  </si>
  <si>
    <t>Detoxification enzymes associated with butene-fipronil resistance in Epacromius coerulipes.    ABSTRACT:  Epacromius coerulipes is a widely distributed locust pest species. Chemical control is the main method used to kill locusts; however, this can result in the selection of locusts with resistance to chemical pesticides. Therefore, the study of resistance is of great significance for the sustainable management of locusts.In this study, to investigate the relationship between detoxification enzymes and butene-fipronil resistance in E. coerulipes, resistant strains of the locust were compared with sensitive strains. The synergism of synergistic agents was significantly enhanced, and the activities of multifunctional oxidase, carboxylesterase, and glutathione sulfur transferase were significantly increased. Transcriptome sequencing revealed 226 detoxification enzyme genes and 23 upregulated genes. Neighbor-joining was used to construct a phylogenetic tree of related gene families, which included 59 P450 genes, 52 carboxylesterases (CarE) genes, and 25 glutathione S-transferase (GST) genes. Reverse transcription polymerase chain reaction (RT-PCR) analysis results of overexpressed genes in the resistant population combined with a phylogenetic tree showed that four P450 genes belonged to the CYP6, CYP4, CYP18 and CYP302 families, two CarE genes belonged to Clade A families, and one GST gene belonged to the Sigma family. These family members were annotated as detoxification enzyme genes of metabolic insecticide in the transcriptome databases.This study showed that P450, CarE and GST together resulted in moderate resistance to butene-fipronil in locusts. The analysis revealed several overexpressed detoxification enzyme genes that will be the focus of future studies on the mechanism of resistance to butene-fipronil. © 2019 Society of Chemical Industry.© 2019 Society of Chemical Industry.  KEYWORDS:  MeSH Chemical: 1-(2,6-dichloro-alpha,alpha,alpha-trifluoro-p-tolyl)-5-(2-methylamino)-4-(trifluoromethylsulfinyl)pyrazole-3-carbonitrile| Hydrocarbons, Halogenated| Insecticides| Pyrazoles| Glutathione Transferase MeSH: | Animals| Glutathione Transferase| Grasshoppers/majr| Hydrocarbons, Halogenated| Inactivation, Metabolic| Insecticides| Phylogeny| Pyrazoles Other:butene-fipronil|detoxification enzyme|overexpression gene|resistance|transcriptome</t>
  </si>
  <si>
    <t>Efficacy of a spot-on combination of fluralaner plus moxidectin (Bravecto® Plus) in cats following repeated experimental challenge with a field isolate of Ctenocephalides felis.    ABSTRACT:  A spot-on formulation of fluralaner plus moxidectin has been designed to provide long-term protection against fleas and ticks, prevent heartworm disease and treat gastrointestinal nematode infections in cats. The objective of this study was to determine the efficacy of this product against fleas collected from a household with repeated fipronil failures following owner-administered treatments.Thirty cats were randomized to three equal groups: (A) untreated controls; (B) to receive a single application of fluralaner plus moxidectin (Bravecto® Plus) at 40 mg/kg and 2 mg/kg body weight, respectively; and (C) three applications at one month intervals with a spot-on formulation of fipronil and (S)-methoprene (Frontline® Plus) at 0.5 ml manufacturer recommended dose. Flea challenges were completed on Days -6 (for randomization), -1, 7, 14, 28, 42, 56, 70, 77, 84 and 91. Flea counts were completed 48 hours after initial treatment and 48 hours following each subsequent challenge.Fleas were found on all control and all fipronil and (S)-methoprene treated cats at every assessment. From Day 2 to Day 93, all cats in the fluralaner plus moxidectin group were flea-free, with one exception (Day 58; three fleas counted on one cat); control group flea counts ranged between 34-109, and fipronil and (S)-methoprene group counts ranged between 1-79. At each assessment after Day 0, compared to the control group, geometric mean flea counts were significantly lower in the fipronil and (S)-methoprene group (P ≤ 0.04) and in the fluralaner plus moxidectin group (P &lt; 0.001), and mean flea counts in the fluralaner plus moxidectin group were significantly lower than those of the fipronil and (S)-methoprene group (P &lt; 0.001). The efficacy of fluralaner plus moxidectin, based on geometric means, was 100% at each assessment post-Day 0 except on Day 58 when efficacy was 99.7%. In the fipronil and (S)-methoprene group efficacy ranged between 30.6-65.6%.These findings demonstrate complete efficacy of fluralaner plus moxidectin against a flea isolate that was not controlled by fipronil and (S)-methoprene. This study provides confirmation of the consistent, sustained efficacy of topically applied fluralaner in the treatment and control of flea infestations in cats.  KEYWORDS:  MeSH Chemical: A1443 compound| Insecticides| Isoxazoles| Macrolides| moxidectin MeSH: | Administration, Topical| Animals| Cat Diseases/majr/drug therapy| Cats/parasitology| Ctenocephalides/majr/drug effects| Drug Compounding| Female| Flea Infestations/majr/drug therapy/prevention &amp; control/veterinary| Insecticides/majr/therapeutic use| Isoxazoles/majr/therapeutic use| Macrolides/majr/therapeutic use| Male| Random Allocation| Siphonaptera/drug effects Other:Bravecto|Cat|Ctenocephalides felis|Efficacy|Fipronil|Fleas|Fluralaner|Moxidectin|S-methoprene</t>
  </si>
  <si>
    <t>Pervasive Resistance to Pyrethroids in German Cockroaches (Blattodea: Ectobiidae) Related to Lack of Efficacy of Total Release Foggers.    ABSTRACT:  Despite limited efficacy data, do-it-yourself (DIY) insecticide products often promise low-cost alternatives to professional pest control. Total release foggers (TRFs, 'bug bombs'), which are prominent DIY products, were recently shown to be ineffective at reducing German cockroach (Blattella germanica L.) infestations, in contrast to highly effective baits. However, the reason(s) for TRF failure remain unknown. Therefore, we investigated insecticide resistance of apartment-collected cockroaches from homes where TRFs failed. In topical (direct) application assays, resistance to cypermethrin (a common active ingredient in TRFs) was 202 ± 33 times that of a laboratory insecticide-susceptible population (based on LD50 ratios), while resistance to fipronil, a common bait active ingredient, was considerably lower at 14 ± 2 times that of the laboratory insecticide-susceptible population. The addition of PBO, a P450 inhibitor that synergizes pyrethroids, enhanced the efficacy of cypermethrin, but only at high doses of cypermethrin. Additionally, &gt;96% of screened cockroaches possessed at least one copy of the L993F mutation in the voltage-gated sodium channel, known to confer resistance to pyrethroids (knockdown resistance, kdr). Because TRF treatments killed insecticide-susceptible sentinel cockroaches but failed to kill apartment-collected cockroaches, these results suggest that pyrethroid resistance is a major factor contributing to the failure of TRFs. Multiple mechanisms of resistance, including metabolic detoxification of the pyrethroids and kdr mutations that confer target-site insensitivity, suggest that TRFs would lack efficacy against German cockroaches in residential settings, where high levels of pyrethroid resistance have been documented globally.© The Author(s) 2019. Published by Oxford University Press on behalf of Entomological Society of America. All rights reserved. For permissions, please e-mail: journals.permissions@oup.com.  KEYWORDS:  MeSH Chemical: Insecticides| Pyrethrins MeSH: | Animals| Biological Assay| Blattellidae/majr| Cockroaches/majr| Insecticide Resistance| Insecticides/majr| Pyrethrins/majr Other:kdr|cypermethrin|do-it-yourself pest control|topical application</t>
  </si>
  <si>
    <t>Monitoring of organophosphate and pyrethroid metabolites in human urine samples by an automated method (TurboFlow™) coupled to ultra-high performance liquid chromatography-Orbitrap mass spectrometry.    ABSTRACT:  There is a growing concern to pesticide exposure in humans, being the organophosphate (OP), carbamate and pyrethroid the most commonly used insecticides. Therefore, a fast, simple and automated screening method based on ultra-high performance liquid chromatography coupled to Orbitrap high resolution mass spectrometry (UHPLC-Orbitrap-MS) has been developed to determine six OPs metabolites (3,5,6-trichloro-2-pyridinol "TCPy", 2-isopropyl-6-methyl-4-pyrimidinol "IMPY", 4-nitrophenol "PNP", 4-nitrophenol-d4 "PNP-d4″, 3-chloro-7-hydroxy-4-methylcoumarin "CMHC" and 2-diethylamino-6-methylpyrimidin-4ol "DEAMPY") and three pyrethroid metabolites (3-phenoxybenzoic acid "3-PBA", 4-fluoro-3-phenoxybenzoic acid "4-F-3-PBA" and 3-(2,2-dichlorovinyl)-2,2-dimethyl-1-cyclopropanecarboxylic acid "cis/trans-DCCA") in human urine samples. Off-line solid phase extraction (SPE), on-line SPE and turbulent flow chromatography (TurboFlow™) extraction methodologies were compared, obtaining better results when TurboFlow™ was applied, achieving a total analysis time of 13.83 min. Several validation parameters were tested, obtaining suitable results for all studied compounds. Recoveries ranged from 70 to 116%, meanwhile repeatability and reproducibility were lower than or equal to 7% and 13%, respectively. The limits of quantification (LOQs) were set in the range from 1 μg/L to 5 μg/L (except for DCCA at 10 μg/L). Finally, thirty seven urine samples from women and men living near the agricultural areas of Almeria (Spain) were analyzed to know and control the contamination on the human health. PNP, DEAMPY and IMPY were detected in six urine samples at trace levels except IMPY, which was detected at 3.44 μg/L in one of the samples. Additionally, a post-targeted and untargeted analysis were carried out in the samples, identifying eleven insecticides such as bensulide or cinerin II, one insecticide metabolite, fipronil sulfone, one drug metabolite, carboxyibuprofen and two nicotine metabolites, cotinine and 2-(1-pyrrolidinyl)isonicotinic acid, in several samples.Copyright © 2019 Elsevier B.V. All rights reserved.  KEYWORDS:  MeSH Chemical: Environmental Pollutants| Organophosphates| Pesticides| Pyrethrins MeSH: | Automation, Laboratory/majr| Chromatography, High Pressure Liquid/methods| Environmental Pollutants/majr/metabolism/urine| Female| Humans| Male| Mass Spectrometry/methods| Organophosphates/isolation &amp; purification/metabolism| Pesticides/majr/isolation &amp; purification/metabolism/urine| Pyrethrins/isolation &amp; purification/metabolism/urine| Reproducibility of Results| Solid Phase Extraction/majr/methods Other:Metabolites|Orbitrap|Pesticides|Retrospective analysis|TurboFlow(™)|Urine</t>
  </si>
  <si>
    <t>Ecological risks of insecticide contamination in water and sediment around off-farm irrigated rice paddy fields.    ABSTRACT:  The ecological impacts of insecticides in aquatic areas around agricultural lands have long been ignored in the regulation scheme of pesticides in Japan. Upon the scheme, the predicted concentration of an insecticide in the main stream of a river is the only parameter considered, suggesting that the ecological impacts of insecticides on local biodiversity around agricultural fields are underestimated. To fill this knowledge gap, we measured insecticide concentrations in surface water and sediment in aquatic areas around paddy fields at 35 locations across Japan. Among the 18 insecticides considered, 15 were detected somewhere in Japan and their concentrations were generally higher in the southwestern region in Japan (e.g. Hiroshima, Saga, or Kagoshima prefectures). Most insecticides were accumulated at higher concentrations in sediment than in surface water, consistent with previous studies. We also detected insecticides applied to nursery boxes at high concentrations in surrounding aquatic areas, although such application is generally considered to have low environmental risks. In addition, derivatives of fipronil, which have similar toxicity as that of fipronil, were often detected in sediment at higher concentrations than fipronil itself. Concentrations of dinotefuran in water at two sampling points were higher than the 5% hazardous concentration (HC5), indicating a possibility of a risk of acute toxicity to aquatic organisms. Our findings indicate that ecological risk assessments of insecticides and their derivatives should be expanded to include concentrations in sediment and water around paddy fields as well.Copyright © 2019 Elsevier Ltd. All rights reserved.  KEYWORDS:  MeSH Chemical: Insecticides| Water Pollutants, Chemical MeSH: | Agricultural Irrigation| Aquatic Organisms/drug effects| Biodiversity| Crop Production/majr| Environmental Monitoring/majr/methods| Geologic Sediments/majr/chemistry| Insecticides/majr/analysis/toxicity| Japan| Oryza/majr/growth &amp; development| Rivers/majr/chemistry| Water Pollutants, Chemical/majr/analysis/toxicity Other:Derivatives|Ecological risks|Fipronil|Neonicotinoids|Pesticides</t>
  </si>
  <si>
    <t>Inflammatory and oxidative injury is induced in cardiac and pulmonary tissue following fipronil exposure in Japanese quail: mRNA expression of the genes encoding interleukin 6, nuclear factor kappa B, and tumor necrosis factor-alpha.    ABSTRACT:  The phenylpyrazole insecticide, fipronil, isused for the eradication of insects in agriculture, which also exposes various non-target groups such as birds and animals. Our aim was to assess the cardiac and pulmonary consequences of sub-acute administration of fipronil (1∕5 LD50; 2.26 mg/kg) in the Japanese quail for fifteen days and to determine the tissue recovery over a period of 60 days. Fipronil exposure led to a significant decrease in the body weight of the treated birds. Its exposure also induced cardiac and pulmonary damage of varying degrees. Fipronil increased the lipid peroxide (LPO) and nitric oxide (NO) contents as well as indices of tissue injury in the serum of exposed birds. Furthermore, it decreased the antioxidant indices in both the organs. Most of these changes gradually reversed and the histological changes, particularly of the heart, reversed completely by day-60 of recovery. Furthermore, alterations in the mRNA gene expressions of Nuclear factor kappa B (NF-κB), Interleukin 6 (IL-6), and Tumor necrosis factor-alpha (TNF-α) were monitored by quantitative polymerase chain reaction (RT-PCR). In both the tissues, a significant up-regulation of the transcripts was recorded after fipronil administration, which was reversed during the recovery period in the heart tissue except for TNF-α, while the transcripts in the lung tissue declined non-significantly. This study showed that the exposure of Japanese quail to fipronil has a profound negative impact on heart and lung including oxidative injury and tissue inflammation. Fipronil can induce the activity of NF-κB inflammatory -signaling pathway that play a role in the associated tissue inflammation. Although most of the cardiac changes could be reversed after a recovery period of sixty days, the pulmonary changes did not reverse much.Copyright © 2019 Elsevier Ltd. All rights reserved.  KEYWORDS:  MeSH Chemical: Antioxidants| Insecticides| Interleukin-6| NF-kappa B| Pyrazoles| RNA, Messenger| Tumor Necrosis Factor-alpha| fipronil MeSH: | Animals| Antioxidants/metabolism| Coturnix/majr/genetics| Gene Expression/majr/drug effects| Heart/majr/drug effects| Inflammation| Insecticides/majr/toxicity| Interleukin-6/genetics| Lung/majr/drug effects/immunology/metabolism| Male| Myocardium/immunology/metabolism| NF-kappa B/genetics| Oxidative Stress/majr/drug effects/genetics| Pyrazoles/majr/toxicity| RNA, Messenger/metabolism| Signal Transduction| Toxicity Tests| Tumor Necrosis Factor-alpha/genetics Other:Cytokines|Fipronil|Interleukin 6|Japanese quail|Nuclear factor kappa B|Tumor necrosis factor-α</t>
  </si>
  <si>
    <t>Fiproles in urban surface runoff: Understanding sources and causes of contamination.    ABSTRACT:  Urban-use pesticides present a unique risk to non-target organisms in surface aquatic systems because impervious pavement facilitates runoff that may lead to serious contamination and ensuing aquatic toxicity. Fipronil is an insecticide used at high rates in urban environments, especially in regions such as California. This compound and its biologically active degradation products have been detected in urban runoff drainage and downstream surface water bodies at concentrations exceeding toxicity thresholds for sensitive aquatic invertebrates, necessitating a better understanding of the runoff sources and causes of this contamination at sites of application. In this study, we evaluated sorption of fipronil, fipronil desulfinyl, fipronil sulfide, and fipronil sulfone in urban dust, soil, and concrete, matrices commonly associated with the perimeter of a residential home. Samples were also collected from five single family homes treated with fipronil in Riverside, California, for five months to determine the occurrence of fipronil and its degradates in runoff water, urban dust, soil, and on concrete surfaces. Statistical analysis was performed to determine which urban matrices contributed more significantly to the contaminant levels in runoff water. Freundlich sorption coefficients for fipronil and its degradation products in dust were 3- to 9-fold greater than their values in soil. Fipronil and its degradates were detected in 100% of runoff samples and their presence was observed in dust, soil, and concrete wipe samples for 153 d after the treatment. Linear regression analysis showed that concrete surfaces were a primary source of all four compounds to runoff, and loose dust on concrete pavement also served as an important contributor. This study represents the first comprehensive investigation of the sources and causes for surface runoff contamination by fipronil and its degradation products. Findings highlight the importance to reduce fipronil residues on concrete surfaces through improved application methods and other mitigation practices.Copyright © 2019 Elsevier Ltd. All rights reserved.  KEYWORDS:  MeSH Chemical: Dust| Insecticides| Pyrazoles| Soil| Water Pollutants, Chemical| fipronil MeSH: | Animals| California| Cities| Dust/analysis| Environmental Monitoring/majr/methods| Insecticides/majr/analysis| Invertebrates/drug effects| Pyrazoles/majr/analysis| Soil/chemistry| Water Pollutants, Chemical/majr/analysis Other:Fipronil|Risk mitigation|Runoff|Urban use pesticides|Water quality</t>
  </si>
  <si>
    <t>Evaluation of the genotoxicity of neurotoxic insecticides using the micronucleus test in Tradescantia pallida.    ABSTRACT:  Neonicotinoids and phenylpyrazoles are classes of neurotoxic insecticides which are able to bind at different ligand sites of neural receptors, leading to the deregulation of insect neural activity and hence resulting in death. The misuse or indiscriminate use of these chemicals is directly associated with several toxicological effects in biota and at different trophic levels. Based on this premise, the aim of the present study was to evaluate and compare the genotoxic capacity of different concentrations of thiamethoxam (TMX), acetamiprid (ACP), imidacloprid (IMI) and fipronil (FP) through the Micronucleus Test in Tradescantia pallida (Trad-MCN). After acclimatization (24 h), T. pallida stems were treated with stablished concentrations of TMX, ACP, IMI and FP for 8 h. Then, the stems of the model organism were submitted to a recovery phase (24 h). The young inflorescences were harvested and fixed in Carnoy solution and, after 24 h, were conserved in ethanol 70% until the analyzes. The obtained anthers were macerated on slides for microscopy, stained with acetic carmine dye and covered with coverslips before analysis by light microscopy. Considering the insecticides, the micronuclei (MN) frequency in plants treated at concentrations of 0.2 and 0.4 g L-1 for TMX, 0.2; 0.4 and 0.8 g L-1 for ACP, 0.1; 0.2; 0.4; 0.8 and 1.6 g L-1 for IMI and 0.2; 0.4; 0.8 and 1.6 g L-1 for FP differed statistically (p &lt; 0.05, Tukey) from the MN frequency of the negative control. All chemicals evaluated revealed genotoxic activity in T. pallida at the highest concentrations.Copyright © 2019 Elsevier Ltd. All rights reserved.  KEYWORDS:  MeSH Chemical: Insecticides| Neonicotinoids| Nitro Compounds| Pyrazoles| imidacloprid| acetamiprid MeSH: | Dose-Response Relationship, Drug| Insecticides/majr/toxicity| Micronucleus Tests/majr| Mutagenicity Tests| Neonicotinoids/toxicity| Nitro Compounds/toxicity| Pyrazoles| Tradescantia/majr/drug effects Other:Genotoxicity|Neonicotinoids|Pesticides|Phenylpyrazole</t>
  </si>
  <si>
    <t>Widespread occurrence and spatial distribution of glyphosate, atrazine, and neonicotinoids pesticides in the St. Lawrence and tributary rivers.    ABSTRACT:  The occurrence and spatial distribution of selected pesticides were investigated along a 200-km reach of the St. Lawrence River (SLR) and tributaries in Quebec, Canada. Surface water samples (n = 68) were collected in the summer 2017 and analyzed for glyphosate, atrazine (ATZ), 8 systemic insecticides (acetamiprid, clothianidin, dinotefuran, fipronil, imidacloprid, nitenpyram, thiacloprid, and thiamethoxam) and some metabolites. Overall, 99% of the surface water samples were positive to at least one of the targeted pesticides. The most recurrent compounds were glyphosate (detection frequency: 84%), ATZ (82%), thiamethoxam (59%), desethylatrazine (DEA: 47%), and clothianidin (46%). Glyphosate displayed variable levels (4-3,000 ng L-1), with higher concentrations in south tributaries (e.g., Nicolet and Yamaska). In positive samples, the sum of ATZ and DEA varied between 5 and 860 ng L-1, and the sum of 6 priority neonicotinoids between 1.5 and 115 ng L-1. From Repentigny to the Sorel Islands, the spatial distribution of pesticides within the St. Lawrence River was governed by the different upstream sources (i.e., Great Lakes vs. Ottawa River) due to the limited mixing of the different water masses. Cross-sectional patterns revealed higher concentrations of glyphosate and neonicotinoids in the north portions of transects, while the middle and south portions showed higher levels of atrazine. In Lake St. Pierre and further downstream, cross-sections revealed higher levels of the targeted pesticides near the southern portions of the SLR. This may be due to the higher contributions from south shore tributaries impacted by major agricultural areas, compared to north shore tributaries with forest land and less cropland use. Surface water samples were compliant with guidelines for the protection of aquatic life (chronic effects) for glyphosate and atrazine. However, 31% of the samples were found to surpass the guideline value of 8.3 ng L-1 for the sum of six priority neonicotinoids.Copyright © 2019 Elsevier Ltd. All rights reserved.  KEYWORDS:  MeSH Chemical: Neonicotinoids| Pesticides| Water Pollutants, Chemical| glyphosate| Atrazine| Glycine MeSH: | Atrazine/majr/analysis| Environmental Monitoring| Glycine/majr/analogs &amp; derivatives/analysis| Neonicotinoids/majr/analysis| Pesticides/majr/analysis| Quebec| Rivers/majr/chemistry| Spatial Analysis| Water Pollutants, Chemical/majr/analysis Other:Atrazine|Glyphosate|Neonicotinoid insecticides|Pesticides survey|St. Lawrence River|Surface water</t>
  </si>
  <si>
    <t>Enantioselective degradation and bioaccumulation of sediment-associated fipronil in Lumbriculus variegatus: Toxicokinetic analysis.    ABSTRACT:  Enantioselective degradation and biotransformation are critical processes affecting the bioaccumulation and toxicity of chiral pesticides in the environment. In the present study, enantioselective uptake, biotransformation and elimination of a current use pesticide, fipronil in a benthic invertebrate, Lumbriculus variegatus were assessed using a sediment bioaccumulation test. Toxicokinetic models were constructed to quantitatively describe kinetic processes of fipronil enantiomers. The degradation of fipronil in sediment significantly affected chemical uptake, thus degradation kinetic model was incorporated into toxicokinetic modeling. It was shown that S-(+)-fipronil degraded faster than R-(-)-fipronil in sediment, with dissipation rate constants being 0.090 ± 0.008 and 0.023 ± 0.006 1/d, respectively. As a result, R-(-)-enantiomer preferentially accumulated in sediment over time. Similarly, higher concentrations of R-(-)-fipronil were detected in L. variegatus compared with S-(+)-fipronil. Toxicokinetic modeling showed R-(-)-fipronil had larger uptake and elimination rate coefficients and apparent maximum reaction rate, but a smaller apparent half-saturation constant than S-(+)-fipronil. Preferential uptake of R-(-)-fipronil from sediment to L. variegatus was the main reason for greater R-(-)-fipronil concentrations in organism. Biotransformation of fipronil in L. variegatus was also enantioselective, yet it played fewer roles on enantioselective bioaccumulation than uptake. Overall, our findings highlight the importance of selective degradation, uptake and biotransformation of sediment-associated fipronil on its enantioselective bioaccumulation in benthic invertebrates, which helps to improve the accuracy for assessing aquatic toxicity of the chiral pesticide. CAPSULE: Enantioselective bioaccumulation of sediment-associated fipronil in Lumbriculus variegatus was quantitatively explained by selective degradation, uptake, biotransformation and elimination parameters using a combination of degradation and toxicokinetic modeling.Copyright © 2019 Elsevier B.V. All rights reserved.  KEYWORDS:  MeSH Chemical: Pyrazoles| Water Pollutants, Chemical| fipronil MeSH: | Animals| Biodegradation, Environmental| Oligochaeta/majr/metabolism/physiology| Pyrazoles/majr/metabolism/toxicity| Stereoisomerism| Water Pollutants, Chemical/majr/metabolism/toxicity Other:Benthic invertebrates|Chiral pesticide|Enantioselective biotransformation|Enantioselective degradation|Toxicokinetic modeling</t>
  </si>
  <si>
    <t>Efficacy of a new topical formulation of selamectin plus sarolaner for the control of fleas and ticks infesting cats in Japan.    ABSTRACT:  The efficacy of a single application of a new topical formulation containing selamectin plus sarolaner (Revolution® Plus / Stronghold® Plus, Zoetis) was evaluated against fleas and ticks infesting cats enrolled as veterinary patients in two field studies conducted in Japan and against Haemaphysalis longicornis ticks on cats in a laboratory study. In the laboratory study, sixteen cats were ranked based on pre-treatment tick counts and allocated randomly to treatment on Day 0 with either selamectin plus sarolaner or placebo. Cats were infested with adult H. longicornis on Days -2, 5, 12, 19, 26 and 33. Efficacy relative to placebo was based on live attached tick counts conducted 48 h after treatment and subsequent re-infestations. Selamectin plus sarolaner reduced live, attached H. longicornis counts by 96.4% within 48 h of treatment, and by ≥91.7% within 48 h of weekly re-infestation for 35 days, based on arithmetic means. In the field studies, 67 client-owned cats harboring six or more live fleas and 63 cats harboring four or more live attached ticks were enrolled to evaluate selamectin plus sarolaner for efficacy and safety compared with a registered product. Cats were allocated randomly to treatment with selamectin plus sarolaner or fipronil plus (S)-methoprene based on order of presentation. Treatment was administered once on Day 0 and efficacy was assessed by parasite counts conducted on Days 14 and 30 compared to the pre-treatment count. In the flea field study, live flea counts on Days 14 and 30 were reduced by 99.5% and 99.9% in the selamectin plus sarolaner group, and by 97.6% and 98.6% in the fipronil plus (S)-methoprene group, based on least squares mean percentage reductions. Clinical signs typically associated with flea allergy dermatitis improved following treatment. In the tick field study, live tick counts on Days 14 and 30 were reduced by 97.5% and 97.7% in the selamectin plus sarolaner group, and by 91.5% and 93.4% in the fipronil plus (S)-methoprene group, based on least squares mean percentage reductions. Selamectin plus sarolaner was determined to be non-inferior to fipronil plus (S)-methoprene in both field studies. There were no treatment-related adverse events in any study. A single topical dose of Revolution® Plus / Stronghold® Plus providing a minimum dosage of 6.0 mg/kg selamectin and 1.0 mg/kg sarolaner was confirmed to be effective against H. longicornis ticks on cats for one month and safe and effective in the treatment of fleas and ticks on cats enrolled as veterinary patients in Japan.Copyright © 2019 Zoetis Services LLC. Published by Elsevier B.V. All rights reserved.  KEYWORDS:  MeSH Chemical: Acaricides| Azetidines| Insecticides| Pyrazoles| Spiro Compounds| sarolaner| Ivermectin| Methoprene| selamectin| fipronil MeSH: | Acaricides/administration &amp; dosage| Administration, Topical| Animals| Azetidines/majr/administration &amp; dosage| Cat Diseases/majr/drug therapy/prevention &amp; control| Cats| Drug Compounding/veterinary| Female| Flea Infestations/majr/drug therapy/prevention &amp; control/veterinary| Insecticides/administration &amp; dosage| Ivermectin/majr/administration &amp; dosage/analogs &amp; derivatives| Japan| Male| Methoprene/administration &amp; dosage| Pyrazoles/administration &amp; dosage| Random Allocation| Siphonaptera/drug effects| Spiro Compounds/majr/administration &amp; dosage| Tick Control/majr| Tick Infestations/majr/drug therapy/prevention &amp; control/veterinary| Ticks/drug effects| Treatment Outcome Other:Cat|Efficacy|Field study|Flea|Haemaphysalis longicornis|Laboratory study|Safety|Sarolaner|Selamectin|Tick</t>
  </si>
  <si>
    <t>Exposure of low-dose fipronil enantioselectively induced anxiety-like behavior associated with DNA methylation changes in embryonic and larval zebrafish.    ABSTRACT:  Fipronil, a broad-spectrum chiral insecticide, has been documented to induce significant neurotoxicity to nontarget aquatic species; however, whether its neurotoxicity behaves enantioselectively and what molecular mechanisms correspond to the neurotoxicity remain unanswered. To date, few investigations have focused on the genomic mechanisms responsible for the enantioselective toxicity of chiral pesticides. The epigenetic modifications, especially DNA methylation, caused by the pesticides are also blind spot of the research works. Video tracking showed that R-fipronil exhibited more intense neurotoxicity, as well as the induction of more severe anxiety-like behavior, such as boosted swimming speed and dysregulated photoperiodic locomotion, to embryonic and larval zebrafish compared with S-fipronil. The MeDIP-Seq analysis, combined with Gene Ontology and KEGG, revealed that R-fipronil disrupted five signaling pathways (MAPK, Calcium signaling, Neuroactive ligand-receptor interaction, Purine metabolism, and Endocytosis) to a greater extent than S-fipronil through the hypermethylation of several important neuro-related genes, whereas no significant alterations of global DNA methylation were observed on the two enantiomers. To summarize, our data indicated that the fipronil-conducted enantioselective neurotoxicity likely applied its enantioselectivity by the dysregulation of DNA methylation. Our study also provided novel epigenetic insights into the study of enantioselective biological effects and the relevant underlying mechanisms of chiral insecticide.Copyright © 2019 Elsevier Ltd. All rights reserved.  KEYWORDS:  MeSH Chemical: Insecticides| Pesticides| Pyrazoles| Water Pollutants, Chemical| fipronil MeSH: | Animals| Anxiety/chemically induced| Behavior, Animal/majr/drug effects| DNA Methylation| Embryo, Nonmammalian/drug effects/physiology| Insecticides/majr/toxicity| Larva/metabolism| Pesticides| Pyrazoles/majr/toxicity| Water Pollutants, Chemical/majr/toxicity| Zebrafish/embryology/metabolism Other:Chiral|DNA methylation|Fipronil|Neurotoxicity</t>
  </si>
  <si>
    <t>Shedding of feline lungworm larvae and their infectivity to snail intermediate hosts after anthelmintic treatment.    ABSTRACT:  Aelurostrongylus abstrusus and Troglostrongylus brevior are snail-transmitted helminths causing respiratory diseases in infected cats. The shedding of feline lungworm L1s and their infectivity to the snail intermediate host, after administration of anthelminthic products to cats, are poorly documented. To assess the efficacy of 8.3% fipronil, 10% (S)-methoprene, 0.4% eprinomectin and 8.3% praziquantel (i.e. eprinomectin formulation) and 10% imidacloprid/1% moxidectin (i.e. moxidectin formulation) against these nematodes and to determine the number of days post-treatment until viable L1s are released in the faeces, 384 animals were screened by faecal examination. Of the 54 positive animals (i.e., 14.1%; 7.3% A. abstrusus, 6.2% T. brevior and 0.5% coinfected), 36 were randomly allocated to four groups. Groups A and B were composed of cats positive for T. brevior and treated with the eprinomectin and with the moxidectin formulations, respectively, whereas cats in groups C and D were positive to A. abstrusus and treated with the eprinomectin and the moxidectin formulations, respectively. Prior to and every day after treatment, faecal samples were analysed by the Baermann technique and the number of larvae per gram of faeces determined, and again four weeks after treatment, to assess the efficacy of a single administration of the products. In addition, to evaluate the pre- and post-treatment infectivity of L1s to snail intermediate hosts, one/two snails per cat were infected with 100 L1s collected from the faeces of enrolled animals and then digested 28 days p.i. Based on L1s faecal counts, the efficacy of the eprinomectin and the moxidectin formulations at 28 days was 100% for both A. abstrusus and T. brevior, with a mean number of days of 7.9 ± 1.2 in group A, 7.8 ± 1.9 in B, 6.9 ± 1.6 in C and 8.9 ± 2.0 in D to become negative. Following the artificial digestion, active L3s of T. brevior and A. abstrusus were found in 160 (87.4%) experimentally infected snails. The results of this study demonstrate that a single administration of the two formulations is effective in the treatment of A. abstrusus and T. brevior infections and that during the post-treatment period live L1s are shed for up to 8.9 ± 2.0 days. L1s of both lungworm species released in the faeces after drug administration are still able to reach the infective larval stage in the infected snails. Hence, preventative measures after the treatment of infected animals should include keeping cats indoors and disposal of their faeces for approximately 10 days to avoid environmental contamination and infection of gastropod intermediate hosts.Copyright © 2019 Australian Society for Parasitology. Published by Elsevier Ltd. All rights reserved.  KEYWORDS:  MeSH Chemical: Anthelmintics MeSH: | Analysis of Variance| Animals| Anthelmintics/majr/pharmacology/therapeutic use| Cat Diseases/majr/drug therapy/parasitology/transmission| Cats| Feces/parasitology| Female| Larva/genetics/physiology| Male| Metastrongyloidea/majr/drug effects/genetics/physiology| Respiratory Tract Infections/majr/drug therapy/parasitology/transmission/veterinary| Snails/majr/parasitology| Strongylida Infections/majr/drug therapy/parasitology/transmission/veterinary Other:Aelurostrongylus abstrusus|Anthelmintic treatment|Infectivity|Larvae|Lungworms|Snails|Troglostrongylus brevior</t>
  </si>
  <si>
    <t>Mutations in Rhipicephalus microplus GABA gated chloride channel gene associated with fipronil resistance.    ABSTRACT:  The tropical cattle tick, Rhipicephalus microplus, is one of the most damaging parasites that affects cattle in tropical and subtropical regions in the world. Tick resistance to acaricides is dispersed worldwide and a number of associated mutations in target site genes have been described. Phenylpyrazole (e.g. fipronil) and cyclodiene (e.g. lindane, dieldrin) insecticides both have the same mode of action blocking the GABA-gated chloride channel encoded by the GABA-Cl gene. A conserved mutation, rdl (resistance to dieldrin) is found across a number of arthropods resistant to cyclodienes and phenylpyrazoles. In ticks, the mutation T290 L, was identified in the second transmembrane (TM2) domain of the GABA-gated chloride channel of Australian cattle tick populations that are resistant to dieldrin. Recently, cross-resistance between fipronil and lindane was reported in R. microplus populations obtained from Uruguay and Brazil. The objective of the present study was to identify mutations in the GABA-Cl gene associated with fipronil resistance. Genomic DNA was obtained from engorged females from fipronil-susceptible and resistant populations sampled from Uruguay and Brazil (n = 166). Initially, it was searched the T290 L mutation described in Australia; however, this mutation was not detected in individuals from resistant populations from either country. The sequencing of a fragment of the GABA-Cl gene revealed nucleotide polymorphisms in fipronil- and lindane-resistant ticks in two populations from Uruguay and five from Brazil. Five amino acid substitutions were present in the resistant strains. Two different substitutions were found in an alanine residue (A286S and A286 L) that is homolog to rdl mutations in fipronil-resistant individuals of other arthropod species. Four other amino acid substitutions (S281 T, V317I, T328 A and A329S) were present in some resistant strains, always with the mutation A286S. This is the first documentation of mutations in the GABA-Cl gene associated with fipronil-resistant in R. microplus.Copyright © 2019 Elsevier GmbH. All rights reserved.  KEYWORDS:  MeSH Chemical: Acaricides| Arthropod Proteins| Chloride Channels| Pyrazoles| Receptors, GABA| fipronil MeSH: | Acaricides/majr| Amino Acid Substitution| Animals| Arthropod Proteins/genetics| Australia| Cattle| Cattle Diseases/parasitology| Chloride Channels/majr/genetics| Drug Resistance/majr/genetics| Mutation| Polymorphism, Genetic| Pyrazoles/majr| Receptors, GABA/majr/genetics| Rhipicephalus/majr/genetics| Tick Infestations Other:Fipronil resistance|Mutation|Rhipicephalus microplus</t>
  </si>
  <si>
    <t>Effect of non-antifungal agrochemicals on the pathogenic fungus Cryptococcus gattii.    ABSTRACT:  The chemical control of pests and weeds is employed to improve crop production and the quality of agricultural products. The intensive use of pesticides, however, may cause environmental contamination, thus altering microbial communities. Cryptococcus gattii is an environmental yeast and the causative agent of cryptococcosis in both humans and animals. Up to this day, the effects of agrochemicals on human pathogens living in nature are still widely unknown. In this work, we analyzed the susceptibility of C. gattii to nonfungicide agrochemicals (herbicides and insecticides). Microdilution and drug-combination susceptibility tests were performed for the herbicides flumioxazin (FLX), glyphosate (GLY), isoxaflutole (ISO), pendimethalin (PEND), and also for the insecticide fipronil (FIP). Moreover, these compounds were combined with the clinical antifungals amphotericin B and fluconazole. The MIC values found for the agrochemicals were the following: &lt; 16 μg/ml, for flumioxazin; 128 to 256 μg/ml, for FIP, ISO, and PEND; and &gt;256 μg/ml, for GLY. Synergistic and antagonistic interactions, depending on the strain and concentration tested, were also observed. All strains had undergone adaptation to increasing levels of agrochemicals, in order to select the less susceptible subpopulations. During this process, one C. gattii strain (196 L/03) tolerated high concentrations (50 to 900 μg/ml) of all pesticides assessed. Subsequently, the strain adapted to flumioxazin, isoxaflutole and pendimethalin showed a reduction in the susceptibility to agrochemicals and clinical antifungals, suggesting the occurrence of cross-resistance. Our data point to the risk of exposing C. gattii to agrochemicals existing in the environment, once it might impact the susceptibility of clinical antifungals.© The Author(s) 2019. Published by Oxford University Press on behalf of The International Society for Human and Animal Mycology.  KEYWORDS:  MeSH Chemical: Agrochemicals| Antifungal Agents| Drug Combinations| Herbicides| Insecticides MeSH: | Agrochemicals/majr/pharmacology| Antifungal Agents/pharmacology| Cryptococcus gattii/majr/drug effects/pathogenicity| Drug Combinations| Drug Resistance, Fungal/majr| Herbicides/pharmacology| Insecticides/pharmacology| Microbial Sensitivity Tests Other:agrochemicals|antifungal susceptibility|clinical antifungals</t>
  </si>
  <si>
    <t>Retrospective nationwide occurrence of fipronil and its degradates in U.S. wastewater and sewage sludge from 2001 - 2016.    ABSTRACT:  The insecticide fipronil is under regulatory scrutiny worldwide for its toxicity to pollinators and aquatic invertebrates. We conducted the first U.S. nationwide, longitudinal study of sewage sludges for fiproles, i.e., the sum of fipronil and its major degradates (fipronil sulfone, sulfide, amide, and desulfinyl). Archived sludges (n = 109) collected in three campaigns over 15 years were analyzed by isotope dilution liquid chromatography tandem mass spectrometry, revealing ubiquitous fiprole occurrence (0.2-385.3 μg/kg) since 2001 and a significant increase (2.4 ± 0.3 fold; p &lt; 0.005) both from 2001 to 2006/7 and from 2001 to 2015/6, but not a significant increase from 2006/7 to 2015/6 (p = 0.275). A geospatial analysis showed fiprole levels in municipal sludges to be uncoupled from agricultural use of fipronil on cropland surrounding sampled municipalities, thus pointing to non-agricultural uses (i.e., spot-on treatment and urban pest control) as a major source of fiprole loading to wastewater. Whereas anaerobic digestion was correlated with increases in fipronil sulfide at the expense of parental fipronil (p &lt; 0.001), total fiprole levels in sewage sludges were similar regardless of the solids treatment approach applied (p = 0.519). Treatment plant effluent available from 12 facilities in 2015/6 contained fiproles at 0.3-112.9 ng/L, exceeding the United States Environmental Protection Agency (USEPA) aquatic invertebrate life benchmark for chronic fipronil exposure (11 ng/L) in 67% of cases. Whereas the USEPA identified fipronil in sludge only recently (2015), retrospective analyses and modeling conducted here show contaminant ubiquity and nationwide increases of fiprole mass (compared to 2001 levels) in U.S. municipal sludge (1140 ± 230 kg in 2015/6), and treated effluent nationwide (1970 ± 390 kg in 2015/6) over the past 15 years.Copyright © 2019 Elsevier Ltd. All rights reserved.  KEYWORDS:  MeSH Chemical: Pyrazoles| Sewage| Waste Water| fipronil MeSH: | Animals| Cities| Longitudinal Studies| Pyrazoles| Retrospective Studies| Sewage/majr| United States| Waste Water/majr Other:Fipronil|Sewage sludge|Treated effluent|United States</t>
  </si>
  <si>
    <t>Interaction of fipronil and the red imported fire ant (Solenopsis invicta): Toxicity differences and detoxification responses.    ABSTRACT:  Fipronil (FIP), a phenyl-pryazole pesticide, has been widely used for crop protection due to its broad insecticidal spectrum, especially for urban insect management. FIP also serves as the active ingredient of major baits used for the control of the red imported fire ant (RIFA; Solenopsis invicta). Although a vast majority of laboratory-based research has been performed using worker ants as a model, limited information is available regarding the toxicity of FIP in individuals from different castes and developmental stages. In this study, we investigated the interaction between FIP and this important pest, including FIP toxicity and transformation, RIFA enzyme activity and responses to FIP exposure. The topical and feeding toxicity of FIP in five adult castes, worker larvae and worker pupae were determined and compared. Topical toxicity assays showed that there were significant differences in FIP toxicity among adult workers (LD50 = 1.17 μg/g), larvae (LD50 = 1891.00 μg/g) and pupae (LD50 = 23981.00 μg/g). Although, no obvious differences in topical toxicity were observed among the adult castes, the differences in feeding toxicity were significant. For example, the LC50 value for the workers was 3.96-fold lower than that for soldiers at 24 h, and the LC50 value was slightly lower for male alates than for female alates at day 3 and day 4, respectively. The activities of detoxification enzymes in individuals of different castes and developmental stages were investigated with or without FIP treatment. Cytochrome P450 activity was approximately 24-fold higher in larvae than in workers, and adult workers exhibited 4-fold higher FIP-induced cytochrome P450 activity than individuals from other adult castes. In addition, in vitro experiments demonstrated that FIP was transformed into FIP-sulfone, and this process may be primarily mediated by RIFA P450(s).Copyright © 2019. Published by Elsevier Ltd.  KEYWORDS:  MeSH Chemical: Insecticides| Pyrazoles| Cytochrome P-450 Enzyme System| Glutathione Transferase| fipronil MeSH: | Animals| Ants/majr/drug effects/enzymology| Cytochrome P-450 Enzyme System/metabolism| Female| Glutathione Transferase/metabolism| Inactivation, Metabolic| Insecticides/majr/toxicity| Larva/drug effects| Male| Pyrazoles/majr/toxicity| Toxicity Tests Other:Detoxification response|Fipronil|Solenopsis invicta|Toxicity</t>
  </si>
  <si>
    <t>Reactive seizures in cats: A retrospective study of 64 cases.    ABSTRACT:  Epileptic seizures are a common indication for neurological evaluation. This retrospective study reviewed 789 cats referred for epileptic seizure evaluation to the Department of Small Animal Medicine and Surgery of the University of Veterinary Medicine in Hannover, between 1998 and 2017. The aim of this study was to determine common causes for reactive seizures (RS) in cats. Reactive seizures were diagnosed in 62 (7.9%) of 789 feline patients. The most common cause of RS was presumptive or confirmed intoxication (n=34/62; 54.8%). Toxins included permethrin (n=5/62; 8.1%), fipronil (n=1/62; 1.6%), and pesticide (n=1/62; 1.6%). Other common causes were hepatic and renal encephalopathy (n=6/62; 9.7% each), hypertension (n=5/62; 8.1%), hyperthyroidism (n=3/62; 4.8%), hypoglycaemia (n=3/62; 4.8%), and hyperglycaemia (n=1/62; 1.6%). Most commonly, cats with RS presented with generalised tonic-clonic seizures (n=25/62; 40.3%). A single status epilepticus was observed in 9.7% (n=6/62) and 4.8% (n=3/62) presented only with cluster seizures. Focal seizures were the only presenting sign in 3.2% (n=2/62) of cases, however in 4.8% (n=3/62) they were accompanied by tonic-clonic seizures. The mean age of all cats presented for RS was 10.8 years. In the intoxication group, the mean age was 2.9 years. Intoxication (confirmed or presumptive) was the most common cause of RS identified. Clinicians should suspect intoxication when other causes of RS are excluded; when there are appropriate historical findings; when the cat is frequently unobserved by the owner; when symptomatic treatment leads to cessation of epileptic seizures; and when seizures do not recur after treatment has been discontinued.Copyright © 2018 Elsevier Ltd. All rights reserved.  KEYWORDS:  MeSH Chemical: Pesticides MeSH: | Animals| Cat Diseases/majr/epidemiology/etiology| Cats| Female| Germany/epidemiology| Male| Neurologic Examination/veterinary| Pesticides/toxicity| Poisoning/complications/veterinary| Recurrence| Retrospective Studies| Seizures/majr/epidemiology/etiology/veterinary Other:Cats|Intoxication|Reactive seizures</t>
  </si>
  <si>
    <t>Susceptibility Profile of Aedes aegypti L. (Diptera: Culicidae) from Montclair, California, to Commonly Used Pesticides, With Note on Resistance to Pyriproxyfen.    ABSTRACT:  The peridomestic anthropophilic Aedes aegypti L. (Diptera: Culicidae) is originated from the wild zoophilic subspecies Aedes aegypti formosus in sub-Saharan Africa, and currently has a broad distribution in human-modified environments of the tropics and subtropics worldwide. In California, breeding populations were initially detected in 2013 in the cities of Fresno, Madera, and San Mateo, and now can be found in 188 cities of 12 counties in the state. Recent genetic studies suggest that this species invaded California on multiple occasions from several regions of the United States and northern Mexico prior to initial detection. As an invasive species and vector for numerous arboviruses, Ae. aegypti is a primary target of surveillance and control in California. In southern California city of Montclair, a population was identified in September 2015, from which a short-term colony was established in an insectary. The susceptibility of this field population to commonly used pesticides with various modes of action, including 15 formulations against larvae and four against adults, was determined, in reference to a susceptible laboratory colony of the same species. No resistance was shown to most pesticides tested. However, tolerance or reduced susceptibility to spinosad, spinetoram, diflubezuron, and fipronil was detected, and modest levels of resistance to pyriproxyfen (resistance ratio = 38.7-fold at IE50 and 81.5-fold at IE90) was observed. Results are discussed based on the field usage and modes of action of the pesticides tested. Strategic selection and application of pesticides against this population of Ae. aegypti in the urban environments should be taken into consideration.© The Author(s) 2019. Published by Oxford University Press on behalf of Entomological Society of America. All rights reserved. For permissions, please e-mail: journals.permissions@oup.com.  KEYWORDS:  MeSH Chemical: Insecticides| Pyridines| pyriproxyfen MeSH: | Aedes/majr| Animals| California| Insecticides/majr| Larva| Pyridines/majr Other:Aedes aegypti|adulticide|larvicide|resistance|susceptibility</t>
  </si>
  <si>
    <t>Evaluation of pilot-scale biochar-amended woodchip bioreactors to remove nitrate, metals, and trace organic contaminants from urban stormwater runoff.    ABSTRACT:  Stormwater is increasingly being valued as a freshwater resource in arid regions and can provide opportunities for beneficial reuse via aquifer recharge if adequate pollutant removal can be achieved. We envision a multi-unit operation approach to capture, treat, and recharge (CTR) stormwater using low energy, cost-effective technologies appropriate for larger magnitude, less frequent events. Herein, we tested nutrient, metal, and trace organic contaminant removal of a pilot-scale CTR system in the laboratory using biochar-amended woodchip bioreactors following eight months of aging under field conditions with exposure to real stormwater. Replicate columns with woodchips and biochar (33% by weight), woodchips and straw, or woodchips only were operated with continuous, saturated flow for eight months using water from a watershed that drained an urban area consisting of residential housing and parks in Sonoma, California. After aging, columns were challenged for five months by continuous exposure to synthetic stormwater amended with 50 μg L-1 of six trace organic contaminants (i.e., fipronil, diuron, 1H-benzotriazole, atrazine, 2,4-D, and TCEP) and five metals (Cd, Cu, Ni, Pb, Zn) frequently detected in stormwater in order to replicate the treatment unit operation of a CTR system. Throughout the eight-month aging and five-month challenge experiment, nitrate concentrations were below the detection limit after treatment (i.e., &lt;0.05 mg N L-1). The removal efficiencies for metals in all treatments were &gt;80% for Ni, Cu, Cd, and Pb. For Zn, about 50% removal occurred in the woodchip-biochar systems while the other systems achieved about 20% removal. No breakthrough of the trace organic compounds was observed in any biochar-containing columns. Woodchip columns without biochar removed approximately 99% of influent atrazine and 90% of influent fipronil, but exhibited relatively rapid breakthrough of TCEP, 2,4-D, 1H-benzotriazole, and diuron. The addition of straw to the woodchip columns provided no significant benefit compared to woodchips alone. Due to the lack of breakthrough of trace organics in the biochar-woodchip columns, we estimated column breakthrough with a diffusion-limited sorption model. Results of the model indicate breakthrough for the trace organics would occur between 10,000 and 32,000 pore volumes. Under ideal conditions this could be equivalent to decades of service, assuming failure by other processes (e.g., clogging, biofouling) does not occur. These results indicate that multiple contaminants can be removed in woodchip-biochar reactors employed in stormwater treatment systems with suitable flow control and that the removal of trace organic contaminants is enhanced significantly by addition of biochar.Copyright © 2019 Elsevier Ltd. All rights reserved.  KEYWORDS:  MeSH Chemical: Metals| biochar| Charcoal MeSH: | Bioreactors/majr| California| Charcoal| Denitrification/majr| Metals Other:Biochar|Metals|Nitrate|Stormwater treatment|Trace organic contaminants|Woodchip bioreactor</t>
  </si>
  <si>
    <t>Effects of urban multi-stressors on three stream biotic assemblages.    ABSTRACT:  During 2014, the U.S. Geological Survey (USGS) National Water-Quality Assessment (NAWQA) project assessed stream quality in 75 streams across an urban disturbance gradient within the Piedmont ecoregion of southeastern United States. Our objectives were to identify primary instream stressors affecting algal, macroinvertebrate and fish assemblages in wadeable streams. Biotic communities were surveyed once at each site, and various instream stressors were measured during a 4-week index period preceding the ecological sampling. The measured stressors included nutrients; contaminants in water, passive samplers, and sediment; instream habitat; and flow variability. All nine boosted regression tree models - three for each of algae, invertebrates, and fish - had cross-validation R2 (CV R2) values of 0.41 or above, and an invertebrate model had the highest CV R2 of 0.65. At least one contaminant metric was important in every model, and minimum daytime dissolved oxygen (DO), nutrients, and flow alteration were important explanatory variables in many of the models. Physical habitat metrics such as sediment substrate were only moderately important. Flow alteration metrics were useful factors in eight of the nine models. Total phosphorus, acetanilide herbicides and flow (time since last peak) were important in all three algal models, whereas insecticide metrics (especially those representing fipronil and imidacloprid) were dominant in the invertebrate models. DO values below approximately 7 mg/L corresponded to a strong decrease in sensitive taxa or an increase in tolerant taxa. DO also showed strong interactions with other variables, particularly contaminants and sediment, where the combined effect of low DO and elevated contaminants increased the impact on the biota more than each variable individually. Contaminants and flow alteration were strongly correlated to urbanization, indicating the importance of urbanization to ecological stream condition in the region.Published by Elsevier B.V.  KEYWORDS:  MeSH Chemical: Pesticides| Water Pollutants, Chemical| Oxygen MeSH: | Animals| Cities| Diatoms/drug effects/physiology| Fishes/physiology| Geologic Sediments/chemistry| Invertebrates/drug effects| Models, Theoretical| Oxygen/analysis| Pesticides/analysis| Regression Analysis| Rivers/majr/chemistry| Stress, Physiological| United States| Water Movements| Water Pollutants, Chemical/majr/analysis| Water Quality/majr Other:Algae|Fish|Invertebrates|Models|Multi-stressors|Piedmont streams|Urban</t>
  </si>
  <si>
    <t>An enhanced sensitivity and cleanup strategy for the nontargeted screening and targeted determination of pesticides in tea using modified dispersive solid-phase extraction and cold-induced acetonitrile aqueous two-phase systems coupled with liquid chromatography-high resolution mass spectrometry.    ABSTRACT:  At present, matrix interferences in tea are still a great challenge for analysis of multi-pesticide residues. Herein, a simple sample preparation method was developed based on the modified dispersive solid-phase extraction (DSPE) procedure and cold-induced acetonitrile aqueous two-phase systems (ATPS). In modified DSPE procedure, polyvinylpolypyrrolidone (PVPP) was selected as the matrix dispersive adsorbent to remove polyphenols from the tea with the removal rate of &gt;98.3%. Using cold-induced acetonitrile ATPS, caffeine of the tea extract was sharply reduced by 81.2%, and a 0.798-3.167 of enrichment factor for the representative pesticides was achieved. In liquid chromatography-high resolution mass spectrometry analysis, a full scan/data independent acquisition approach was used for the nontargeted screening and targeted determination of pesticides. In data analysis, an in-house database of pesticides was constructed, and a simple accurate mass calibration method was used to correct the accurate mass variation, which was conducive to reduce the number of false detects.Copyright © 2018 Elsevier Ltd. All rights reserved.  KEYWORDS:  MeSH Chemical: Acetonitriles| Pesticide Residues| Tea| Water| acetonitrile MeSH: | Acetonitriles/majr/chemistry| Chromatography, Liquid| Cold Temperature/majr| Food Analysis/majr/methods| Food Contamination/majr/analysis| Limit of Detection| Pesticide Residues/majr/analysis/chemistry/isolation &amp; purification| Solid Phase Extraction| Tandem Mass Spectrometry| Tea/majr/chemistry| Water/majr/chemistry Other:Acetamiprid (PubChem CID: 213021)|Aqueous two-phase systems|Buprofezin (PubChem CID: 50367)|Caffeine (PubChem CID: 2519)|Carbendazim (PubChem CID: 25429)|Chlorpyrifos (PubChem CID: 2730)|Difenoconazole (PubChem CID: 86173)|Dispersive solid-phase extraction|Fipronil (PubChem CID: 3352)|High resolution mass spectrometry|Imidacloprid (PubChem CID: 86418)|Matrix effect|Methomyl (PubChem CID: 4109)|Pesticides|Tea|Thiamethoxam (PubChem CID: 5821911)</t>
  </si>
  <si>
    <t>Distribution of fipronil in humans, and adverse health outcomes of in utero fipronil sulfone exposure in newborns.    ABSTRACT:  Fipronil is a highly effective insecticide with extensive usages; however, its distribution and toxic/health effects in the human population after chronic exposure have not yet been clearly identified. Our objectives were to determine the levels of serum fipronil and fipronil sulfone, a primary fipronil metabolite, in a general and sensitive human population using a birth cohort of parent-infant triads in Korea. We further investigated whether in utero exposure to fipronil and fipronil sulfone can affect health outcomes in newborn infants. Blood and umbilical cord blood from 169 participants, 59 mother-neonate pairs and 51 matching biological fathers, were collected; serum fipronil and fipronil sulfone (both blood and cord blood) and serum thyroid hormones (cord blood) were measured. Demographic, physiological, behavioral, clinical, and socioeconomic data for each participant were collected via a one-on-one interview and a questionnaire survey. Fipronil sulfone was detected in the serum of mothers, fathers, and infantile cord blood, while fipronil itself was not. Maternal fipronil sulfone levels were correlated to those of matched biological fathers and newborn infants. Adjusted analyses identified significant associations between parental fipronil sulfone levels and household income. Infantile fipronil sulfone levels were significantly associated with both maternal and paternal levels as well as maternal pre-pregnant BMI. Furthermore, infantile fipronil sulfone levels were inversely associated with cord blood T3 and free T3 levels as well as 5-min Apgar scores of newborn infants. Serum fipronil sulfone was detected in a specific population of mother-neonate pairs and their matched biological fathers in a manner suggestive of regular exposure to fipronil among urban residents. The findings also suggest that serum fipronil sulfone placentally transfers to the fetus and affects infantile adverse health outcomes. This is a first of its kind study; therefore, future studies are warranted.Copyright © 2019. Published by Elsevier GmbH.  KEYWORDS:  MeSH Chemical: Insecticides| Pyrazoles| Thyroid Hormones| fipronil sulfone| fipronil MeSH: | Adult| Apgar Score| Biological Monitoring| Female| Fetal Blood/majr/chemistry| Humans| Infant, Newborn| Insecticides/majr/blood| Male| Maternal Exposure| Maternal-Fetal Exchange| Paternal Exposure| Pregnancy| Pyrazoles/majr/blood| Republic of Korea| Thyroid Hormones/blood Other:Birth cohort|Fipronil|Fipronil sulfone|Infantile health outcomes|Placentally transfer</t>
  </si>
  <si>
    <t>Hazardous sub-cellular effects of Fipronil directly influence the organismal parameters of Spodoptera litura.    ABSTRACT:  Indiscriminate use of insecticides/pesticides affects the structure and function of the ecosystems. The present study was aimed to investigate the toxic potential of Fipronil (a second generation phenylpyrazole) using Spodoptera litura larvae (Lepidoptera: Noctuidae) as an experimental model. Commercial grade of Fipronil, an insecticide was fed (20-80 mg/L) to the 4th instar larvae of S. litura for 12-72 h and examined different molecular, biochemical and organismal parameters. We observed a significant dose- and time-dependent changes in the biochemical parameters such as Superoxide dismutase (SOD), Glutathione-S-transferase (GST), Catalase (CAT), level of 8-hydroxy 2'-deoxyguanosine (8-OHdG) and Thiobarbituric Acid Reactive Substances (TBARS) [Malondialdehyde (MDA) equivalent] in the exposed larvae. We also observed that Fipronil interacts with DNA. Next, we examined the influence of sub-cellular damages at the organismal level. The alterations in the parameter such as the delayed emergence of larvae, reduced fecundity, fertility and increased rate of malformation in pupae and adults indicate the sub-organismal damages influence at the organismal level. The findings of the present study suggest that discriminatory non-scientific use of insecticide/pesticide might influence the population dynamics of insects and in large ecosystem too and needs further thorough investigations.Copyright © 2019 Elsevier Inc. All rights reserved.  KEYWORDS:  MeSH Chemical: Insecticides| Pyrazoles| Thiobarbituric Acid Reactive Substances| DNA| Catalase| Superoxide Dismutase| Glutathione Transferase| fipronil MeSH: | Animals| Catalase/metabolism| DNA/chemistry| Fertility/drug effects| Glutathione Transferase/metabolism| Insecticides/majr/chemistry/toxicity| Larva/drug effects/metabolism| Pyrazoles/majr/chemistry/toxicity| Spodoptera/majr/drug effects/growth &amp; development| Superoxide Dismutase/metabolism| Thiobarbituric Acid Reactive Substances/metabolism Other:8-OHdG|Antioxidant enzymes|Fipronil|Fipronil-DNA interaction|Organismal hazardous effects|Spodoptera litura</t>
  </si>
  <si>
    <t>Fluxametamide: A novel isoxazoline insecticide that acts via distinctive antagonism of insect ligand-gated chloride channels.    ABSTRACT:  Fluxametamide is a novel wide-spectrum insecticide that was discovered and synthesized by Nissan Chemical Industries, Ltd. To identify the mode of action of fluxametamide, we first performed [3H]4'-ethynyl-4-n-propylbicycloorthobenzoate (EBOB) binding assays. Fluxametamide potently inhibited the specific binding of [3H]EBOB to housefly-head membranes, suggesting that fluxametamide affects insect γ-aminobutyric acid (GABA)-gated chloride channels (GABACls). Next, the antagonism of housefly GABACls and glutamate-gated chloride channels (GluCls) was examined using the two-electrode voltage clamp (TEVC) method. Fluxametamide inhibited agonist responses in both ion channels expressed in Xenopus oocytes in the nanomolar range, indicating that this insecticide is a ligand-gated chloride channel (LGCC) antagonist. The insecticidal and LGCC antagonist potencies of fluxametamide against fipronil-susceptible and fipronil-resistant strains of small brown planthoppers and two-spotted spider mites, which are insensitive to fipronil, were evaluated. Fluxametamide exhibited similar levels of both activities in these fipronil-susceptible and fipronil-resistant arthropod pests. These data indicate that fluxametamide exerts distinctive antagonism of arthropod GABACls by binding to a site different from those for existing antagonists. In contrast to its profound actions on the arthropod LGCCs, the antagonistic activity of fluxametamide against rat GABACls and human glycine-gated chloride channels was nearly insignificant, suggesting that fluxametamide has high target-site selectivity for arthropods over mammals. Overall, fluxametamide is a new type of LGCC antagonist insecticide with excellent safety for mammals at the target-site level.Copyright © 2018 Elsevier Inc. All rights reserved.  KEYWORDS:  MeSH Chemical: Chloride Channels| Insecticides| Ligand-Gated Ion Channels MeSH: | Animals| Chloride Channels/majr/antagonists &amp; inhibitors/metabolism| Insecta| Insecticides/majr/pharmacology| Ligand-Gated Ion Channels/majr/metabolism Other:Antagonist|Fluxametamide|Glutamate-gated chloride channel|Insecticidal activity|Mode of action|γ-Aminobutyric acid-gated chloride channel</t>
  </si>
  <si>
    <t>Trap-treat-release: horizontal transfer of fipronil in field colonies of black carpenter ants, Camponotus pennsylvanicus.    ABSTRACT:  Horizontal insecticide transfer is thought to play an important role in controlling a wide range of urban pests including ants, bed bugs, cockroaches, and termites. Despite decades of research and numerous laboratory studies, horizontal transfer has never been demonstrated in the field. As a result, the importance of horizontal transfer (and the resulting secondary kill) for practical pest management remains unknown. The goal of this study was to provide the first experimental examination of horizontal transfer under field conditions. The specific objective was to investigate horizontal transfer of fipronil in field colonies of black carpenter ants, Camponotus pennsylvanicus.Laboratory experiments demonstrated that fipronil is effectively transferred from treated donors to untreated recipients and causes significant secondary mortality. Fipronil was effectively vectored to untreated ants from donors exposed via residual and direct spray applications, and 100% mortality was achieved with both exposure routes. Furthermore, horizontal transfer continued beyond secondary mortality and resulted in significant tertiary mortality, which has not been previously demonstrated in ants. Field experiments utilized a novel, three-step control method consisting of trap-treat-release and demonstrated that fipronil is effectively transferred when foraging workers are trapped, treated, and subsequently released back into their colonies.The current study is the first field demonstration of the importance of horizontal transfer for the control of pest ants. The trap-treat-release method may be an effective alternative to broadcast spray applications and could help alleviate problems such as insecticide run-off, environmental contamination, and non-target effects. This method has the potential to provide effective management of invasive and pest ants and should be further tested across a wider range of ant species, habitats, and active ingredients. © 2019 Society of Chemical Industry.© 2019 Society of Chemical Industry.  KEYWORDS:  MeSH Chemical: Insecticides| Pyrazoles| fipronil MeSH: | Animals| Ants/majr| Indiana| Insect Control/majr/methods| Insecticides/majr| Pyrazoles/majr Other:Camponotus pennsylvanicus|black carpenter ant|fipronil|horizontal transfer|invasive ants|secondary kill</t>
  </si>
  <si>
    <t>Ultrasound-assisted emulsification liquid phase microextraction method based on deep eutectic solvent as extraction solvent for determination of five pesticides in traditional Chinese medicine.    ABSTRACT:  A kind of green solvents termed deep eutectic solvent (DES) have been considered alternatives to traditional organic solvents. In this study, a method was developed for determination of five pesticide residues including triadimenol, fipronil, tebuconazole, hexaconazole and diniconazole in five different traditional Chinese medicines (TCMs). In the developed method, DES was selected as extraction solvent, ultrasound-assisted emulsification liquid phase microextraction (UA-ELPME) was used for extraction and high performance liquid chromatography (HPLC) equipped with a diode array detector (DAD) was used for quantification. In this method, DES was synthesized with choline chloride and phenol at the molar ratio 1:4 using the heating and stirring method. Meanwhile, several important parameters such as volume of DES (650 μL), volume of tetrahydrofuran (THF, 550 μL) and ultrasonic time (30 min) were optimized by using response surface methodology (RSM) based on a central composite design (CCD). Under the optimized conditions, the limits of detection and quantification of method were in the range of 0.02-0.2 μg mL-1 and 0.05-0.5 μg mL-1, respectively. The correlation coefficients (r) of five calibration curves are greater than 0.9996, relative standard deviation (RSD) of precision for this method of five pesticides were lower than 4.7%, and the mean recoveries were in the range of 81.0-92.1%. The present experiment suggests that DESs are efficiently extract solvents in UA-ELPME method for traditional herbal medicines applications.Copyright © 2019 Elsevier B.V. All rights reserved.  KEYWORDS:  MeSH Chemical: Drugs, Chinese Herbal| Emulsions| Pesticide Residues| Solvents MeSH: | Calibration| Chromatography, High Pressure Liquid| Drug Contamination/majr| Drugs, Chinese Herbal/majr/chemistry/standards| Emulsions| Green Chemistry Technology/majr/instrumentation/methods| Limit of Detection| Liquid Phase Microextraction| Medicine, Chinese Traditional/majr/standards| Pesticide Residues/majr/analysis| Solvents/majr/chemistry| Ultrasonic Waves Other:Deep eutectic solvent|Extraction|Pesticide residues|Traditional Chinese medicine|Ultrasound-assisted emulsification liquid phase microextraction</t>
  </si>
  <si>
    <t>Synergism of Adulticides and Insect Growth Regulators Against Larval Cat Fleas (Siphonaptera: Pulicidae).    ABSTRACT:  The use of topical and oral therapies on pets has revolutionized the control of cat fleas, Ctenocephalides felis felis (Bouché). Herein, we tested the biological activity of two adulticides, fipronil and imidacloprid, and the insect growth regulators (IGRs), methoprene and pyriproxyfen. The LC50's of fipronil, imidacloprid, methoprene, and pyriproxyfen in larval rearing medium for second and third instars were 1.13, 0.73, 0.35, and 0.23 ppm, respectively. Combinations of imidacloprid and methoprene and pyriproxyfen were synergistic. The combination indices (CIs) at an effective dose (ED95) of imidacloprid:methoprene (Im:Meth) were 0.54, 0.44, 0.66, 0.73, and 0.62 for Im1:Meth1, Im5:Meth1, Im10:Meth1, Im20:Meth1, and Im40:Meth1, respectively. Similarly, the CIs of imidacloprid:pyriproxyfen (Im:Pyri) at an ED95 were 0.73 and 0.50 for Im1:Pyri1 and Im5:Pyri1, respectively. Combinations of fipronil:methoprene (Fip:Meth) provided variable results with Fip1:Meth1 being antagonistic (CI = 1.61). Combinations at 5:1, 10:1, and 20:1 at an ED95 were moderately synergistic. Combinations of Fip:Pyri at 1:1 were antagonistic at an ED95 with a CI of 2.87. When the combinations were reversed, neither the imidacloprid nor fipronil synergized either IGR. The dose response indices (DRI) for both Im:Meth and Im:Pyri indicate that the concentrations of the combinations could be significantly reduced and still be as effective as imidacloprid alone. Certain combinations of adulticides and IGRs were synergistic against immature fleas.© The Author(s) 2019. Published by Oxford University Press on behalf of Entomological Society of America. All rights reserved. For permissions, please e-mail: journals.permissions@oup.com.  KEYWORDS:  MeSH Chemical: Insecticides| Juvenile Hormones| Neonicotinoids| Nitro Compounds| Pyrazoles| Pyridines| imidacloprid| pyriproxyfen| Methoprene| fipronil MeSH: | Animals| Ctenocephalides/majr| Drug Synergism| Insect Control/majr| Insecticides/majr| Juvenile Hormones/majr| Larva| Methoprene| Neonicotinoids| Nitro Compounds| Pyrazoles| Pyridines Other:Ctenocephalides felis felis|combination index|fipronil|imidacloprid|juvenile hormone analogs</t>
  </si>
  <si>
    <t>Evaluation of Five Pulicides to Suppress Fleas on Black-Tailed Prairie Dogs: Encouraging Long-Term Results with Systemic 0.005% Fipronil.    ABSTRACT:  Plague, a flea-borne disease, hampers efforts to restore populations of black-footed ferrets (Mustela nigripes), which occupy colonies of prairie dogs (Cynomys spp.) in North America. Plague is managed by infusing prairie dog burrows with DeltaDust® 0.05% deltamethrin, a pulicide that kills fleas. Experiments are needed to identify pulicides that can be used in rotation with DeltaDust for integrated plague management. In South Dakota, USA, we tested the efficacy of four pulicide dusts when applied at a rate of 8 g per burrow on colonies of black-tailed prairie dogs (Cynomys ludovicianus): Sevin® 5% carbaryl; Dusta-cide® 6% malathion; Alpine® 0.25% dinotefuran with 95% diatomaceous earth; and Tri-Die® 1% pyrethrum with 40% amorphous silica and 10% piperonyl butoxide. We also tested systemic 0.005% fipronil, which was distributed as ½ cup of laced grain per burrow. We sampled prairie dogs on 3294 occasions and detected 10,041 fleas. Sevin and Dusta-cide suppressed fleas but only for 1 month. Neither Alpine nor Tri-Die had any noticeable, consistent effect on fleas. Fipronil suppressed fleas by 97-100% for 3 months. The residual effect of fipronil persisted for ∼12 months. Efficacy of fipronil seems comparable with DeltaDust, which exhibited a residual effect for ∼10 months in prior studies. Continued research is needed to optimize fipronil treatments for plague management on prairie dog colonies.  KEYWORDS:  MeSH Chemical: Insecticides| Nitriles| Pyrazoles| Pyrethrins| decamethrin| fipronil MeSH: | Animals| Flea Infestations/majr/drug therapy/veterinary| Insect Control| Insecticide Resistance| Insecticides/majr/pharmacology| Nitriles/majr/pharmacology| Plague/prevention &amp; control/transmission/veterinary| Pyrazoles/majr/pharmacology| Pyrethrins/majr/pharmacology| Sciuridae/majr/parasitology| Siphonaptera/majr/drug effects| South Dakota Other:|carbaryl|fipronil|malathion</t>
  </si>
  <si>
    <t>Function and pharmacology of glutamate-gated chloride channel exon 9 splice variants from the diamondback moth Plutella xylostella.    ABSTRACT:  Glutamate-gated chloride channels (GluCls) are found only in invertebrates and mediate fast inhibitory neurotransmission. The structural and functional diversity of GluCls are produced through assembly of multiple subunits and via posttranscriptional alternations. Alternative splicing is the most common way to achieve this in insect GluCls and splicing occurs primarily at exons 3 and 9. As expression pattern and pharmacological properties of exon 9 alternative splices in invertebrate GluCls remain poorly understood, the cDNAs encoding three alternative splice variants (9a, 9b and 9c) of the PxGluCl gene from the diamondback moth Plutella xylostella were constructed and their pharmacological characterizations were examined using electrophysiological studies. Alternative splicing of exon 9 had little to no impact on PxGluCl sensitivity towards the agonist glutamate when subunits were singly or co-expressed in Xenopus oocytes. In contrast, the allosteric modulator abamectin and the chloride channel blocker fipronil had differing effects on PxGluCl splice variants. PxGluCl9c channels were more resistant to abamectin and PxGluCl9b channels were more sensitive to fipronil than other homomeric channels. In addition, heteromeric channels containing different splice variants showed similar sensitivity to abamectin (except for 9c) and reduced sensitivity to fipronil than homomeric channels. These findings suggest that functionally indistinguishable but pharmacologically distinct GluCls could be formed in P. xylostella and that the upregulated constitutive expression of the specific variants may contribute to the evolution of insecticide resistance in P. xylostella and other arthropods.Copyright © 2018 Elsevier Ltd. All rights reserved.  KEYWORDS:  MeSH Chemical: Chloride Channels| Insect Proteins| Pyrazoles| glutamate-gated chloride channels| abamectin| Ivermectin| fipronil MeSH: | Alternative Splicing/majr/drug effects| Animals| Chloride Channels/majr/antagonists &amp; inhibitors/biosynthesis/genetics| Exons/majr| Insect Proteins/majr/antagonists &amp; inhibitors/biosynthesis/genetics| Insecticide Resistance/majr/drug effects/genetics| Ivermectin/majr/analogs &amp; derivatives/pharmacology| Moths/genetics/metabolism| Pyrazoles/majr/pharmacology Other:Abamectin|Alternative splicing|Diamondback moth|Fipronil|Glutamate-gated chloride channel</t>
  </si>
  <si>
    <t>An overexpressed cytochrome P450 CYP439A1v3 confers deltamethrin resistance in Laodelphax striatellus Fallén (Hemiptera: Delphacidae).    ABSTRACT:  Deltamethrin resistance in Laodelphax striatellus had been associated with its oxidative detoxification by overexpression of four cytochrome P450 monooxygenases like CYP353D1v2, CYP6FU1, CYP6AY3v2, and CYP439A1v3. The first three P450s have been validated for insecticide-metabolizing capability and only CYP6FU1 was found to degrade deltamethrin. In this study, an investigation was conducted to confirm the capability of CYP439A1v3 to degrade deltamethrin. The CYP439A1v3 was first expressed in Sf9 cell line and its recombinant enzyme was tested for metabolic activity against different insecticides using substrate depletion assay combined with metabolite identification. Sodium dodecyl sulfate-polyacrylamide gel electrophoresis (SDS-PAGE) and carbon monoxide (CO)-difference spectra analysis showed that the intact cytochrome P450 protein was successfully expressed. Tests with probe substrates proved its enzyme activity, as p-nitroanisole, ethoxycoumarin, and ethoxyresorufin were preferentially metabolized (specific activity 7.767 ± 1.22, 1.325 ± 0.37, and 0.355 ± 0.37 nmol/min per mg of protein, respectively) while only luciferin-HEGE was not. In vitro incubation of the recombinant CYP439A1v3 protein with deltamethrin revealed hydroxylation by producing hydroxydeltamethrin. On the contrary, no metabolite/metabolism was seen with nonpyrethroid insecticide, including imidacloprid, buprofezin, chlorpyrifos, and fipronil. To the best of our knowledge, this is the first study to link a CYP450 from family 439 to confer pyrethroid resistance to L. striatellus. This finding should help in the design of appropriate insecticide resistance management for control of this strain of L. striatellus.© 2018 Wiley Periodicals, Inc.  KEYWORDS:  MeSH Chemical: Insect Proteins| Nitriles| Pyrethrins| decamethrin| Cytochrome P-450 Enzyme System MeSH: | Animals| Cytochrome P-450 Enzyme System/majr/genetics/metabolism| Gene Expression Regulation, Enzymologic/majr/physiology| Hemiptera/majr/drug effects/genetics| Insect Proteins/majr/genetics/metabolism| Insecticide Resistance/genetics| Molecular Structure| Nitriles/majr/chemistry/metabolism/pharmacology| Pyrethrins/majr/chemistry/metabolism/pharmacology Other:Laodelphax striatellus|cytochrome P450 monooxygenase|deltamethrin|metabolite|oxidative detoxification|probes</t>
  </si>
  <si>
    <t>Fipronil pesticide as a suspect in historical mass mortalities of honey bees.    ABSTRACT:  Mass mortalities of honey bees occurred in France in the 1990s coincident with the introduction of two agricultural insecticides, imidacloprid and fipronil. Imidacloprid, a neonicotinoid, was widely blamed, but the differential potency of imidacloprid and fipronil has been unclear because of uncertainty over their capacity to bioaccumulate during sustained exposure to trace dietary residues and, thereby, cause time-reinforced toxicity (TRT). We experimentally quantified the toxicity of fipronil and imidacloprid to honey bees and incorporated the observed mortality rates into a demographic simulation of a honey bee colony in an environmentally realistic scenario. Additionally, we evaluated two bioassays from new international guidance for agrochemical regulation, which aim to detect TRT. Finally, we used analytical chemistry (GC-MS) to test for bioaccumulation of fipronil. We found in demographic simulations that only fipronil produced mass mortality in honey bees. In the bioassays, only fipronil caused TRT. GC-MS analysis revealed that virtually all of the fipronil ingested by a honey bee in a single meal was present 6 d later, which suggests that bioaccumulation is the basis of TRT in sustained dietary exposures. We therefore postulate that fipronil, not imidacloprid, caused the mass mortalities of honey bees in France during the 1990s because it is lethal to honey bees in even trace doses due to its capacity to bioaccumulate and generate TRT. Our results provide evidence that recently proposed laboratory bioassays can discriminate harmful bioaccumulative substances and, thereby, address evident shortcomings in a regulatory system that had formerly approved fipronil for agricultural use.  KEYWORDS:  MeSH Chemical: Insecticides| Pesticides| Pyrazoles| fipronil MeSH: | Animals| Bees/majr/drug effects/growth &amp; development| Insecticides/majr/toxicity| Mortality/majr| Pesticides/majr/toxicity| Pyrazoles/majr/toxicity| Toxicity Tests Other:bee health|ecotoxicology|fipronil|neonicotinoids|pesticides</t>
  </si>
  <si>
    <t>Use of an Argentine Ant, Linepithema humile, Semiochemical to Deliver an Acute Toxicant.    ABSTRACT:  The Argentine ant, Linepithema humile, is an invasive nuisance, agricultural, and ecological pest from South America. In the United States, its primary distribution is in California and the Southeast. The structural pest control industry responds to property owner complaints when this ant's populations become problematic and a persistent nuisance. Actions taken to control Argentine ants in the urban and suburban environment are typically complaint-driven, and often involve the application of insecticide sprays applied to the outdoor environment by professional pest managers. In California, and elsewhere, spray treatments of various residual insecticides by property owners and pest management professionals has resulted in significant runoff and in subsequent surface water contamination. As a result, an immediate need exists to develop alternative methods of ant control targeted at reducing environmental contamination. The purpose of this study was to investigate the potential for the development of an alternative method of toxicant delivery focused on the Argentine ant's behavior modifying cuticular chemistry. In short, methanol and hexane washes of Argentine ant pupae applied to paper dummies were handled significantly more by worker ants than the paper dummies that did not contain the solvent extracts. Additionally, paper wicks soaked in a methylene chloride wash from Argentine ant cadavers, air dried, and then treated with fipronil, were removed by worker ants and placed on a midden pile at the same rate (≈86% to 99% removal at 1 h) as untreated and fipronil-treated ant cadavers. The paper wicks that did not contain the methylene chloride extract were ignored by the worker ants. After three days, the mortality of the ants exposed to the fipronil-treated wicks or the ant cadavers were dose-related. In conclusion, our study suggests that there is potential for the use of ant semiochemicals for the delivery of acute toxicants.  KEYWORDS:  Other:Argentine ant|Formicidae|Linepithema humile|ant control|fipronil|semiochemical</t>
  </si>
  <si>
    <t>Field effectiveness and safety of fluralaner plus moxidectin (Bravecto® Plus) against ticks and fleas: a European randomized, blinded, multicenter field study in naturally-infested client-owned cats.    ABSTRACT:  A spot-on formulation containing fluralaner (280 mg/ml) plus moxidectin (14 mg/ml) (Bravecto® Plus) has been developed to provide broad spectrum parasite protection for cats. The effectiveness and safety of this product against ticks and fleas was assessed in a randomized, controlled, 12-week study in client-owned cats in Germany and Spain.Eligible households containing at least one cat with at least two fleas and/or two ticks were allocated randomly in a 2:1 ratio to a single treatment with fluralaner plus moxidectin on Day 0, or three 4-weekly treatments with fipronil (Frontline®). Veterinary staff, masked to treatment, completed tick and flea counts on each cat at 14 ± 2 (2 weeks), 28 ± 2 (4 weeks), 56 ± 2 (8 weeks) and 84 ± 2 days (12 weeks) after the initial treatment.In total, 707 cats (257 with ticks) from 332 households (236 with fleas) were included. Ixodes ricinus (78%) and Rhipicephalus sanguineus complex (18%) ticks were the most commonly identified. Tick and flea counts were lower in the fluralaner plus moxidectin group than in the fipronil group throughout the study and the efficacy of fluralaner plus moxidectin exceeded 97 and 98%, respectively. At 12 weeks, 94.1 and 93.3% of cats from the fluralaner plus moxidectin and 92.2 and 60.3% of cats from the fipronil group were free of ticks and fleas, respectively. Fluralaner plus moxidectin was non-inferior to fipronil (P &lt; 0.0001) at all assessments and superior to fipronil at 2 and 8 weeks for the proportion of cats free of ticks (P &lt; 0.0001). Fluralaner plus moxidectin was superior to fipronil for the proportion of both households and cats free of fleas (P &lt; 0.0001). Both products were safe and well tolerated.A single application of fluralaner plus moxidectin spot-on was well tolerated by cats and highly effective for 12 weeks against ticks and fleas. Fluralaner plus moxidectin was non-inferior to fipronil for the proportion of ectoparasite-free and consistently superior to fipronil in controlling fleas.  KEYWORDS:  MeSH Chemical: A1443 compound| Insecticides| Isoxazoles| Macrolides| Pyrazoles| moxidectin| fipronil MeSH: | Administration, Topical| Animals| Cat Diseases/majr/drug therapy/epidemiology/parasitology| Cats| Flea Infestations/majr/drug therapy/epidemiology/veterinary| Germany/epidemiology| Insecticides/majr/administration &amp; dosage/adverse effects/therapeutic use| Isoxazoles/majr/administration &amp; dosage/adverse effects/therapeutic use| Ixodes/drug effects| Macrolides/majr/administration &amp; dosage/adverse effects/therapeutic use| Ownership| Pyrazoles/administration &amp; dosage/therapeutic use| Random Allocation| Rhipicephalus sanguineus/drug effects| Single-Blind Method| Spain/epidemiology| Tick Infestations/majr/drug therapy/epidemiology/veterinary| Treatment Outcome Other:Bravecto Plus|Ectoparasites|Feline|Fipronil|Fleas|Fluralaner|Isoxazoline|Moxidectin|Rhipicephalus|Ticks</t>
  </si>
  <si>
    <t>Functional integrity of honeybee (Apis mellifera L.) resistant to dieldrin γ-aminobutyric acid receptor channels conjugated with three fluorescent proteins.    ABSTRACT:  To generate an efficient tool used in Xenopus oocyte expression for in situ investigation of channel receptor expression, distribution and function, the C-terminus of the honeybee (Apis mellifera L.) resistant to dieldrin (RDL) subunit was fused with *FP, including monomeric red, enhanced yellow or enhanced green fluorescent protein (referred to as mRFP, EYFP and EGFP, respectively). In the present study, all fused *FP-AmRDLs could be visualized using fluorescence and laser confocal microscopy in cRNA-injected oocytes. Fluorescence was distributed isotropically in the cellular membrane. The potencies of the agonist γ-aminobutyric acid (GABA), but not β-alanine, and the test antagonists (fipronil, flufiprole, dieldrin, α-endosulfan, bifenazate and avermectin B1a) in the *FP-AmRDL receptor did not significantly differ from that of the untagged receptor with two-electrode voltage clamp detection. The half maximal effective concentrations (EC50 s) of GABA in AmRDL, EGFP-AmRDL, EYFP-AmRDL and mRFP-AmRDL receptors were 11.98, 12.61, 18.92 and 22.11 μM, respectively, and those of β-alanine were 651.6, 629.6, 1643.0 and 2146.0 μM, respectively. Inhibition percentages of test antagonists against *FP-AmRDL and AmRDL were not significantly different from each other. Overall, the consistency in functional properties between *FP-AmRDL and AmRDL receptors makes pGH19-*FP a promising tool for further in situ investigation of GABA receptors.© 2018 The Royal Entomological Society.  KEYWORDS:  MeSH Chemical: Insect Proteins| Insecticides| Luminescent Proteins| Receptors, GABA-A| enhanced green fluorescent protein| red fluorescent protein| Green Fluorescent Proteins MeSH: | Animals| Bees/majr/drug effects/genetics| Conjugation, Genetic/majr/genetics| Green Fluorescent Proteins/genetics| Insect Proteins/majr/genetics/metabolism| Insecticide Resistance/majr/genetics| Insecticides/pharmacology| Luminescent Proteins/majr/genetics| Oocytes| Receptors, GABA-A/majr/genetics/metabolism| Xenopus/genetics Other:RDL|GABA receptor|electrophysiology|fluorescent protein|honeybee</t>
  </si>
  <si>
    <t>Manipulation of parasite load induces significant changes in the structural-based throat color of male iberian green lizards.    ABSTRACT:  The honesty of structural-based ornaments is controversial. Sexual selection theory predicts that the honesty of a sexual signal relies on its cost of production or maintenance. Therefore, environmental factors with negative impact on individuals could generate high costs and affect the expression of these sexual signals. In this sense, parasites are a main cost for their hosts. To probe the effect of parasites on the structural-based coloration of a lacertid species Lacerta schreiberi, we have experimentally removed ticks from a group of male Iberian green lizards using an acaricide treatment (i.e., the broad-use insecticide fipronil). All individuals were radio-tracked and recaptured after 15 days to study changes in coloration in both the ultraviolet (UV)-blue (structural-based) and UV-yellow (structural and pigment-based) ornamentations after manipulation, as well as changes in endo- and ectoparasitic load and body condition. Additionally, after the experiment, we measured the skin inflammatory response to a mitogen. The fipronil treatment was effective in reducing ticks and it was associated with a significant reduction of hemoparasite load. Throughout the season, individuals treated with fipronil tended to maintain the brightness of the UV-blue throat coloration while control lizards tended to increase it. However, individuals treated with fipronil that were not infected with hemoparasites significantly reduced the brightness of the UV-blue throat coloration. Individuals with a higher initial tick load exhibited a lower UV saturation increment (UV-blue) and a higher brightness increment (UV-yellow) during the experiment. Overall these results experimentally support the idea that parasites adversely influence the expression of the structural-based coloration of male Iberian green lizards. This adds evidence to the hypothesis that sexual ornaments in lizards function as honest signals.  KEYWORDS:  Other:Hamilton &amp; Zuk|animal communication|ectoparasites|structural-coloration</t>
  </si>
  <si>
    <t>Enantioselective toxic effects and environmental behavior of ethiprole and its metabolites against Chlorella pyrenoidosa.    ABSTRACT:  Insecticide ethiprole, the alternative of fipronil which has been restricted in many countries, may contaminant water bodies through surface runoff after agricultural application, however, the aquatic toxicity and environmental behavior of ethiprole is still unknown. In this study, five metabolites of ethiprole (ethiprole sulfone, ethiprole sulfide, ethiprole amide, desethylsulfinyl ethiprole and ethiprole sulfone amide) were synthesized and their toxic effects on photosynthetic pigment and antioxidase in aquatic plant Chlorella pyrenoidosa (C. pyrenoidosa) were evaluated on an enantiomeric level. Besides, the accumulation and metabolism of rac-ethiprole and its enantiomers in algae suspension and algae were studied. Ethiprole sulfide was found to be more toxic than ethiprole, with the 96h EC50 value seven times lower than ethiprole. Enantioselective toxicity was observed with R-ethiprole more toxic than S-ethiprole. The contents of chlorophyll were significantly reduced by all the chemicals at higher concentrations, and the levels of protein, malondialdehyde (MDA) and the activity of antioxidant defense enzymes were dose-dependent. The half-life of rac-ethiprole in algae suspension was 13.6 days and ethiprole amide was the major metabolite. However, ethiprole sulfide was the main metabolite in algae, suggesting different metabolic pathways in algae suspension and algae. Enantioselective metabolism in algae suspension was found with S-ethiprole metabolized faster than R-ethiprole. The preferentially accumulated and metabolized of R-ethiprole in algae was observed and C. pyrenoidosa had limited capacity to convert one enantiomer into the other. These findings indicated the toxicity of ethiprole to C. pyrenoidosa is lower than fipronil. The individual enantiomers of chiral pollutants and their metabolites should be considered in risk assessments.Copyright © 2018 Elsevier Ltd. All rights reserved.  KEYWORDS:  MeSH Chemical: Insecticides| Pyrazoles| Suspensions| Water Pollutants, Chemical| Chlorophyll| Malondialdehyde| ethiprole MeSH: | Agriculture| Chlorella/majr/drug effects| Chlorophyll/metabolism| Insecticides/majr/toxicity| Malondialdehyde/metabolism| Photosynthesis/drug effects| Pyrazoles/majr/metabolism/toxicity| Stereoisomerism| Suspensions| Water Pollutants, Chemical/majr/analysis/toxicity| Water Pollution, Chemical/majr/analysis Other:Algae|Enantioselectivity|Ethiprole|Metabolites|Toxicity</t>
  </si>
  <si>
    <t>Hepatoprotective activity of Uncaria tomentosa extract against sub-chronic exposure to fipronil in male rats.    ABSTRACT:  The effects of fipronil (FPN) on the liver of rats were studied. Rats (n = 6) were treated with 9.7 mg/kg (1/10 of FPN LD50), and other rats (n = 6) received 120 mg/kg of 10% Uncaria tomentosa extract, while a mixture of 9.7 mg/kg FPN and 120 mg/kg of 10% Uncaria tomentosa extract were administered orally to the rats (n = 6) daily for 6 weeks. Body, hepatic weights, liver enzymes, and lipid profile were determined. Hepatic activities of MDA, TNO, TAC, TNF-α, and IL-6 in liver homogenate were measured. Immunohistochemistry of NF-kB and liver histopathology were performed. Fipronil-treated rats had a significant (P = 0.02) lower weight gain. Moreover, relative liver weight was significantly (P = 0.003) increased in FPN-treated rats. Rats administrated with FPN exhibited a significantly (P = 0.02) higher liver enzymes and promoted levels of MDA, TNO, TNF-α, and IL-6 (P &lt; 0.0001) than that in the other groups. Immunostaining of NF-κB was increased (P &lt; 0.0001) in FPN-treated rats. Interestingly, Uncaria tomentosa alone or with FPN decreased the liver immunostaining of NF-κB. In conclusion, FPN produced liver injury through lipid peroxidation and stimulation of NF-κB. However, Uncaria tomentosa combated the oxidative stress and liver damage induced by FPN via inhibition of NF-κB.  KEYWORDS:  MeSH Chemical: Antioxidants| Environmental Pollutants| Insecticides| Interleukin-6| NF-kappa B| Plant Extracts| Protective Agents| Pyrazoles| Tumor Necrosis Factor-alpha| Malondialdehyde| fipronil MeSH: | Animals| Antioxidants/majr/metabolism/pharmacology/therapeutic use| Cat's Claw/majr/chemistry| Cell Line| Chemical and Drug Induced Liver Injury/majr/metabolism/prevention &amp; control| Environmental Pollutants/adverse effects| Insecticides/adverse effects| Interleukin-6/metabolism| Lipid Peroxidation/drug effects| Liver/majr/drug effects/metabolism/pathology| Male| Malondialdehyde/metabolism| NF-kappa B/metabolism| Oxidative Stress/majr/drug effects| Phytotherapy| Plant Extracts/majr/pharmacology/therapeutic use| Protective Agents/pharmacology/therapeutic use| Pyrazoles/majr/adverse effects| Rats, Wistar| Tumor Necrosis Factor-alpha/antagonists &amp; inhibitors Other:Fipronil|MDA|NF-κB|Rats|Uncaria tomentosa</t>
  </si>
  <si>
    <t>High Resistance to Bacillus sphaericus and Susceptibility to Other Common Pesticides in Culex pipiens (Diptera: Culicidae) from Salt Lake City, UT.    ABSTRACT:  Biorational mosquito larvicides based on microbial organisms and insect growth regulators (IGRs) have played a vital role in integrated mosquito control, particularly since the invasion of West Nile virus to the United States in 1999. Products that are formulated with technical powder of the bacterium, Bacillus sphaericus Neide (recently Lysinibacillus sphaericus Meyer and Neide), are among the ones that have been extensively applied to combat Culex and other mosquito species. Due to the simplicity of the binary toxins, resistance to this pesticide in laboratory and field populations of Culex pipiens L. complex has occurred globally since 1994. A Cx. pipiens population with a high level of resistance to B. sphaericus (VectoLex WDG) was identified in Salt Lake City, UT, in September 2016. The resistance ratios in this population were 20,780.0- and 23,926.9-fold at LC50 and LC90, respectively, when compared with a susceptible population of a laboratory reference colony of the same species. This B. sphaericus-resistant population remained mostly susceptible to other commonly used pesticides to control arthropods of public health and urban significance, including ones based on microbial organisms (Bacillus thuringiensis subsp. israelensis, spinosad, spinetoram, abamectin), IGRs (pyriproxyfen, methoprene, diflubenzuron, novaluron), organophosphate (temephos), neonicotinoid (imidacloprid), phenylpyrazole (fipronil), oxadiazine (indoxacarb), and pyrethroid (permethrin). Results are discussed according to the modes of action of the pesticides tested, and suggestions are made to manage B. sphaericus-resistant mosquito populations.© The Author(s) 2018. Published by Oxford University Press on behalf of Entomological Society of America. All rights reserved. For permissions, please e-mail: journals.permissions@oup.com.  KEYWORDS:  MeSH Chemical: Bacterial Toxins| binB protein, Bacillus sphaericus MeSH: | Animals| Bacterial Toxins| Culex/majr| Insecticide Resistance/majr| Utah Other:Bacillus sphaericus|Culex pipiens|Culicidae|Diptera|resistance</t>
  </si>
  <si>
    <t>Determinants of pesticide concentrations in silicone wristbands worn by Latina adolescent girls in a California farmworker community: The COSECHA youth participatory action study.    ABSTRACT:  Personal exposure to pesticides has not been well characterized, especially among adolescents. We used silicone wristbands to assess pesticide exposure in 14 to 16 year old Latina girls (N = 97) living in the agricultural Salinas Valley, California, USA and enrolled in the COSECHA (CHAMACOS of Salinas Examining Chemicals in Homes and Agriculture) Study, a youth participatory action study in an agricultural region of California. We determined pesticide concentrations (ng/g/day) in silicone wristbands worn for one week using gas chromatography electron capture detection and employed gas chromatography mass spectrometry to determine the presence or absence of over 1500 chemicals. Predictors of pesticide detections and concentrations were identified using logistic regression, Wilcoxon rank sum tests, and Tobit regression models. The most frequently detected pesticides in wristbands were fipronil sulfide (87%), cypermethrin (56%), dichlorodiphenyldichloroethylene (DDE) (56%), dacthal (53%), and trans-permethrin (52%). Living within 100 m of active agricultural fields, having carpeting in the home, and having an exterminator treat the home in the past six months were associated with higher odds of detecting certain pesticides. Permethrin concentrations were lower for participants who cleaned their homes daily (GM: 1.9 vs. 6.8 ng/g/day, p = 0.01). In multivariable regression models, participants with doormats in the entryway of their home had lower concentrations (p &lt; 0.05) of cypermethrin (87%), permethrin (99%), fipronil sulfide (69%) and DDE (75%). The results suggest that both nearby agricultural pesticide use and individual behaviors are associated with pesticide exposures.Copyright © 2018 Elsevier B.V. All rights reserved.  KEYWORDS:  MeSH Chemical: Air Pollutants, Occupational| Pesticides| Silicones MeSH: | Adolescent| Agriculture| Air Pollutants, Occupational/majr/analysis| California/ethnology| Environmental Exposure/analysis| Environmental Monitoring/majr/instrumentation| Farmers| Female| Hispanic Americans| Humans| Occupational Exposure/majr/analysis| Pesticides/majr/analysis| Silicones Other:Exposure assessment|Personal monitoring|Pesticides|Silicone wristbands|Youth participatory action research</t>
  </si>
  <si>
    <t>Non-detection of honeybee hive contamination following Vespula wasp baiting with protein containing fipronil.    ABSTRACT:  Introduced wasps (Vespula germanica and V. vulgaris) are costly invertebrate pests in New Zealand, with large impacts on the local ecology and economy. Wasps eat honeybees (Apis mellifera), which has potentially devastating effects on hive health, as well as agricultural and horticultural industries. Vespex bait, which contains fipronil in a proteinaceous carrier, has recently been introduced for wasp control. In over a decade of reported trials, honeybees have never been observed foraging on Vespex, likely because the bait contains no sugars to serve as a bee food source. However, the potential for the control agent fipronil to enter beehives has not been tested. Therefore, here, we investigated this using a liquid chromatography-mass spectrometry assay of fipronil and two of its environmental breakdown and metabolic derivatives, fipronil desulfinyl and fipronil sulfone. We did not detect fipronil in any of the worker bee, bee larva, honey or pollen samples (n = 120 per product) collected from 30 hives over a 2-year period. Furthermore, although we detected fipronil desulfinyl in one honeybee sample, this is thought to have originated from a single individual, representing a rare occurrence of intoxication, and there was no evidence that Vespex was the toxicant source. There was also no evidence of trophallactic transfer of fipronil or its derivatives in any of the hives sampled. Previous studies have reported the impairment of individual bee performance at fipronil doses similar to the detection limit of our study. However, our results provide confidence that if undetectable intoxication was occurring, it would involve an acute exposure for those few individuals affected, with minimal impairment to colonies. Therefore, we conclude that the use of Vespex in the vicinity of honeybees does not result in significant hive uptake while effectively reducing wasp pressure on honeybee colonies.  KEYWORDS:  MeSH Chemical: Proteins| Pyrazoles| fipronil MeSH: | Animals| Bees/majr/metabolism| Honey/majr/analysis| Pest Control/majr| Proteins/majr/chemistry| Pyrazoles/majr/analysis/metabolism| Wasps/majr</t>
  </si>
  <si>
    <t>Were the sharp declines of dragonfly populations in the 1990s in Japan caused by fipronil and imidacloprid? An analysis of Hill's causality for the case of Sympetrum frequens.    ABSTRACT:  Neonicotinoids and fipronil are the most widely used insecticides in the world. Previous studies showed that these compounds have high toxicity to a wide taxonomic range of non-target invertebrates. In rice cultivation, they are frequently used for nursery-box treatment of rice seedlings. The use of fipronil and neonicotinoid imidacloprid is suspected to be the main cause of population declines of red dragonflies, in particular Sympetrum frequens, because they have high lethal toxicity to dragonfly nymphs and the timing of the insecticides' introduction in Japan (i.e., the late 1990s) overlapped with the sharp population declines. However, a causal link between application of these insecticides and population declines of the dragonflies remains unclear. Therefore, we estimated the amount of the insecticides applied for nursery-box treatment of rice seedlings and analyzed currently available information to evaluate the causality between fipronil and imidacloprid usage and population decline of S. frequens using Hill's causality criteria. Based on our scoring of Hill's nine criteria, the strongest lines of evidence were strength, plausibility, and coherence, whereas the weakest were temporality and biological gradient. We conclude that the use of these insecticides, particularly fipronil, was a major cause of the declines of S. frequens in Japan in the 1990s, with a high degree of certainty. The existing information and our analyses, however, do not allow us to exclude the possibility that some agronomic practices (e.g., midsummer drainage or crop rotation) that can severely limit the survival of aquatic nymphs also played a role in the dragonfly's decline.  KEYWORDS:  MeSH Chemical: Insecticides| Neonicotinoids| Nitro Compounds| Pyrazoles| imidacloprid| fipronil MeSH: | Animals| Conservation of Natural Resources/majr/methods| Ecotoxicology| Environmental Monitoring/majr/methods| Insecticides/majr/analysis/toxicity| Japan| Neonicotinoids/majr/analysis/toxicity| Nitro Compounds/majr/analysis/toxicity| Odonata/majr/drug effects/growth &amp; development| Oryza/growth &amp; development| Population Dynamics| Pyrazoles/majr/analysis/toxicity| Seasons Other:Agrochemicals|Neonicotinoid|Nursery box|Odonata|Paddy fields|Pesticides|Phenylpyrazole|Rice fields</t>
  </si>
  <si>
    <t>Multiple combinations of RDL subunits diversify the repertoire of GABA receptors in the honey bee parasite Varroa destructor.    ABSTRACT:  In insects, γ-aminobutyric acid (GABA) is the major inhibitory neurotransmitter, and GABA-gated ion channels are the target of different classes of insecticides, including fipronil. We report here the cloning of six subunits (four RDL, one LCCH3, and one GRD) that constitute the repertoire of the GABA-gated ion channel family of the Varroa mite (Varroa destructor), a honey bee ectoparasite. We also isolated a truncated GRD subunit with a premature stop codon. We found that when expressed in Xenopus laevis oocytes, three of the four RDL subunits (VdesRDL1, VdesRDL2, and VdesRDL3) formed functional, homomultimeric anionic receptors, whereas GRD and LCCH3 produced heteromultimeric cationic receptors. These receptors displayed specific sensitivities toward GABA and fipronil, and VdesRDL1 was the most resistant to the insecticide. We identified specific residues in the VdesRDL1 pore-lining region that explain its high resistance to fipronil. VdesRDL4 did not form a functional receptor when expressed alone, but it assembled with VdesRDL1 to form a heteromultimeric receptor with properties distinct from those of the VdesRDL1 homomultimeric receptor. Moreover, VdesRDL1 physically interacted with VdesRDL3, generating a heteromultimeric receptor combining properties of both subunits. On the other hand, we did not detect any functional interaction between VdesLCCH3 and the VdesRDL subunits, an observation that differed from what was previously reported for Drosophila melanogaster In conclusion, this study provides insights relevant to improve our understanding of the precise role of GABAergic signaling in insects and new tools for the development of Varroa mite-specific insecticidal agents that do not harm honey bees.© 2018 Ménard et al.  KEYWORDS:  MeSH Chemical: Arthropod Proteins| GABA Antagonists| Protein Subunits| Pyrazoles| Receptors, GABA| fipronil MeSH: | Amino Acid Sequence| Animals| Arthropod Proteins/majr/antagonists &amp; inhibitors/genetics/metabolism| GABA Antagonists/pharmacology| Oocytes/metabolism| Protein Multimerization| Protein Subunits/antagonists &amp; inhibitors/genetics/metabolism| Pyrazoles/pharmacology| Receptors, GABA/majr/genetics/metabolism| Varroidae/majr/genetics/metabolism| Xenopus laevis Other:GABA receptor|Varroa mite|Xenopus leavis oocytes|cloning|electrophysiology|mutagenesis|pharmacology|protein assembly</t>
  </si>
  <si>
    <t>Endocrine disruption and chronic effects of plant protection products in bees: Can we better protect our pollinators?    ABSTRACT:  Exposure to plant protection products (PPPs) is one of the causes for the population decline of pollinators. In addition to direct exposure, pollinators are exposed to PPPs by pollen, nectar and honey that often contain residues of multiple PPPs. While in legislation PPPs are regarded mainly for their acute toxicity in bees, other effects such as neurotoxicity, immunotoxicity, behavioural changes, stress responses and chronic effects that may harm different physiologically and ecologically relevant traits are much less or not regarded. Despite the fact that endocrine disruption by PPPs is among key effects weakening survival and thriving of populations, pollinators have been poorly investigated in this regard. Here we summarize known endocrine disruptive effects of PPPs in bees and compare them to other chronic effects. Endocrine disruption in honey bees comprise negative effects on reproductive success of queens and drones and behavioural transition of nurse bees to foragers. Among identified PPPs are insecticides, including neonicotinoids, fipronil, chlorantraniliprole and azadirachtin. So far, there exists no OECD guideline to investigate possible endocrine effects of PPPs. Admittedly, investigation of effects on reproduction success of queens and drones is rarely possible under laboratory conditions. But the behavioural transition of nurse bees to foragers could be a possible endpoint to analyse endocrine effects of PPPs under laboratory conditions. We identified some genes, including vitellogenin, which regulate this transition and which may be used as biomarkers for endocrine disruptive PPPs. We plea for a better implementation of the adverse outcome pathway concept into bee's research and propose a procedure for extending and complementing current assessments, including OECD guidelines, with additional physiological and molecular endpoints. Consequently, assessing potential endocrine disruption in pollinators should receive much more relevance.Copyright © 2018 Elsevier Ltd. All rights reserved.  KEYWORDS:  MeSH Chemical: Endocrine Disruptors| Insecticides| Limonins| Neonicotinoids| Plant Nectar| Pyrazoles| ortho-Aminobenzoates| chlorantranilipole| azadirachtin| fipronil MeSH: | Animals| Bees/majr/drug effects| Endocrine Disruptors/majr/analysis| Honey| Insecticides/majr/toxicity| Limonins/majr/toxicity| Magnoliopsida/growth &amp; development| Neonicotinoids/majr/toxicity| Plant Nectar/chemistry| Pollen/chemistry| Pollination/majr/drug effects| Pyrazoles/majr/toxicity| Reproduction| ortho-Aminobenzoates/majr/toxicity Other:Bees|Biocides|Chronic toxicity|Endocrine disruption|Pesticides|Plant protection products</t>
  </si>
  <si>
    <t>Hepatorenal protective effects of taurine and N-acetylcysteine against fipronil-induced injuries: The antioxidant status and apoptotic markers expression in rats.    ABSTRACT:  Fipronil (FPN), a commonly used phenylpyrazole pesticide can induce oxidative tissue damage following hazard usage. Due to the extensive household and commercial usage of FPN, its toxic effects on mammals received considerable attention. Finding the proper antioxidant that can overcome FPN-induced damage is essential. Therefore, the present study aimed to assess the hepatorenal ameliorative outcomes of N-acetyl cysteine (NAC) and taurine (TAU) against hepatorenal damage induced by FPN in male Wistar rats. Compared to control rats, oral FPN (at a dose of 19.4 mg kg-1 BW for five successive days) significantly increased serum activities (p ≤ 0.05) of alkaline phosphatase, lactate dehydrogenase and transaminases, in addition to total cholesterol, urea and creatinine levels. Moreover, FPN provoked oxidative damage indicated by increased malondialdehyde and nitric oxide formation and decreased glutathione concentration and activities of enzymatic antioxidants (superoxide dismutase, glutathione peroxidase and catalase) in the hepatic and renal tissues. Furthermore, FPN administration induced overexpression of the proapoptotic (Bax), while it downregulated the expression of the anti-apoptotic (Bcl-2) protein. Interestingly, oral administration of TAU (50 mg Kg-1 BW) and NAC (50 mg Kg-1 BW), alone or in combination, five days prior to and five days along with FPN administration, significantly ameliorated (p ≤ 0.05) and normalized the harmful effects of FPN on serum biomarkers of hepatorenal injury, lipid peroxidation and tissue antioxidants. In conclusion, TAU and NAC, alone or in combination, provided significant hepatorenal protection against oxidative stress and apoptosis induced by FPN.Copyright © 2018 Elsevier B.V. All rights reserved.  KEYWORDS:  MeSH Chemical: Antioxidants| Genetic Markers| Insecticides| Protective Agents| Pyrazoles| Taurine| fipronil| Acetylcysteine MeSH: | Acetylcysteine/majr/pharmacology| Animals| Antioxidants/metabolism| Apoptosis/drug effects| Gene Expression/drug effects| Genetic Markers| Insecticides/majr/toxicity| Kidney/drug effects/metabolism| Liver/drug effects/enzymology| Male| Protective Agents/majr/pharmacology| Pyrazoles/majr/toxicity| Rats| Rats, Wistar| Taurine/majr/pharmacology Other:Fipronil|Kidney|Liver|N-acetylcysteine|Oxidative stress|Taurine</t>
  </si>
  <si>
    <t>Variation in susceptibility of eight insecticides in the brown planthopper Nilaparvata lugens in three regions of Vietnam 2015-2017.    ABSTRACT:  The brown planthopper (BPH), Nilaparvata lugens, is a serious threat to rice production in Vietnam and insecticides are widely used for its control. Migration of the BPH have one of its roots in tropical Vietnam in the Mekong River Delta and the insecticide resistance status of BPH populations from Vietnam is thus important for East Asia. In the present investigation, we evaluate the susceptibility of BPH populations from nine provinces from the Red River Delta, the Central Coastal region and the Mekong River Delta of eight insecticides during 2015-17. BPH field populations of Vietnam have developed a low to moderate level of resistance to the neonicotinoids dinotefuran, nitenpyram and imidacloprid, the pyrethroid etofenprox, the anticholinesterase fenobucarb, as well as fipronil and pymetrozine, and the growth regulator buprofezin. There was a correlation of in toxicology of fipronil, dinotefuran, etofenprox, buprofezin, which represents four different modes of action. The neonicotinoid nitenpyram, pymetrozine and fenobucarb did not show correlation in toxicology to any of the investigated insecticides. For most insecticides, a gradient of susceptibility was established from the Red River Delta in the north, through the Central Coastal region and to the Mekong River Delta in the south of Vietnam. The most susceptible populations were from the north. Insecticide resistance of the BPH populations in Vietnam is not at an alarming level and they are not the direct origin of high insecticide resistance found in East Asia. The cross-resistance pattern of BPH populations in Vietnam, where insecticides with different modes of action correlated, indicate that insecticides should be used with caution. There could be a buildup of a general metabolic resistance, which alone or in combination with the emergence of target-site resistance mutations will cause control problems. The results will be beneficial for development of resistance management strategies to prevent and delay development of insecticide resistance in BPH not only for Vietnam, but also for more northern Asian regions due the migration of BPH from tropical Vietnam.  KEYWORDS:  MeSH Chemical: Insecticides MeSH: | Animals| Hemiptera/majr| Inhibitory Concentration 50| Insecticides/majr| Regression Analysis| Vietnam</t>
  </si>
  <si>
    <t>Ecotoxicological effects of fipronil, neem cake and neem extract in edaphic organisms from tropical soil.    ABSTRACT:  Veterinary medicines are widely applied for the treatment and prevention of animal diseases. Consequently, animal manure contains significant amounts of environmental pollutants that are potential sources of environmental pollution when inappropriately applied in soils. This work aimed to evaluate ecotoxicological effects of doses of commercial fipronil, neem cake and neem extract in the survival and reproduction of earthworms (Eisenia andrei), enchytraeidae (Enchytraeus crypticus) and springtails (Folsomia candida) in Oxisol and tropical artificial soil (TAS). Applications of fipronil, neem cake and extract in soil were carried out according to standardized ISO methodologies by using a random experimental design with five replicates. Toxic effects of fipronil for springtails in Oxisol and TAS were observed with LC50 of 0.26 mg kg-1 (0.18-0.35 mg kg-1) and 0.29 mg kg-1 (0.22-0.37 mg kg-1), respectively. It was not observed significant toxic effects of fipronil for earthworms and enchytraeidae in both soils. However, significant amounts of juvenile earthworm and adult enchytraeidae decreased in fipronil doses higher than 10 mg kg-1. Neem cake and extract were not toxic for earthworms and enchytraeidae but, significant amounts of juvenile springtails decreased in neem cake doses from 500 to 1000 mg kg-1. It can be concluded that the use of veterinary medicines containing synthetic compounds for preventing diseases in animals needs to be controlled to avoid environmental pollution after applying manure in soil. Veterinary medicines containing natural compounds as neem cake and extract are eco-friendly and could be efficiently applied in soil in a sustainable way.Copyright © 2018 Elsevier Inc. All rights reserved.  KEYWORDS:  MeSH Chemical: Plant Extracts| Pyrazoles| Soil| Soil Pollutants| Veterinary Drugs| fipronil MeSH: | Animals| Arthropods/drug effects/physiology| Azadirachta/majr/chemistry| Oligochaeta/drug effects/physiology| Plant Extracts/toxicity| Pyrazoles/majr/toxicity| Reproduction/drug effects| Soil| Soil Pollutants/majr/toxicity| Tropical Climate| Veterinary Drugs/toxicity Other:Bioindicator|Edaphic organism|Fipronil|Neem cake|Neem extract|Veterinary medicines</t>
  </si>
  <si>
    <t>Degradation of various insecticides in cooked eggs during in vitro human digestion.    ABSTRACT:  The objective of this study was to determine the effects of cooking and in vitro human digestion on the changes of five insecticides-fipronil, bifenthrin, 1,1,1-trichloro-2,2-bis(p-chlorophenyl)ethane (DDT), 1,1-dichloro-2,2-bis(p-chlorophenyl)ethane (DDD), and 2,2-bis(p-chlorophenyl)-1,1-dichloroethylene (DDE)-in egg whites and yolks. Each insecticide was applied to egg whites and yolks at a concentration of 1000 μg/g. After cooking the egg whites and yolks, concentrations of bifenthrin, DDD, and DDE decreased (P &lt; 0.05), whereas those of fipronil and DDT were unchanged (P &gt; 0.05) in both egg whites and yolks. Next, an in vitro human digestion model that simulates all the steps of human digestion was employed. Until digestion in the small intestine, the concentrations of fipronil and DDT in the cooked egg whites and yolks were unchanged (P &gt; 0.05), whereas those of bifenthrin, DDD, and DDE decreased (P &lt; 0.05) at each digestion step. In the large intestinal digestion step with Escherichia coli and Lactobacillus sakei as enterobacteria, the concentrations of all the insecticides decreased (P &lt; 0.05) in the cooked egg whites and yolks. Among the insecticides, bifenthrin showed the lowest concentration (P &lt; 0.05). In conclusion, the use of bifenthrin as an insecticide would be comparatively less toxic than other insecticides in terms of environmental pollution and human health, because of its easy degradation.Copyright © 2018 Elsevier Ltd. All rights reserved.  KEYWORDS:  MeSH Chemical: Insecticides| Pyrazoles| Pyrethrins| Dichlorodiphenyl Dichloroethylene| bifenthrin| DDT| fipronil| Dichlorodiphenyldichloroethane MeSH: | Cooking| DDT/majr/analysis| Dichlorodiphenyl Dichloroethylene/majr/analysis| Dichlorodiphenyldichloroethane/analysis| Digestion/majr| Egg White/majr/chemistry| Egg Yolk/majr/chemistry| Environmental Pollution| Humans| In Vitro Techniques| Insecticides/majr/analysis| Models, Biological| Pyrazoles/analysis| Pyrethrins/analysis Other:Cooking|Egg|Enterobacteria|Insecticide|In vitro human digestion</t>
  </si>
  <si>
    <t>The linker length of glucose-fipronil conjugates has a major effect on the rate of bioactivation by β-glucosidase.    ABSTRACT:  Endogenous plant β-glucosidases can be utilized to hydrolyze pro-pesticides and release the bioactive pesticide. Two related glucose-fipronil conjugates with different linkers structure, N-{3-cyano-1-[2,6-dichloro-4-(trifluoromethyl) phenyl]-4-[(trifluoromethyl) sulfinyl]-1H-pyrazol-5-yl}-1-(2-triazolethyl-β-d-glucopyranoside)-1H-1,2,3-triazole-4-methanamine (GOTF) and N-{3-cyano-1-[2,6-dichloro-4-(trifluoromethyl) phenyl]-4-[(trifluoromethyl)-sulfinyl]-1H-pyrazol-5-yl}-2-aminoethyl-β-d-glucopyranoside (GOF), were deglucolysated by β-glucosidase both in vitro and in vivo at different rates. Here, the basis for these differences was investigated by revealing the kinetics of the reaction and by modeling molecular docking between enzyme and substrate.Results from kinetic study showed that the reaction rate was the main reason for the poorer rate of GOF hydrolysis with respect to GOTF. Modeling of substrate docking indicated that the spacer arm of glucose-fipronil conjugates affects the strength of non-covalent bonds within the active site and the position of fipronil within the pocket. Four glucose-fipronil conjugates and four corresponding aglycones were synthesized, and the hydrolysis data confirmed that the increased tether length between the bulky aglycone and glycone would lead to faster hydrolysis rate. The bioassay results indicated that most glucose-fipronil conjugates displayed moderate to excellent insecticidal activities in vivo against Plutella xylostella larvae.This study provides a potential strategy to optimize the substrate structure to enhance hydrolytic specificity in order to design appropriate phloem mobile pro-pesticides. © 2018 Society of Chemical Industry.© 2018 Society of Chemical Industry.  KEYWORDS:  MeSH Chemical: Insecticides| Pyrazoles| beta-Glucosidase| Glucose| fipronil MeSH: | Activation, Metabolic| Amino Acid Sequence| Animals| Brassica| Glucose/majr/chemistry| Hydrolysis| Insecticides/chemistry/toxicity| Larva| Molecular Docking Simulation| Moths| Prunus dulcis/enzymology| Pyrazoles/majr/chemistry| beta-Glucosidase/majr/chemistry Other:glucose conjugate|hydrolysis rate|substrate docking|β-glucosidase</t>
  </si>
  <si>
    <t>Efficacy of acetamiprid and fipronil fly baits against the housefly (Musca domestica L.) under laboratory conditions.    ABSTRACT:  The housefly Musca domestica L. (Diptera: Muscidae) is permanent pests in livestock facilities. High fly density in livestock and poultry farms can increase the risks of economic loss and public health. Treatment with toxic baits is one of the methods for housefly control. However, development of resistance to insecticides makes it difficult to manage of flies. Anti-resistance strategies include the use of multiple pesticides with different modes of action.This study was conducted to estimate the efficacy of neonicotinoid acetamiprid and phenylpyrazole fipronil, applied alone or in the mixture, against adults of M. domestica and to evaluate the efficacy of fly bait formulations containing acetamiprid and fipronil under laboratory conditions.The adult flies, M. domestica of laboratory strain, were used in laboratory bioassays. The efficacy of acetamiprid and fipronil as technical substances, when applied alone and in the mixture, against adult flies was tested by no-choice feeding bioassays. The insecticidal efficacy of bait formulations (wet powder) with acetamiprid or fipronil or their mixture was tested against flies by choice feeding bioassays. The probit analysis was used to calculate lethal concentrations of insecticides, and the χ2 test was used to analyze the interaction between fipronil and acetamiprid in the mixture.Fipronil was more toxic to adults of M. domestica than acetamiprid in laboratory tests. Lethal concentrations for 50% mortality (95% confidence interval) of flies were 0.0159% (0.0124-0.0205) of acetamiprid and 0.000119% (0.000039-0.0002640) of fipronil. The mixture containing fipronil at concentration 0.005% and acetamiprid at concentration 0.05% had the additive effect on fly mortality.The results of laboratory feeding bioassays indicate that the mixture of fipronil and acetamiprid might have a potential to use in toxic bait formulations against houseflies.  KEYWORDS:  Other:fly bait|housefly management|insecticide interaction|insecticide mixture</t>
  </si>
  <si>
    <t>Multi-compartmental toxicokinetic modeling of fipronil in tilapia: Accumulation, biotransformation and elimination.    ABSTRACT:  Bioaccumulation and biotransformation are critical processes modifying toxicity of easily metabolizable chemicals to aquatic organisms. In this study, tissue-specific accumulation, biotransformation and elimination of a current-use pesticide fipronil in tilapia (Oreochromis niloticus) were quantified by combining in vivo measurements and a newly developed multi-compartmental toxicokinetic model. Waterborne fipronil was taken up via gills and metabolized rapidly and solely to fipronil sulfone. Significant decrease of fipronil residues in liver and intestine during exposure period strongly suggested the induction of metabolism in these two organs. Significant transport of fipronil and fipronil sulfone in the liver-bile-intestine system implied that hepatobiliary excretion and enterohepatic re-absorption played important roles in fipronil metabolism and system circulation of the parent compound and the metabolite. The multi-compartmental model quantitatively described the highly dynamic inter-compartmental transport and rapid branchial clearance of fipronil in fish. Modeling results also suggested that uptake and biotransformation were the stronger driving forces for the inter-compartmental transport of fipronil in fish than the inherent partitioning capacity. Overall, our findings highlight the importance of biotransformation on internal disposition of fipronil in fish, which helps to improve aquatic toxicity assessment of this pesticide.Copyright © 2018 Elsevier B.V. All rights reserved.  KEYWORDS:  MeSH Chemical: Pesticides| Pyrazoles| Water Pollutants, Chemical| fipronil MeSH: | Animals| Biotransformation| Gills/metabolism| Intestinal Mucosa/metabolism| Liver/metabolism| Models, Biological/majr| Pesticides/majr/pharmacokinetics/toxicity| Pyrazoles/majr/pharmacokinetics/toxicity| Tilapia/majr/metabolism| Toxicokinetics| Water Pollutants, Chemical/majr/pharmacokinetics/toxicity Other:Biotransformation|Fipronil|Inter-compartmental transport|Multi-compartmental toxicokinetic modeling|Tissue-specific accumulation</t>
  </si>
  <si>
    <t>Fipronil causes toxicity in mouse preimplantation embryos.    ABSTRACT:  In this study the possible toxicity of phenylpyrazole fipronil, the related commercial product FIPRON spot-on as well as FIPRON spot-on secondary ingredients on the developmental capacities and quality of mouse preimplantation embryos was evaluated. During in vitro tests, isolated two-cell stage embryos were cultured in media with addition of the listed chemicals until blastocyst formation. Stereomicroscopic evaluation of in vitro produced embryos showed that fipronil at 1 μM and higher concentration negatively affected embryonic development. Fluorescence staining revealed that the obtained blastocysts displayed lower numbers of blastomeres at 10 μM concentrations and elevated incidence of cell death from 1 μM concentration. The presence of FIPRON spot-on at a concentration equivalent to 10 μM of fipronil caused massive degeneration of all embryos. Secondary ingredients (butylhydroxyanisolum, butylhydroxytoluenum) at corresponding concentrations negatively impacted the development and quality of preimplantation embryos as well. During in vivo tests (daily oral administration of fipronil during the preimplantation period) in embryos collected from treated mouse females, significantly elevated incidence of cell death was observed even at the acute reference dose. Fipronil impaired the development and quality of mouse preimplantation embryos in both in vitro and in vivo tests. Embryotoxicity of the commercial product FIPRON spot-on was potentiated by the presence of secondary ingredients.Copyright © 2018 Elsevier B.V. All rights reserved.  KEYWORDS:  MeSH Chemical: Insecticides| Pyrazoles| fipronil MeSH: | Animals| Apoptosis/drug effects| Blastocyst/majr/drug effects| Cell Death/drug effects| Dose-Response Relationship, Drug| Embryonic Development/drug effects| Female| Insecticides/majr/toxicity| Mice| Mice, Inbred ICR| Oviducts/drug effects/pathology| Pregnancy| Pyrazoles/majr/toxicity| Uterus/drug effects/pathology Other:FIPRON spot-on|Fipronil|In vitro|In vivo|Mouse|Preimplantation embryo</t>
  </si>
  <si>
    <t>Evaluation of an 11.2% spinetoram topical spot-on solution for the control of experimental and natural flea (Ctenocephalides felis) infestations on cats in Europe.    ABSTRACT:  Spinetoram is the newest member the spinosyn-class of natural products to be commercialized for flea control on cats in the United States under the tradename Cheristin® for cats. This report describes results from two laboratory studies and a multi-center clinical field trial designed to confirm the efficacy of a topical spot-on solution containing spinetoram (11.2% w/w, 130 mg/mL) against European strains of the cat flea, Ctenocephalides felis. In the laboratory studies, cats were allocated to one of two treatment groups of eight animals each: negative control (mineral oil) or spinetoram, both applied as a topical spot-on at the base of the skull on Day 0. Cats were infested with ∼100 newly emerged, unfed adult fleas on Days -2 or -1, 7, 14, 21, 28 and 35. To calculate efficacy, fleas were counted and removed 48 h after treatment, and 48 h after each subsequent infestation through week 5. Spinetoram treatments provided 100% efficacy through at least day 16 and ≥ 97% efficacy (arithmetic mean) for one month. For the field trial, 23 clinics from Northern and Southern Europe participated in the study that compared the effectiveness and safety of spinetoram and fipronil/(S)-methoprene treatments over a period of two months. There were 258 and 248 evaluable efficacy cases for month 1 and month 2, respectively, with 300 total evaluable cases for safety. Treatments were administered on Day 0 and again on Day 30 (±3 days). The effectiveness of treatments was calculated based on reduction in live flea counts on Days 14, 30, 44 and 60 (±3 days) relative to flea counts obtained on Day 0. Efficacy (geometric mean percent flea reduction) on Days 14, 30, 44 and 60 was 97.0%, 95.0%, 99.3% and 99.1% for spinetoram, respectively, and 86.1%, 80.9%, 92.4% and 92.3% for fipronil/(S)-methoprene, respectively. Spinetoram was deemed non-inferior at all intervals and superior to fipronil/(S)-methoprene at Days 30 and 60. Clinical signs of flea allergy dermatitis (FAD) were markedly improved following spinetoram treatment, as demonstrated through statistically significant reductions in severity of FAD scores for most of the clinical signs when compared to fipronil/(S)-methoprene treatment. There was a lower overall adverse event incidence rate for spinetoram (5.1%) versus fipronil/(S)-methoprene treatment (11.5%).Copyright © 2018 Elsevier B.V. All rights reserved.  KEYWORDS:  MeSH Chemical: Insecticides| Macrolides| Pyrazoles| Methoprene| fipronil| spinetoram MeSH: | Administration, Topical/majr| Animals| Cats| Ctenocephalides/majr/drug effects| Dermatitis/majr/parasitology/veterinary| Dogs| Drug Compounding| Flea Infestations/majr/drug therapy/parasitology/veterinary| Insecticides/majr/administration &amp; dosage/adverse effects/analysis/therapeutic use| Macrolides/majr/administration &amp; dosage/adverse effects/analysis/therapeutic use| Methoprene/administration &amp; dosage/adverse effects/therapeutic use| Pyrazoles/administration &amp; dosage/adverse effects/therapeutic use| Treatment Outcome Other:Cat|Ctenocephalides felis|Fipronil/(S)-methoprene|Flea|Spinetoram|Spinosyn</t>
  </si>
  <si>
    <t>The effect of biochar on the mitigation of the chiral insecticide fipronil and its metabolites burden on loach (Misgurnus.anguillicaudatus).    ABSTRACT:  In this work, the enantioselective toxicity, enrichment, and distribution of fipronil and its main metabolites (fipronil sulfone, fipronil sulfide, and fipronil desulfinyl) in loach (Misgurnus anguillicaudatus) were studied. The influence of maize-straw derived biochar on acute toxicity and bioaccumulation of contaminants were also investigated. The three main metabolites were more toxic to loach than parent fipronil. Meanwhile, loach exhibited more sensitive to S-enantiomer. The alleviated toxic response of loach was observed in the presence of biochar during 72-h acute toxicity test. Fipronil was readily metabolized to sulfone and sulfide with enantioselectivity in loach liver, and it was also found R-fipronil could transform into S-fipronil. The metabolites profile indicated that oxidation processes was the most predominant pathway in loach. Bioaccumulation factors showed the metabolites could be enriched in loach and they were relatively persistent. The bioaccessibility of fipronil and its metabolite decreased significantly when biochar was applied to the ecosystem. The present study provided basic data and outlines of enantioselective toxicity, biotransformation and metabolism of chiral pesticide fipronil and its main derivatives along with biochar in loach-water ecosystem, and further provide an alternative approach for field remediation to mitigate environmental adverse effects of fipronil.Copyright © 2018 Elsevier B.V. All rights reserved.  KEYWORDS:  MeSH Chemical: Insecticides| Pyrazoles| Water Pollutants, Chemical| biochar| Charcoal| fipronil MeSH: | Adipose Tissue/metabolism| Animals| Biotransformation| Brain/metabolism| Charcoal/majr/pharmacology| Cypriniformes/majr/metabolism| Insecticides/majr/pharmacokinetics/toxicity| Lethal Dose 50| Liver/metabolism| Pyrazoles/majr/pharmacokinetics/toxicity| Water Pollutants, Chemical/majr/pharmacokinetics/toxicity| Zea mays Other:Biochar|Enantioselectivity|Fipronil|Metabolism|Toxicity</t>
  </si>
  <si>
    <t>Arylpyrrole and fipronil analogues that inhibit the motility and/or development of Haemonchus contortus in vitro.    ABSTRACT:  Due to widespread drug resistance in parasitic nematodes, there is a need to develop new anthelmintics. Given the cost and time involved in developing a new drug, the repurposing of known chemicals can be a promising, alternative approach. In this context, we tested a library (n = 600) of natural product-inspired pesticide analogues against exsheathed third stage-larvae (xL3s) of Haemonchus contortus (barber's pole worm) using a whole-organism, phenotypic screening technique that measures the inhibition of motility and development in treated larvae. In the primary screen, we identified 32 active analogues derived from chemical scaffolds of arylpyrrole or fipronil. The seven most promising compounds, selected based on their anthelmintic activity and/or limited cytotoxicity, are arylpyrroles that reduced the motility of fourth-stage larvae (L4s) with significant potency (IC50 values ranged from 0.04 ± 0.01 μM to 4.25 ± 0.82 μM, and selectivity indices ranged from 10.6 to 412.5). Since the parent structures of the active compounds are uncouplers of oxidative phosphorylation, we tested the effect of selected analogues on oxygen consumption in xL3s using the Seahorse XF24 flux analyser. Larvae treated with the test compounds showed a significant increase in oxygen consumption compared with the untreated control, demonstrating their uncoupling activity. Overall, the results of the present study have identified natural product-derived molecules that are worth considering for chemical optimisation as anthelmintic drug leads.Copyright © 2018 The Authors. Published by Elsevier Ltd.. All rights reserved.  KEYWORDS:  MeSH Chemical: Anthelmintics| Biological Products| Pesticides| Pyrazoles| Pyrroles| fipronil MeSH: | Animals| Anthelmintics/majr/chemistry/isolation &amp; purification/pharmacology| Biological Products/chemistry/pharmacology| Drug Discovery| Drug Evaluation, Preclinical| Drug Repositioning| Drug Resistance| Haemonchiasis/drug therapy/parasitology| Haemonchus/majr/drug effects/physiology| Inhibitory Concentration 50| Larva/drug effects| Locomotion/majr/drug effects| Pesticides/chemistry/pharmacology| Pyrazoles/majr/pharmacology| Pyrroles/majr/chemistry/pharmacology| Sheep Other:Anthelmintic|Arylpyrrole|Drug discovery|Fipronil|Haemonchus contortus</t>
  </si>
  <si>
    <t>Ecotoxicological effect of fipronil and its metabolites on Folsomia candida in tropical soils.    ABSTRACT:  The aim of this study is to evaluate the toxicity of the fipronil and its metabolites, fipronil sulfone and fipronil desulfinyl on Folsomia candida. Three types of soils were used to perform the ecotoxicological tests, two natural soils (Oxisol and Entisol), and an artificial substrate (Tropical Artificial Soil). The treatments consisted of increasing doses of a veterinary medicinal product with active ingredient based on fipronil, and of its two main metabolites, fipronil sulfone and fipronil desulfinyl. The doses of fipronil were 0.00, 0.02, 0.04, 0.08, 0.15, 0.30, 0.60, and 1.00 mg kg-1 of the active ingredient. For fipronil sulfone and fipronil desulfinyl the doses tested were: 0.00, 0.01, 0.02, 0.04, 0.06, 0.08, 0.15, 0.30, 0.60, 1.00, and 5.00 mg kg-1. The effects of toxicity on F. candida were evaluated by survival and reproduction tests, based on the methods described by ISO 11267. There was a completely randomized design, with six replicates for the fipronil tests and eight for the metabolites. We show that fipronil and its metabolites, even at very low concentrations, are toxic to F. candida. Reduction of reproduction can be observed at concentrations of 0.15 mg kg-1. There was little difference in toxicity (LC50 and EC50) between fipronil and its metabolites. Rather, differences were related more to soil type, where the artificial soil was more sensitive than the two natural soils (Oxisol and Entisol). We conclude that it is important to perform ecotoxicological tests in natural soils, in order to generate more realistic representations of veterinary drug toxicity on the environment.Copyright © 2018 Elsevier B.V. All rights reserved.  KEYWORDS:  MeSH Chemical: Antiparasitic Agents| Pyrazoles| Soil Pollutants| Veterinary Drugs| fipronil sulfone| fipronil MeSH: | Animals| Antiparasitic Agents/majr/toxicity| Arthropods/majr/drug effects/physiology| Lethal Dose 50| No-Observed-Adverse-Effect Level| Pyrazoles/majr/toxicity| Reproduction/drug effects| Soil Pollutants/majr/toxicity| Veterinary Drugs/majr/toxicity Other:Environmental contamination|Fipronil disulfenil|Fipronil sulfone|Folsomia candida|Terrestrial ecotoxicology</t>
  </si>
  <si>
    <t>Exposure to amitraz, fipronil and permethrin affects cell viability and ABC transporter gene expression in an Ixodes ricinus cell line.    ABSTRACT:  Over-expression of ATP-binding cassette (ABC) transporter proteins has been implicated in resistance of ticks to acaricides. Tick cell lines are useful for investigating resistance mechanisms, as development of an in vitro model for the study of acaricide resistance would contribute to improving knowledge of the molecular basis behind drug processing and exclusion in ticks. In the present study, cultures of the Ixodes ricinus-derived cell line IRE/CTVM19 were treated with the acaricides amitraz, permethrin or fipronil to determine modulation of ABC transporter gene expression. Cells were treated with different drug concentrations (25, 50, 100, 150 μM) and incubated for ten days. Cell morphology, viability, metabolic activity and relative expression of ABC (B1, B6, B8 and B10) genes were determined at day 10 post-treatment.Cell morphology determined by light microscopy was altered following treatment with all drugs, but only at high concentrations, while total cell numbers decreased with increasing drug dose. Cell viability determined by trypan blue exclusion was not significantly different from untreated controls (P &gt; 0.1) following treatment with amitraz and permethrin, but high concentrations of fipronil caused decrease (up to 37%, P &lt; 0.01) in viability. At all drug concentrations, fipronil and permethrin induced dose-dependent reduction in cell metabolic activity measured by MTT assay (P &lt; 0.01). Quantitative RT-PCR showed that the drugs significantly affected expression of ABC genes. In particular, fipronil treatment downregulated ABCB1 (P &lt; 0.001) and upregulated ABCB6, ABCB8 and ABCB10 (P &lt; 0.01); amitraz treatment down regulated ABCB1 (significant difference between 25 and 150 μM, P &lt; 0.001) and upregulated ABCB8 and ABCB10 at lower concentrations (25 and 50 μM, P &lt; 0.05); and permethrin upregulated ABCB6, ABCB8 and ABCB10 only at 150 μM (P &lt; 0.01).The adverse effects on cell viability and metabolic activity, and changes in expression of different ABC transporter genes, detected in IRE/CTVM19 cells following treatment with amitraz, permethrin and fipronil, support the proposed application of tick cell lines as in vitro models for the study of resistance to these acaricides in ticks.  KEYWORDS:  MeSH Chemical: ATP-Binding Cassette Transporters| Insecticides| Pyrazoles| Toluidines| amitraz| Permethrin| fipronil MeSH: | ATP-Binding Cassette Transporters/majr/genetics/metabolism| Animals| Cell Line| Cell Survival| Dose-Response Relationship, Drug| Gene Expression Regulation/majr/drug effects| Insecticides/toxicity| Ixodes/majr/cytology| Permethrin/majr/administration &amp; dosage/toxicity| Pyrazoles/majr/administration &amp; dosage/toxicity| Toluidines/majr/administration &amp; dosage/toxicity Other:Acaricide|Amitraz|Fipronil|In vitro|Ixodes ricinus|MTT assay|Permethrin|Tick cell line|Trypan blue</t>
  </si>
  <si>
    <t>Adverse effects of the insecticides chlordecone and fipronil on population growth and expression of the entire cytochrome P450 (CYP) genes in the freshwater rotifer Brachionus calyciflorus and the marine rotifer Brachionus plicatilis.    ABSTRACT:  Chlordecone and fipronil are used as an insecticide and have been widely detected in the aquatic environments. However, their toxicity is still poorly investigated in aquatic invertebrates. In this study, we examined effects of chlordecone and fipronil on population growth and transcriptional regulation of the entire cytochrome P450 (CYP) genes in the freshwater rotifer Brachionus calyciflorus and the marine rotifer B. plicatilis. In B. calyciflorus, a 24 h-no observed effect concentration (NOEC-24 h) and a 24 h-median lethal concentration (LC50-24 h) of chlordecone were determined as 100 μg/L and 193.8 μg/L, respectively, while NOEC-24 h and LC50-24 h of fipronil were determined as 1000 μg/L and 2033.0 μg/L, respectively. In B. plicatilis, NOEC-24 h and LC50-24 h of chlordecone were 100 μg/L and 291.0 μg/L, respectively, while NOEC-24 h and LC50-24 h of fipronil were determined as 1000 μg/L and 5735.0 μg/L, respectively. Moreover, retardation in the population growth were observed in response to chlordecone and fipronil in both rotifer species, suggesting that chlordecone and fipronil have a potential adverse effects on life cycle parameters of two rotifer species. Additionally, modulation in the expressions of the entire CYP genes were demonstrated in response to chlordecone and fipronil at 24 h period. These results provide the better understanding on how chlordecone and fipronil can affect in population growth of two rotifers and CYP gene expressions in chlordecone- and fipronil-exposed rotifers.Copyright © 2018 Elsevier B.V. All rights reserved.  KEYWORDS:  MeSH Chemical: Insecticides| Pyrazoles| Water Pollutants, Chemical| Cytochrome P-450 Enzyme System| fipronil| Chlordecone MeSH: | Animals| Chlordecone/majr/chemistry/toxicity| Cytochrome P-450 Enzyme System/majr/genetics/metabolism| Gene Expression Regulation/drug effects| Insecticides/majr/chemistry/toxicity| Life Cycle Stages/drug effects| Population Growth| Pyrazoles/majr/chemistry/toxicity| Rotifera/majr/drug effects/metabolism| Water Pollutants, Chemical/majr/chemistry/toxicity Other:CYPgenes|Expression|Insecticide|Population growth</t>
  </si>
  <si>
    <t>Field evaluation of a 0.005% fipronil bait, orally administered to Rhombomys opimus, for control of fleas (Siphonaptera: Pulicidae) and phlebotomine sand flies (Diptera: Psychodidae) in the Central Asian Republic of Kazakhstan.    ABSTRACT:  Plague (Yersinia pestis) and zoonotic cutaneous leishmaniasis (Leishmania major) are two rodent-associated diseases which are vectored by fleas and phlebotomine sand flies, respectively. In Central Asia, the great gerbil (Rhombomys opimus) serves as the primary reservoir for both diseases in most natural foci. The systemic insecticide fipronil has been previously shown to be highly effective in controlling fleas and sand flies. However, the impact of a fipronil-based rodent bait, on flea and sand fly abundance, has never been reported in Central Asia. A field trial was conducted in southeastern Kazakhstan to evaluate the efficacy of a 0.005% fipronil bait, applied to gerbil burrows for oral uptake, in reducing Xenopsylla spp. flea and Phlebotomus spp. sand fly abundance. All active gerbil burrows within the treated area were presented with ~120 g of 0.005% fipronil grain bait twice during late spring/early summer (June 16, June 21). In total, 120 occupied and 14 visited gerbil colonies were surveyed and treated, and the resulting application rate was minimal (~0.006 mg fipronil/m2). The bait resulted in 100% reduction in Xenopsylla spp. flea abundance at 80-days post-treatment. Gravid sand flies were reduced ~72% and 100% during treatment and at week-3 post-treatment, respectively. However, noticeable sand fly reduction did not occur after week-3 and results suggest environmental factors also influenced abundance significantly. In conclusion, fipronil bait, applied in southeastern Kazakhstan, has the potential to reduce or potentially eliminate Xenopsylla spp. fleas if applied at least every 80-days, but may need to be applied at higher frequency to significantly reduce the oviposition rate of Phlebotomus spp. sand flies. Fipronil-based bait may provide a means of controlling blood-feeding vectors, subsequently reducing disease risk, in Central Asia and other affected regions globally.  KEYWORDS:  MeSH Chemical: Insecticides| Pyrazoles| fipronil MeSH: | Animals| Disease Vectors| Feeding Behavior| Female| Flea Infestations/majr/parasitology/prevention &amp; control/veterinary| Gerbillinae/majr/parasitology/physiology| Insect Control/majr/methods| Insecticides/majr/administration &amp; dosage| Kazakhstan| Male| Psychodidae/majr/drug effects/physiology| Pyrazoles/majr/administration &amp; dosage| Siphonaptera/majr/drug effects/physiology</t>
  </si>
  <si>
    <t>Six-month field efficacy and safety of the combined treatment of dogs with Frontline Tri-Act® and NexGard Spectra®.    ABSTRACT:  Safety and efficacy of the combined monthly use of spot-on fipronil 6.76% w/v / permethrin 50.48% w/v (Frontline Tri-Act®) and chewable tablets of afoxolaner 1.9% w/w / milbemycin oxime 0.4% w/w (NexGard Spectra®) in dogs was evaluated in a field study over a period of 6 months.Forty-one healthy dogs living in highly endemic area for canine leishmaniosis and other canine vector borne diseases (VBD) were included in the study at the beginning of the Leishmania transmission season. Sixteen dogs were pet dogs living each in a single household; twenty-five dogs were hunting dogs living in three kennels. At inclusion, the dogs were ELISA (rapid test) negative for antibodies to Anaplasma, Borrelia, Ehrlichia, and for antigens of Dirofilaria. The dogs were also negative for blood microfilariae at the Knott's test, and no clinical or haematological abnormalities were observed. Of the included dogs, six hunting, apparently healthy, dogs were ELISA (rapid test) positive to Leishmania, and some were naturally infected by gastrointestinal nematodes (58.5%) and/or infested by fleas (58.5%) and ticks (9.8%). All the included dogs were treated at Days 0, 28, 56, 84, 112 and 140, and followed-up for efficacy until the study end (Day 168).No adverse events related to the two products, nor skin reactions, general signs, or changes in the haematological profile, were observed during the study. At Day 14, anthelminthic efficacy was 100% for Toxocara canis, Toxascaris leonina and Capillaria aerophila, while few hunting dogs were still shedding eggs of Trichuris vulpis (1/25 hunting dog) and Ancylostomatidae (9/25 hunting dogs). All pet dogs were nematode free at the end of the study. Hunting dogs were free of roundworms and whipworms. Twenty-four hours after the first treatment, 95.8% of the ectoparasite infested dogs were free from fleas and ticks. Ectoparasites were significantly controlled during the 6-month study period, with 100% efficacy on both fleas and ticks from Day 56 to Day 168. Blood and serum samples collected on Day 168 were tested for vector-borne pathogens using same methods of the inclusion and no new seroconversions or circulating blood microfilariae were observed.Concomitant use of Frontline Tri-Act® and NexGard Spectra® in dogs for six months was well tolerated. The combination was effective in controlling fleas, ticks, gastro-intestinal nematodes, and neither new seroconversion to the tested vector-borne pathogens nor blood microfilariae were detected in treated dogs at the end of the study.  KEYWORDS:  MeSH Chemical: Drug Combinations| Insecticides| Isoxazoles| Macrolides| Naphthalenes| Pyrazoles| afoxolaner| Permethrin| moxidectin| fipronil MeSH: | Animals| Dog Diseases/majr/parasitology/prevention &amp; control| Dogs| Drug Combinations| Female| Insect Vectors/majr/drug effects| Insecticides/majr/administration &amp; dosage/pharmacology| Isoxazoles/administration &amp; dosage/adverse effects/pharmacology| Macrolides/administration &amp; dosage/adverse effects/pharmacology| Male| Naphthalenes/administration &amp; dosage/adverse effects/pharmacology| Parasitic Diseases, Animal/majr/parasitology/prevention &amp; control| Permethrin/administration &amp; dosage/adverse effects/pharmacology| Pyrazoles/administration &amp; dosage/adverse effects/pharmacology Other:Afoxolaner/milbemycin oxime|Canine vector-borne diseases|Ectoparasites|Efficacy|Fipronil/permethrin|Nematodes|Safety</t>
  </si>
  <si>
    <t>Comparative Impact of Chitin Synthesis Inhibitor Baits and Non-repellent Liquid Termiticides on Subterranean Termite Colonies Over Foraging Distances: Colony Elimination Versus Localized Termite Exclusion.    ABSTRACT:  This study evaluated the impact of a non-repellent liquid termiticide (fipronil) and a chitin synthesis inhibitor (CSI) termite bait (noviflumuron) on whole colonies of Coptotermes gestroi (Wasmann) (Blattodea: Isoptera: Rhinotermitidae) in laboratory conditions, over a 12-m foraging distance. The protocol simulated the implementation of remedial treatment of an infested structure, where the colony has multiple access routes, and where only a portion of the population was directly exposed to the treatment. Within 2 wk after the implementation of fipronil, all termites within 1.5 m away from the treatment died. The accumulation of cadavers near the treated area resulted in secondary repellency and the colonies avoided the treated area for the remaining 10 wk of the experiment, using alternative foraging galleries. At the end of the 12 wk, colonies exposed to fipronil did not have any difference in population size compared with control colonies. Comparatively, colonies exposed to noviflumuron had no change in foraging activity for the first ≈40 d, but then termites progressively ceased their activity throughout their foraging territory. By 12 wk, noviflumuron-exposed colonies were near-elimination, with only a few workers, soldiers remaining, and all colonies were eliminated by 95 d. This study shows that subterranean termite colonies with access to CSI baits are inevitably eliminated, regardless of the position of the bait, while colonies exposed to fipronil are only locally excluded from the area near the treatment, but may maintain their foraging activity in untreated areas, and retain their potential risk for structural damage in the long term.  KEYWORDS:  MeSH Chemical: Benzamides| Hydrocarbons, Fluorinated| Insecticides| Pyrazoles| noviflumuron| fipronil MeSH: | Animals| Benzamides/majr| Hydrocarbons, Fluorinated/majr| Insect Control/majr| Insecticides/majr| Isoptera/majr| Pyrazoles/majr</t>
  </si>
  <si>
    <t>Spectral Characterization and Molecular Dynamics Simulation of Pesticides Based on Terahertz Time-Domain Spectra Analyses and Density Functional Theory (DFT) Calculations.    ABSTRACT:  This work provides the experimental and theoretical fundamentals for detecting the molecular fingerprints of six kinds of pesticides by using terahertz (THz) time-domain spectroscopy (THz-TDS). The spectra of absorption coefficient and refractive index of the pesticides, chlorpyrifos, fipronil, carbofuran, dimethoate, methomyl, and thidiazuron are obtained in frequencies of 0.1⁻3.5 THz. To accurately describe the THz spectral characteristics of pesticides, the wavelet threshold de-noising (WTD) method with db 5 wavelet fucntion, 5-layer decomposition, and soft-threshold de-noising was used to eliminate the spectral noise. The spectral baseline correction (SBC) method based on asymmetric least squares smoothing was used to remove the baseline drift. Spectral results show that chlorpyrifo had three characteristic absorption peaks at 1.47, 1.93, and 2.73 THz. Fipronil showed three peaks at 0.76, 1.23, and 2.31 THz. Carbofuran showed two peaks at 2.72 and 3.06 THz. Dimethoate showed three peaks at 1.05, 1.89, and 2.92 THz. Methomyl showed five peaks at 1.01, 1.65, 1.91, 2.72, and 3.20 THz. Thidiazuron showed four peaks at 0.99, 1.57, 2.17, and 2.66 THz. The density functional theory (DFT) of B3LYP/6-31G+(d,p) was applied to simulate the molecular dynamics for peak analyzing of the pesticides based on isolated molecules. The theoretical spectra are in good agreement with the experimental spectra processed by WTD + SBC, which implies the validity of WTD + SBC spectral processing methods and the accuracy of DFT spectral peak analysis. These results support that the combination of THz-TDS and DFT is an effective tool for pesticide fingerprint analysis and the molecular dynamics simulations.  KEYWORDS:  MeSH Chemical: Pesticides MeSH: | Least-Squares Analysis| Molecular Dynamics Simulation| Pesticides/majr/analysis/chemistry| Refractometry| Spectrum Analysis/methods| Terahertz Spectroscopy Other:density functional theory|molecular dynamics simulations|pesticides|spectral baseline correction|terahertz time-domain spectroscopy|wavelet threshold de-noising</t>
  </si>
  <si>
    <t>A randomized, controlled field study to assess the efficacy and safety of lotilaner (Credelio™) in controlling ticks in client-owned cats in Europe.    ABSTRACT:  There is a continuing need for novel approaches to tick infestations treatment and control in cats. Lotilaner, an isoxazoline with rapid onset of action, has proven its efficacy against ticks in laboratory studies. A study was undertaken to confirm lotilaner's efficacy and safety in client-owned cats, at the minimum dose of 6.0 mg/kg, against the most common ticks infesting cats in Europe.Twenty clinics in Germany, Hungary and Portugal participated in the study. Households with no more than three cats were randomized 2:1 to a lotilaner or fipronil group. The first household cat with at least three live, attached ticks was the primary cat. Treatments were dispensed on days 0, 28 and 56 for owner administration. Tick counts were performed on days 0, 7, 14, 21, 28, 42, 56, 70 and 84 (primary cats) and supplementary cats were assessed for safety only, on days 28, 56 and 84. Efficacy was assessed by comparing mean day 0 live attached tick counts with subsequent counts.Most frequently retrieved ticks were Ixodes ricinus, Rhipicephalus sanguineus and Dermacentor reticulatus, with Ixodes hexagonus also present. In the lotilaner group (n = 112) efficacy (based on geometric mean tick counts) was between 98.3-100%. For fipronil (n = 57), efficacy was between 89.6-99.6%, with live attached ticks present on some cats at all time points. Mean tick counts in lotilaner-treated cats were significantly lower than in fipronil-treated cats on days 21, 28, 42 and 56 (P &lt; 0.05). The mean percent efficacy over all post-enrolment visits was 99.6% and 96.4% (lotilaner and fipronil group, respectively), (P &lt; 0.0001). Lotilaner was superior to fipronil for efficacy averaged over all time points (P &lt; 0.0001) and on individual assessment days (day 14 to 70, P &lt; 0.0394); it was non-inferior to fipronil on the other days. Owners successfully administered all treatments, and both products were well tolerated.CredelioTM was effective and safe for the treatment of tick infestations in client-owned cats. Efficacy lasted one month and lotilaner was superior to fipronil on most assessment days. Cure rates ranged between 94.5-100% for lotilaner and 68.4-98.2% for fipronil.  KEYWORDS:  MeSH Chemical: Acaricides| Isoxazoles| Pyrazoles| fipronil MeSH: | Acaricides/majr/adverse effects/therapeutic use| Animals| Cat Diseases/majr/drug therapy| Cats| Female| Germany| Hungary| Isoxazoles/majr/adverse effects/therapeutic use| Ixodidae/majr| Male| Portugal| Pyrazoles/adverse effects/therapeutic use| Tick Infestations/majr/drug therapy/veterinary| Treatment Outcome Other:Cat|Credelio|Efficacy|Europe|Field study|Fipronil|Lotilaner|Safety|Tick</t>
  </si>
  <si>
    <t>A randomized, controlled field study to assess the efficacy and safety of lotilaner (Credelio™) in controlling fleas in client-owned cats in Europe.    ABSTRACT:  Lotilaner is a new isoxazoline developed as an oral ectoparasiticide for cats and dogs. Its safety, rapid killing onset of action and sustained speed of fleas and ticks kill for a minimum of one month after administration, were demonstrated in a number of laboratory studies in cats. This study was performed to demonstrate the efficacy and safety of lotilaner flavored chewable tablets for cats (Credelio™, Elanco) in controlling fleas under field conditions in European countries.Seventeen veterinary practices in France and Spain, located in high flea prevalence regions, participated in the study. Households with a maximum of three cats and two dogs were randomized 2:1 to a lotilaner (minimum dose rate 6 mg/kg) or a topical fipronil/(S)-methoprene combination (Frontline Combo® Spot-on Cats, Merial) group (administered according to label). In each household, efficacy against fleas and flea allergy dermatitis (FAD) signs were assessed in one primary cat (bearing a minimum of five fleas on Day 0) while safety was evaluated in all cats. There were 121 households included in the lotilaner and 61 in the fipronil/(S)-methoprene groups, respectively. Treatments were administered by the cats' owners on Day 0. Flea counts and FAD assessments were made on Days 0, 14, and 28. Efficacy calculations were based on geometric mean percent reductions of live flea counts versus baseline pre-treatment counts.Lotilaner efficacy was 97.2 and 98.1% on Days 14 and 28, respectively. Corresponding efficacy for fipronil/(S)-methoprene was 48.3 and 46.4%. Lotilaner was superior to fipronil/(S)-methoprene at all post-Day 0 assessments and over the whole study period (P &lt; 0.0001). At every post-administration evaluation, at least 81% of lotilaner-treated cats were flea-free as opposed to 25% in the fipronil/(S)-methoprene group. Lotilaner improved or eliminated clinical signs of FAD, including pruritus. Both products were well tolerated.Under field conditions in Europe, lotilaner flavored chewable tablets for cats displayed an efficacy against fleas higher than 97%; clinical signs of FAD were improved or eliminated. Lotilaner tablets were safe and provided superior flea control to fipronil/(S)-methoprene.  KEYWORDS:  MeSH Chemical: Drug Combinations| Insecticides| Isoxazoles| Pyrazoles| Methoprene| fipronil MeSH: | Animals| Cat Diseases/majr/drug therapy| Cats| Dermatitis/drug therapy/parasitology/veterinary| Drug Combinations| Female| Flea Infestations/majr/drug therapy/veterinary| France| Insecticides/majr/adverse effects/therapeutic use| Isoxazoles/majr/adverse effects/therapeutic use| Male| Methoprene/adverse effects/therapeutic use| Pyrazoles/adverse effects/therapeutic use| Siphonaptera/majr| Spain| Treatment Outcome Other:Cat|Credelio|Efficacy|Europe|Field|Fipronil/(S)-methoprene|Fleas|Frontline|Lotilaner|Safety</t>
  </si>
  <si>
    <t>Effects of short-term, sublethal fipronil and its metabolite on dragonfly feeding activity.    ABSTRACT:  Dragonflies, Sympetrum spp., are indispensable to agriculture and are a central element of culture in Japan. However, S. frequens populations in rice paddy fields have declined in recent decades. Dragonfly larvae are predatory aquatic insects that feed on other organisms found in habitats with slow-moving or standing water. The increasing use of fipronil and neonicotinoid insecticides in agriculture is also increasing exposure to Sympetrum spp. in larval stages through paddy soil and water. The role of fipronil insecticides in the decline of dragonflies is of concern, and we here examine the sublethal effects of this insecticide on the feeding behaviors of two Sympetrum spp. Based on the quantity of prey items consumed and the time to capture prey items, feeding inhibition was determined to be a potential mechanism of the decline of Sympetrum spp. following 48-h exposure to fipronil and fipronil sulfone. Prey consumption by S. infuscatum was significantly reduced for fipronil sulfone at all concentrations (0.01-1000 μg/L). S. frequens exposed to 1, 10, 100 and 1000 μg/L fipronil sulfone had significantly longer prey capture times. Fipronil sulfone was 2.8, 9.7 and 10.5 times more toxic to S. infuscatum than fipronil in terms of acute toxicity, feeding inhibition and delayed toxicity, respectively. In addition, fipronil sulfone was 6.6, 2.9 and 9.1 times more toxic, respectively, to S. frequens than fipronil. Our findings suggest that sublethal effects on feeding inhibition lead to severe mortality at realistic paddy soil and water concentrations. Our results provide the first demonstration that short-term exposure to fipronil and fipronil sulfone can consequently cause significant harm to dragonfly larvae survival due to feeding inhibition. These findings have implications for current pesticide risk assessment and dragonfly protection.  KEYWORDS:  MeSH Chemical: Insecticides| Neonicotinoids| Nitro Compounds| Pyrazoles| imidacloprid| fipronil sulfone| fipronil MeSH: | Animals| Artemia| Dose-Response Relationship, Drug| Feeding Behavior/majr/drug effects| Female| Insecticides/majr/pharmacology| Larva| Neonicotinoids/pharmacology| Nitro Compounds/pharmacology| Odonata/majr/drug effects/physiology| Pyrazoles/majr/pharmacology</t>
  </si>
  <si>
    <t>Matrix solid-phase dispersion associated to gas chromatography for the assessment in honey bee of a group of pesticides of concern in the apicultural field.    ABSTRACT:  A method based on matrix solid-phase dispersion (MSPD) associated to gas chromatography-flame photometric detection (GC-FPD), GC-electron capture detection (GC-ECD) and GC-mass spectrometry (GC-MS) for confirmation purposes, was developed for the determination of a representative group of twelve pesticides in honeybee with particular concern in the apicultural field (fipronil, thiamethoxam, acetamiprid, acrinathrin, metamidophos, dimetoathe, diazinon, chlorpyrifos, methidathion, profenophos, azinphos methyl and coumaphos). Factors influencing the extraction efficiency of MSPD were investigated and optimized through response surface method. The use of octadecylsilyl (C18) sorbent combined with a florisil clean-up and acetonitrile-methanol (99:1) elution was the optimal condition for the extraction of the selected pesticides. Under this condition the recovery of pesticides at the limit of quantification of the method (0.007 to 0.050 μg g-1) ranged from 68 to 102% with RSDs for within-laboratory reproducibility ≤20%. The proposed method was applied to the analysis of honeybees collected in 68 field hives from areas of great apicultural and agricultural development in central Chile. In 65% of these samples eight different pesticides were detected. Pesticides most frequently found were chlorpyrifos (34% of the samples, &lt;0.017-0.067 μg g-1), acrinathrin (32% of the samples, &lt;0.020-0.026 μg g-1) and diazinon (10% of the samples at values &lt;0.015 μg g-1). The incidence of these pesticides in bees can be related to their high employ in central Chile, use to combat the varroosis in hives and hydrophobicity.Copyright © 2018 Elsevier B.V. All rights reserved.  KEYWORDS:  MeSH Chemical: Acetonitriles| Pesticide Residues| Pesticides| acetonitrile MeSH: | Acetonitriles/chemistry| Animals| Bees/majr/chemistry| Chile| Chromatography, Gas/majr| Gas Chromatography-Mass Spectrometry/majr| Pesticide Residues/analysis/toxicity| Pesticides/majr/analysis| Reproducibility of Results Other:Gas chromatography|Honeybee|Matrix solid phase dispersion|Pesticides</t>
  </si>
  <si>
    <t>The fungal alkaloid Okaramine-B activates an L-glutamate-gated chloride channel from Ixodes scapularis, a tick vector of Lyme disease.    ABSTRACT:  A novel L-glutamate-gated anion channel (IscaGluCl1) has been cloned from the black-legged tick, Ixodes scapularis, which transmits multiple pathogens including the agents of Lyme disease and human granulocytic anaplasmosis. When mRNA encoding IscaGluCl1 was expressed in Xenopus laevis oocytes, we detected robust 50-400 nA currents in response to 100 μM L-glutamate. Responses to L-glutamate were concentration-dependent (pEC50 3.64 ± 0.11). Ibotenate was a partial agonist on IscaGluCl1. We detected no response to 100 μM aspartate, quisqualate, kainate, AMPA or NMDA. Ivermectin at 1 μM activated IscaGluCl1, whereas picrotoxinin (pIC50 6.20 ± 0.04) and the phenylpyrazole fipronil (pIC50 6.90 ± 0.04) showed concentration-dependent block of the L-glutamate response. The indole alkaloid okaramine B, isolated from fermentation products of Penicillium simplicissimum (strain AK40) grown on okara pulp, activated IscaGluCl1 in a concentration-dependent manner (pEC50 5.43 ± 0.43) and may serve as a candidate lead compound for the development of new acaricides.Copyright © 2018. Published by Elsevier Ltd.  KEYWORDS:  MeSH Chemical: Acaricides| Azetidines| Azocines| Chloride Channels| Indole Alkaloids| glutamate-gated chloride channels| okaramine B| Glutamic Acid| Ivermectin MeSH: | Abelmoschus/metabolism| Acaricides/majr/chemistry/isolation &amp; purification/pharmacology| Animals| Azetidines/majr/isolation &amp; purification/pharmacology| Azocines/majr/isolation &amp; purification/pharmacology| Chloride Channels/majr/drug effects/genetics| Disease Vectors| Drug Discovery| Glutamic Acid/pharmacology| Indole Alkaloids/majr/isolation &amp; purification/pharmacology| Ivermectin/pharmacology| Ixodes/majr/genetics/metabolism| Lyme Disease/parasitology| Oocytes/drug effects| Penicillium/chemistry/growth &amp; development/metabolism| Xenopus laevis/genetics/metabolism Other:Acaricide|Glutamate-gated chloride channel|Ivermectin|Okaramine B|Tick Ixodes scapularis</t>
  </si>
  <si>
    <t>Design of a New Glutamine-Fipronil Conjugate with α-Amino Acid Function and Its Uptake by A. thaliana Lysine Histidine Transporter 1 ( AtLHT1).    ABSTRACT:  Creating novel pesticides with phloem mobility is essential for controlling insects in vascular tissue and root, and conjugating existing pesticides with amino acid is an effective approach. In order to obtain a highly phloem-mobile candidate for efficient pesticides, an electro-neutral l-glutamine-fipronil conjugate (l-GlnF) retaining α-amino acid function was designed and synthesized to fit the substrate specificity of an amino acid transporter. Cotyledon uptake and phloem loading tests with Ricinus communis have verified that l-GlnF was phloem mobile, and its phloem mobility was higher than that of its enantiomer d-GlnF and other previously reported amino acid-fipronil conjugates. Inhibition experiments then suggested that the uptake of l-GlnF was, at least partially, mediated by an active transport mechanism. This inference was further strengthened by assimilation experiments with Xenopus oocytes and genetically modified Arabidopsis thaliana, which showed a direct correlation between the uptake of l-GlnF and the expression of amino acid transporter AtLHT1. Thus, conjugation with l-Gln appears to be a potential strategy to ensure the uptake of pesticides via an endogenous amino acid transport system.  KEYWORDS:  MeSH Chemical: Amino Acid Transport Systems, Basic| Amino Acids| Arabidopsis Proteins| LHT1 protein, Arabidopsis| Pesticides| Pyrazoles| Glutamine| fipronil MeSH: | Amino Acid Transport Systems, Basic/majr/genetics/metabolism| Amino Acids/majr/metabolism| Animals| Arabidopsis/majr/genetics/metabolism| Arabidopsis Proteins/majr/genetics/metabolism| Biological Transport| Drug Design| Glutamine/majr/chemistry/metabolism| Oocytes/metabolism| Pesticides/majr/chemical synthesis/chemistry/metabolism| Phloem/metabolism| Pyrazoles/majr/chemistry/metabolism| Ricinus/metabolism| Seedlings/metabolism| Xenopus Other:AtLHT1|amino acid transporter|fipronil|glutamine</t>
  </si>
  <si>
    <t>Thymoquinone and diallyl sulfide protect against fipronil-induced oxidative injury in rats.    ABSTRACT:  Fipronil (FPN) is a phenylpyrazole insecticide, widely used for agricultural and veterinary activities. Early reports indicated that FIP organ toxicity is primarily mediated by the induction of oxidative stress. Both thymoquinone (TQ) and diallyl sulfide (DAS) are natural antioxidants with established health benefits. This study investigated the potential ameliorative effects of DAS and TQ against FPN-induced toxicity in rats. Thirty-two male Wistar rats (150-180 g) were randomized into four treatment groups, receiving (I) saline, (II) FPN (10 mg/kg bw), (III) FPN with DAS (200 mg/kg bw), and (IV) FPN with TQ (10 mg/kg bw). All treatments were administered once daily for 28 days. The results showed that compared to the control rats, FPN-treated rats had significantly increased (p &lt; 0.05) serum levels of uric acid, urea, creatinine, cholesterol, aspartate transferase, alanine transferase, alkaline phosphatase, lactate dehydrogenase, and γ-glutamyl transferase. Moreover, FPN significantly reduced (p &lt; 0.05) the serum levels of total proteins, albumin, and triglycerides. In addition, compared with the control group, FPN-treated rats had significantly elevated (p &lt; 0.05) malondialdehyde and nitric oxide levels, as well as significantly reduced glutathione concentration and activities of glutathione peroxidase, superoxide dismutase, and catalase enzymes in the hepatic, renal, and brain tissues. Cotreatment with DAS or TQ significantly ameliorated (p &lt; 0.05) the FPN-induced alterations in all the previously mentioned parameters with more frequent restoration of normal control ranges in the TQ group. In conclusion, both DAS and TQ alleviated the oxidative injury of FPN, probably by enhancing tissue antioxidant defenses.  KEYWORDS:  MeSH Chemical: Allyl Compounds| Antioxidants| Benzoquinones| Enzymes| Insecticides| Protective Agents| Pyrazoles| Sulfides| Nitric Oxide| Malondialdehyde| allyl sulfide| Glutathione| thymoquinone| fipronil MeSH: | Allyl Compounds/majr/pharmacology| Animals| Antioxidants/metabolism/pharmacology| Benzoquinones/majr/pharmacology| Brain/drug effects/metabolism| Enzymes/metabolism| Glutathione/metabolism| Insecticides/toxicity| Kidney/drug effects/metabolism| Lipid Peroxidation/drug effects| Liver/drug effects/metabolism| Male| Malondialdehyde/metabolism| Nitric Oxide/metabolism| Oxidative Stress/majr/drug effects/physiology| Protective Agents/majr/pharmacology| Pyrazoles/majr/toxicity| Rats, Wistar| Sulfides/majr/pharmacology Other:Diallyl sulfide|Fipronil|Garlic|Nigella sativa|Oxidative stress|Rats|Thymoquinone</t>
  </si>
  <si>
    <t>Integrated control of juvenile Ixodes scapularis parasitizing Peromyscus leucopus in residential settings in Connecticut, United States.    ABSTRACT:  Lyme disease continues to be the most common vector-borne disease in the United States with an estimated 330,000 human cases annually. In the eastern United States, the blacklegged tick, Ixodes scapularis, is the primary vector of the Lyme disease spirochete, Borrelia burgdorferi, and the white-footed mouse, Peromyscus leucopus, is a primary reservoir host. In four residential neighborhoods in Connecticut over three years, we tested the effectiveness of different low-toxicity integrated tick management approaches to control larval and nymphal I. scapularis parasitizing P. leucopus. Combinations of white-tailed deer, Odocoileus virginianus, reduction, broadcast application of the entomopathogenic fungus Metarhizium anisopliae, and distribution of fipronil-based rodent-targeted bait boxes were evaluated against an experimental control. Deer reduction with no other intervention likely forced juvenile I. scapularis to obtain blood meals from available reservoir hosts, resulting in increased exposure of P. leucopus to B. burgdorferi compared to control sites. The M. anisopliae/bait box and the deer reduction/M. anisopliae/bait box treatment combinations resulted in 94% and 85% reductions in larvae parasitizing P. leucopus that tested positive for B. burgdorferi, respectively, compared to control. Deer reduction alone resulted in only a 3% reduction, likely because parasitizing juvenile I. scapularis were not targeted by bait box-delivered fipronil. Unless there is community support to reduce and maintain deer at very low densities (&lt;5 deer/km2), it is clear that a combination of M. anisopliae/fipronil-based bait boxes offers an effective, localized, low-toxicity option for reducing I. scapularis parasitizing P. leucopus without complications from host switching.Copyright © 2018 Elsevier GmbH. All rights reserved.  KEYWORDS:  MeSH Chemical: Antiparasitic Agents| Pyrazoles| fipronil MeSH: | Animals| Antiparasitic Agents/pharmacology| Connecticut/epidemiology| Deer/parasitology| Disease Reservoirs/majr/parasitology| Humans| Ixodes/majr/drug effects/physiology| Larva/drug effects| Lyme Disease/majr/epidemiology/microbiology/prevention &amp; control/transmission| Metarhizium/physiology| Nymph/drug effects| Peromyscus/majr/parasitology| Pyrazoles/pharmacology| Rodent Diseases/majr/epidemiology/parasitology| Tick Control/majr/methods| Tick Infestations/epidemiology Other:Borrelia burgdorferi|Deer reduction|Fipronil bait box|Lyme disease|Metarhizium anisopliae|Peromyscus leucopus</t>
  </si>
  <si>
    <t>CYP1A gene expression as a basic factor for fipronil toxicity in Caspian kutum fish.    ABSTRACT:  The aim of this study was to assess the effects of fipronil insecticide on the Caspian kutum fish at different levels of biological organizations and to find possible relationship between these biomarkers. Different doses of fipronil (65, 130 and 200 mg/kg) were intraperitoneally administered to the fish for 2 weeks. After 7 and 14 days of exposure, alterations in organ-somatic index, tissue and DNA structure, oxidative stress and CYP1A gene expression in gill, liver, brain and kidney were studied. Determination of these parameters in the liver showed that the degree of tissue change (DTC), comet tail, superoxide dismutase (SOD) and relative CYP1A mRNA expression increased mostly in a time dependent manner whereas in the kidney increased mostly in a dose dependent manner. These parameters in the gill increased more in time and dose dependent manner. Apart from the changes in CYP1A expression and oxidative stress, no alterations was observed in the brain. Multiple regression analysis showed that the CYP1A had the most correlation with the organ-somatic index (R2 = 0.76) and comet tail (R2 = 0.89) in the liver, and with DTC (R2 = 0.93) and oxidative stress (R2 = 0.87) in the kidney. Generally, this study showed that CYP1A gene expression can be considered as one basic factor for fipronil toxicity in this fish. However, other possible factors also should be considered for future research.  KEYWORDS:  Other:Acetic acid (PubChem CID: 176)|Agarose (PubChem:‎11966311)|Beta-mercaptoethanol (PubChem:1567)|Bromophenol blue (PubChem: 8272)|CYP1A gene|Comet assay|Cresyl violet (PubChem: 44134641)|DMSO (PubChem:‎ 679)|EDTA (PubChem: 6049)|Eosin (PubChem CID: 11048)|Ethanol (PubChem CID: 702)|Fipronil|Fipronil (PubChem CID: 15278226)|Formaldehyde (PubChem CID: 712)|Giemsa (PubChem:13735)|Haematoxylin (PubChem CID: 442514)|M-xylene (PubChem CID: 7929)|NaCl (PubChem: 5234)|Oxidative stress|Periodic acid (PubChem: CID 65185)|Phenoxyethanol (PubChem CID: 17848643)|Picric acid (PubChem CID: 6954)|Sucrose (PubChem: 5988)|Tris base (PubChem: 6503) and NaOH (PubChem:14798)|Triton X100 (PubChem: 5590)</t>
  </si>
  <si>
    <t>Fipronil-induced toxic effects in zebrafish (Danio rerio) larvae by using digital gene expression profiling.    ABSTRACT:  Fipronil residue has caused widespread concern around the world, especially after the recent "toxic eggs" event in seven European countries. To evaluate the effects of fipronil on vertebrates, zebrafish larvae were used as an animal model to examine the lethal effect, developmental phenotypes at high doses, and possible mechanisms of toxicity by employing digital gene expression (DGE) profiling at environmentally relevant doses. The results of acute toxicity test indicated that treatment with fipronil from 75 h post-fertilization (hpf) led to the death of larvae with a 96-h LC50 value of 459 μg/L, as well as abnormal development including bent spine and shortened body length. Besides, we obtained high-quality-sequencing DGE profilings at fipronil concentrations of 0.5, 5, and 50 μg/L, respectively. The results revealed that 44 differentially expressed genes, 10 GO terms, and 3 KEGG pathways were overlapped among the three concentrations. MIDN, one of the 44 differentially expressed genes, showed dose-dependent responses at the transcriptional level, indicating that it was possibly a potential biomarker to reflect fipronil toxicity in zebrafish. Furthermore, we presumed that the changing transcriptional level of AP-1 family was possibly a reason for bent spine and shortened body length in larvae exposed to fipronil. Concurrently, altered abundance of transcripts of the ELOVL family in a key step of fatty acid elongation could possibly lead to the accumulation of long-chain fatty acids. Collectively, our results suggested that exposure to fipronil caused lethal and developmental toxicity in zebrafish larvae, and demonstrated the need for a comprehensive understanding of the potential mechanisms of fipronil toxicity due to fipronil's frequent presence in the environment and its potential threat to human health.Copyright © 2018. Published by Elsevier B.V.  KEYWORDS:  MeSH Chemical: Pyrazoles| Water Pollutants, Chemical| fipronil MeSH: | Animals| Embryo, Nonmammalian| Europe| Gene Expression Profiling| Humans| Larva| Pyrazoles/majr/toxicity| Toxicity Tests/majr/methods| Water Pollutants, Chemical/majr/toxicity| Zebrafish/majr/genetics Other:Digital gene expression|Environmentally relevant level|Fipronil|Toxicity|Zebrafish</t>
  </si>
  <si>
    <t>Validation, residue analysis, and risk assessment of fipronil and flonicamid in cotton (Gossypium sp.) samples and soil.    ABSTRACT:  Cotton crop is highly susceptible to attack by sucking pests. Being an important oilseed and feed crop, it is essential to monitor the pesticides and ensure health protection at consumer level. Therefore, a method was validated to estimate fipronil and flonicamid in various cotton samples and risk assessment was performed. Contamination of oil in the extracts from the various oil seeds and cake samples is a major problem as this oil contaminates the column and interferes with the detection of pesticides. The present manuscript for the first time describes successful analysis of the pesticides from various cotton samples including cotton oil, seed, and cake. Quick, easy, cheap, effective, rugged, and safe (QuEChERS)-based methods were validated for estimation of fipronil and flonicamid in cotton samples and in soil by LC-MS/MS. Recoveries were within the acceptable range of 70-120% with relative standard deviation ≤ 20% and HorRat values &lt; 0.3-1.3. R2 was &gt; 0.99. Matrix effects of 150 and 13.5% were observed for fipronil and flonicamid, respectively, in cotton leaves. Limits of quantitation (LOQs) were in the range of 0.0004 to 0.004 mg kg-1 for fipronil and flonicamid. Cotton samples collected from a field study at different locations were analyzed. Half-life ranged from 2.2 to 5.8 for fipronil and 4.6 to 7.0 days for flonicamid. A pre-harvest interval of 33 days is suggested. The risk assessment studies at maximum residue level values showed HQ &lt; 1 at pre-harvest interval (PHI). The methods being short and easy can be extended to estimate more types of pesticides in different oilseeds. Following a PHI of 33 days, fipronil and flonicamid can be used on cotton at standard dose. As the levels of fipronil and flonicamid were below determination limit in all the soils, the environmental risk is negligible.  KEYWORDS:  MeSH Chemical: Pesticide Residues| Pesticides| Pyrazoles| Soil| Niacinamide| flonicamid| fipronil MeSH: | Chromatography, Liquid| Gossypium/majr/chemistry| Half-Life| Niacinamide/majr/analogs &amp; derivatives/chemistry| Pesticide Residues/analysis/chemistry| Pesticides/majr/analysis/chemistry| Pyrazoles/majr/chemistry| Risk Assessment| Soil/majr/chemistry Other:Cottonseed|Cottonseed meal|Dissipation|Fipronil|Flonicamid|Liquid chromatography tandem mass spectrometry|Maximum residue limit|Multilocation|Oilseed|QuEChERS|Risk assessment|Validation</t>
  </si>
  <si>
    <t>Fiprole insecticide resistance of Laodelphax striatellus: electrophysiological and molecular docking characterization of A2'N RDL GABA receptors.    ABSTRACT:  Phenylpyrazole (fiprole) insecticides, including ethiprole, fipronil and flufiprole with excellent activity on rice planthoppers, are very important in Asia but resistance has developed after decades of use. The molecular mechanism of fipronil- but not ethiprole-resistance has been previously studied in rice planthoppers. In our laboratory, a small brown planthopper Laodelphax striatellus strain with ethiprole-resistance was cultured and the molecular mechanisms of ethiprole resistance and of cross-resistance among fiprole insecticides were investigated.Ethiprole-resistant L. striatellus has &gt;5000-fold resistance compared to the susceptible strain, and exhibits around 200-fold cross-resistance with fipronil and flufiprole. RDL genes were isolated from susceptible and ethiprole-resistant L. striatellus and expressed in Xenopus oocytes. Electrophysiological studies showed fiprole insecticides inhibited γ-aminobutyric acid (GABA)-induced current with IC50 = 0.1-1.4 μM to LsRDL-S homomers. In LsRDL-R with A2'N mutation, only 1-13% inhibition was observed on treatment with 10 μM ethiprole, fipronil or flufiprole. Homology models indicate A2'N mutation allows crosslinking hydrogen bonding between Asn sidechains at the 2' position around the channel pore, blocking insecticides from interacting near this position. In contrast, insecticides showed favorable binding near A2' in wild-type L. striatellus.Cross-resistance is increasing for fiprole insecticides in L. striatellus and management strategies are necessary to minimize resistance. © 2018 Society of Chemical Industry.© 2018 Society of Chemical Industry.  KEYWORDS:  MeSH Chemical: Insect Proteins| Insecticides| Pyrazoles| Receptors, GABA| ethiprole MeSH: | Animals| Electrophysiological Phenomena| Hemiptera/majr/drug effects/genetics/physiology| Insect Proteins/majr/genetics/metabolism| Insecticide Resistance/majr/genetics/physiology| Insecticides/majr/pharmacology| Molecular Docking Simulation| Pyrazoles/majr/pharmacology| Receptors, GABA/majr/genetics/metabolism Other:GABA receptor|Laodelphax striatellus|electrophysiological|molecular docking|phenylpyrazole (fiprole) insecticides</t>
  </si>
  <si>
    <t>Investigation of novel pyrazole carboxamides as new apoptosis inducers on neuronal cells in Helicoverpa zea.    ABSTRACT:  Novel pyrazole carboxamides with a diarylamine-modified scaffold were modified based on the bixafen (Bayer) fungicide, which has excellent activity against Rhizoctonia solani, Rhizoctonia cerealis and Sclerotinia sclerotiorum. To discover the potential insecticidal activity of these novel pyrazole carboxamides, the present study explored their possible cytoactivity on the insect neuronal cells (RP-HzVNC-AW1) in Helicoverpa zea. The preliminary bioassays showed that some of the target compounds exhibited good cytoactivity against AW1 cells. Among them, compounds a5 and b4-b7 showed good activity in vitro with IC50 values of 11.28, 10.46, 9.04, 11.72 and 12.19 μM, respectively. Notably, the IC50 value of compound b5 was better than 11.81 μM for fipronil. We subsequently attempted to illustrate the mechanism of b5. Intracellular biochemical assays showed that b5 induced AW1 cell apoptosis with a decrease in themitochondrial membrane potential, as well as a significantly increased intracellular calcium ion concentration and caspase-3 activity. A significant decrease in Bcl-2 levels and a marked augmentation of cytochrome-c and Bax were also detected. These results indicate that a mitochondrially dependent intrinsic pathway contributes to compound b5-induced apoptosis in AW1 cells. This study suggests that b5 may act as a potential insecticide that can be used for further optimization.Copyright © 2018 Elsevier Ltd. All rights reserved.  KEYWORDS:  MeSH Chemical: Insect Proteins| Insecticides| Proto-Oncogene Proteins c-bcl-2| Pyrazoles| bcl-2-Associated X Protein| Cytochromes c| Caspase 3| fipronil| Calcium MeSH: | Animals| Apoptosis/majr/drug effects| Calcium/metabolism| Caspase 3/metabolism| Cell Line| Cytochromes c/metabolism| High-Throughput Screening Assays| Insect Proteins/metabolism| Insecticides/majr/pharmacology| Lepidoptera/majr/drug effects| Membrane Potential, Mitochondrial/drug effects| Neurons/majr/drug effects| Proto-Oncogene Proteins c-bcl-2/metabolism| Pyrazoles/majr/pharmacology| bcl-2-Associated X Protein/metabolism Other:Apoptosis|Calcium|Mitochondria|Neuron|Pyrazole carboxamide</t>
  </si>
  <si>
    <t>Hydrophilicity nano-titania coating modified magnetic graphene oxide for pass-through cleanup of fipronil and its metabolites in human blood.    ABSTRACT:  A novel hydrophilicity nano-titania coating modified magnetic graphene oxide (HTC-Mag-GO) has been synthesized. It has been evaluated in PRiME (process, robustness, improvements, matrix effects, ease of use) pass-through cleanup procedure for human blood prior to analysis of fipronil and its metabolites, i.e., fipronil sulphone, fipronil sulphide and fipronil desulfinyl by liquid chromatography-tandem quadrupole mass spectrometry (LC-MS/MS). Compared with the Oasis PRiME HLB cartridge, HTC-Mag-GO is much more effective for the removal of matrix effect. Furthermore, it is beneficial to protect the chromatographic column and ESI source by the HTC-Mag-GO PRiME pass-through cleanup procedure, resulting from the much cleaner blood samples. Under the optimum conditions, the results show higher cleanup efficiency of HTC-Mag-GO with recoveries in the range of 92.4%-108%. Especially, the HTC-Mag-GO is also evaluated for reuse (20 times) without much sacrifice of the cleanup efficiency. The limits of quantification (LOQs) for fipronil, fipronil sulphone, fipronil sulphide and fipronil desulfinyl are 8.9 ng/L, 7.2 ng/L, 8.0 ng/L and 42 ng/L, respectively. The developed method has also been successfully applied to monitoring fipronil and its metabolites in 120 blood samples, and fipronil sulphone is detected in six samples with concentrations in the range of 12.1 ng/L-106 ng/L. Further, the well validation results and the application to analysis of fipronil and its metabolites in real samples demonstrate the applicability to toxico kinetic studies and clinical studies.Copyright © 2018 Elsevier B.V. All rights reserved.  KEYWORDS:  MeSH Chemical: Oxides| Pyrazoles| titanium dioxide| Graphite| Titanium| fipronil sulfone| fipronil MeSH: | Chromatography, Liquid/majr| Graphite/majr/chemistry| Humans| Hydrophobic and Hydrophilic Interactions| Kinetics| Magnetic Phenomena| Nanoparticles| Oxides/chemistry| Pyrazoles/majr/blood| Tandem Mass Spectrometry/majr| Titanium/majr/chemistry Other:Fipronil|Human blood|Hydrophilicity nano-titania coating modified magnetic graphene oxide (HTC-Mag-GO)|LC–MS/MS|Metabolites</t>
  </si>
  <si>
    <t>Repellent efficacy of a new combination of fipronil and permethrin against Lutzomyia longipalpis.    ABSTRACT:  Lutzomyia longipalpis is the main vector of Leishmania infantum, the agent of canine and human visceral leishmaniosis in the Americas. Considering that the dog is the main domestic host of the parasite, repellent treatment is a measure that might contribute to the prevention of canine visceral leishmaniosis. The repellent efficacy of a single treatment of a new spot-on topical combination of fipronil and permethrin (Frontline Tri-Act®, Merial, now part of Boehringer-Ingelheim) to repel Lu. longipalpis sand flies was evaluated.Sixteen healthy Beagle dogs, eight females and eight males, weighing 8.4-14.4 kg, and 2 to 4 years-old were included in the study. Animals were blocked on decreasing body weight and randomly allocated within the blocks to one of two treatment groups of eight animals each. Dogs in Group 1 were untreated and Dogs in Group 2 were treated with a combination containing 67.6 mg/ml fipronil + 504.8 mg/ml permethrin (Frontline Tri-Act®) once on Day 0. Sand fly exposures were performed on Days 1, 14, 21 and 30 with Lu. longipalpis female sand flies. After 65 (± 15 min), sand flies were assessed for engorgement status.The percent repellency of the treated group compared to the untreated control group was 95.7, 94.3, 81.7 and 72.2% for exposure days 1, 14, 21 and 30, respectively. The two treatment groups were significantly different for all exposure days (P ≤ 0.016 for days 1, 14, 21 and 30). No adverse reactions were observed during the study.A single topical administration of a new combination of fipronil and permethrin demonstrated a significant repellent effect against Lu. longipalpis bites as soon as it was applied on the dogs and its repellent efficacy lasted for 4 weeks with results greater than 80% for 3 weeks. The results suggest that in endemic areas the regular application of the new combination could contribute to protect dogs from Leishmania infection and therefore serve as an additional tool for the prevention of canine visceral leishmaniosis.  KEYWORDS:  MeSH Chemical: Insect Repellents| Pyrazoles| Permethrin| fipronil MeSH: | Administration, Topical| Animals| Dogs| Female| Insect Repellents/majr/administration &amp; dosage/pharmacology| Insect Vectors/majr/drug effects| Male| Permethrin/majr/administration &amp; dosage/pharmacology| Psychodidae/majr/drug effects| Pyrazoles/majr/administration &amp; dosage/pharmacology| Treatment Outcome Other:Fipronil|Leishmaniosis|Lutzomyia longipalpis|Permethrin|Repellent|Sand flies</t>
  </si>
  <si>
    <t>Interactions of Fipronil within Fish and Insects: Experimental and Molecular Modeling Studies.    ABSTRACT:  Fipronil is an efficient phenylpyrazole insecticide that acts on insect γ-aminobutyric acid (GABA) receptors (GABARs) and has low toxicity to mammals but high toxicity to nontarget organisms such as fish. To develop novel efficient low-toxicity insecticides, it is necessary to determine the detailed toxic mechanism at the molecular target level. In this work, methods including affinity chromatography, fluorescent-labeled binding assays, and molecular modeling were integrated to explore the binding of fipronil to GABARs in fish ( Aristichthys nobilis) and insects ( Musca domestica). Affinity chromatography revealed that fipronil acts on two different subunits of GABARs in fish and M. domestica. Moreover, fluorescence assays revealed that fipronil exhibits similar affinity to the two GABARs. The Kd and Bmax of fipronil binding to the A. nobilis GABAR were 346 ± 6 nmol/L and 40.6 ± 3.5 pmol/mg of protein, respectively. And the Kd and Bmax of fipronil binding to the GABAR in M. domestica brain were 109 ± 9 nM and 21.3 ± 2.5 pmol/mg of protein, respectively. In addition, similar fipronil binding positions but different binding modes were observed in docking studies with Brachydanio rerio var. and M. domestica GABARs. These findings indicated similar interactions of fipronil with fish and insects, leading to high toxicity. The different binding features of fipronil between the two species might be helpful for the design and development of highly selective insecticides with low toxicity to fish.  KEYWORDS:  MeSH Chemical: Fluorescent Dyes| Insecticides| Pyrazoles| Receptors, GABA| fipronil MeSH: | Animals| Carps| Cyprinidae| Fishes/majr| Fluorescent Dyes| Houseflies/majr| Insecticides/majr/toxicity| Models, Molecular| Protein Binding| Pyrazoles/majr/metabolism/toxicity| Receptors, GABA/majr/drug effects/metabolism| Zebrafish Other:GABA receptors|affinity chromatography|fipronil|fluorescence analysis|homology modeling</t>
  </si>
  <si>
    <t>Binding properties of four antennae-expressed chemosensory proteins (CSPs) with insecticides indicates the adaption of Spodoptera litura to environment.    ABSTRACT:  Insects receive a variety of chemical signals from the environment. Chemosensory protein (CSP) is one of the olfactory proteins that can accommodate a variety of small molecules and have the ability to bind to lipophilic compounds, transmitting nonvolatile odor molecules and chemical stimuli to target cells. To understand the correlation between the insect olfactory system and environment, we identified four antennae-expressed SlituCSP genes and investigated their expression profiles after treatment with different temperatures, starvation and three commonly used pesticides: chlorpyrifos, emamectin benzoate and fipronil. The transcriptions of four SlituCSP genes are affected by pesticide treatment and less affected by starvation and different temperatures. To further understand the molecular function of CSPs and their correlation with pesticides, we expressed and purified four SlituCSPs and assayed their binding ability with pesticides. The binding of four SlituCSPs with three pesticides were determined using a fluorescence competitive binding assay. We found direct binding between CSPs and pesticides, especially between SlituCSP18 and chlorpyrifos/fipronil and between SlituCSP6 and all three pesticides. The high binding affinity with pesticides and the significant down-regulation of SlituCSP18 by chlorpyrifos suggests that SlituCSP18 is more sensitive to pesticide treatment and may play an important role in mediating the interaction of the olfactory system and the pesticide. This study can help us understand the role of CSP proteins in the adaption of S. litura to the environment.Copyright © 2018 Elsevier Inc. All rights reserved.  KEYWORDS:  MeSH Chemical: Insect Proteins| Insecticides| Pesticides MeSH: | Adaptation, Physiological/majr| Animals| Arthropod Antennae/majr/metabolism| Insect Proteins/majr/genetics/metabolism| Insecticides/majr/metabolism| Pesticides/pharmacology| Phylogeny| Protein Binding| Real-Time Polymerase Chain Reaction| Spectrometry, Fluorescence| Spodoptera/majr/drug effects/metabolism/physiology| Starvation| Transcription, Genetic/drug effects Other:Chemosensory protein|Chlorpyrifos|Emamectin benzoate|Fipronil|Spodoptera litura</t>
  </si>
  <si>
    <t>Sublethal Effects of Some Insecticides on Functional Response of Habrobracon hebetor (Hymneoptera: Braconidae) When Reared on Two Lepidopteran Hosts.    ABSTRACT:  The effects of four commonly used pesticides, diazinon (EC 60%), phosalone (EC 35%), fipronil (Granular formulation 0.2%), and pyriproxifen (EC 10%), on functional response of Habrobracon hebetor (Say) (Hymenoptera: Braconidae) were investigated using two lepidopteran hosts, Ephestia kuehniella Zeller (Lepidoptera: Pyralidae) and Heliothis viriplaca (Hufnagel) (Lepidoptera: Noctuidae). Laboratory bioassays determined diazinon and fipronil as highly toxic insecticides for all developmental stages of the parasitoid, while the acute toxicity of phosalone and pyriproxyfen was moderate to very low depending on the life-stage studied. Larval, pupal, and adult stages of the parasitoid were exposed to sublethal concentrations (LC30) of insecticides, and the newly mated females were used to study functional response of the parasitoid to different host densities. With a single exception, a type II functional response was found for control and all insecticide treatments on all life stages and both host species. All insecticides tended to decrease the asymptote of the functional response curve and the maximum parasitism rate, probably by negatively affecting the searching efficiency (a') of the parasitoid. These results indicate that the control efficiency of parasitoids may be negatively affected by sublethal doses of pesticides, even though the type of functional response remains unchanged. As a potential solution, appropriate timing of pesticide application is required to avoid the antagonistic interactions with natural enemies under integrated management programs.  KEYWORDS:  MeSH Chemical: Insecticides MeSH: | Animals| Female| Host-Parasite Interactions/majr| Insecticides/majr/administration &amp; dosage| Larva/drug effects/growth &amp; development/physiology| Moths/majr/parasitology| Pest Control, Biological/majr| Population Density| Pupa/drug effects/growth &amp; development/physiology| Species Specificity| Wasps/majr/drug effects/growth &amp; development/physiology</t>
  </si>
  <si>
    <t>Evaluation of on-line concentration coupled to liquid chromatography tandem mass spectrometry for the quantification of neonicotinoids and fipronil in surface water and tap water.    ABSTRACT:  A study was initiated to investigate a fast and reliable method for the determination of selected systemic insecticides in water matrixes and to evaluate potential sources of bias in their analysis. Acetamiprid, clothianidin, desnitro-imidacloprid, dinotefuran, fipronil, imidacloprid, nitenpyram, thiacloprid, and thiamethoxam were amenable to analysis via on-line sample enrichment hyphenated to ultra-high-performance liquid chromatography tandem mass spectrometry. The selection of on-line solid-phase extraction parameters was dictated by a multicriterion desirability approach. A 2-mL on-line injection volume with a 1500 μL min-1 loading flow rate met the objectives sought in terms of chromatographic requirements, extraction efficiency, sensitivity, and precision. A total analysis time of 8 min per sample was obtained with method limits of detection in the range of 0.1-5 ng L-1 for the scope of targeted analytes. Automation at the sample concentration step yielded intraday and interday precisions in the range of 1-23 and 2-26%, respectively. Factors that could affect the whole method accuracy were further evaluated in matrix-specific experiments. The impact of the initial filtration step on analyte recovery was evaluated in ultra-pure water, tap water, and surface water. Out of the nine membranes tested, glass fiber filters and polyester filters appeared as the most appropriate materials. Sample storage stability was also investigated across the three matrix types; the targeted analytes displayed suitable stability during 28 days at either 4 °C or - 20 °C, with little deviations (± 10%) with respect to the initial T0 concentration. Method applicability was demonstrated in a range of tap water and surface water samples from the province of Québec, Canada. Results from the present survey indicated a predominance of thiamethoxam (&lt; 0.5-10 and 3-61 ng L-1 in tap water and river water, respectively), clothianidin (&lt; 0.5-6 and 2-88 ng L-1 in tap water and river water, respectively), and imidacloprid (&lt; 0.1-1 and 0.8-38 ng L-1 in tap water and river water, respectively) among the targeted analytes. Graphical abstract ᅟ Development of solid-phase extraction coupled on-line to UHPLC-MS/MS for the rapid screening of systemic insecticides in water.  KEYWORDS:  MeSH Chemical: Drinking Water| Insecticides| Neonicotinoids| Pyrazoles| Water Pollutants, Chemical| fipronil MeSH: | Chromatography, High Pressure Liquid/methods| Drinking Water/majr/analysis| Fresh Water/majr/analysis| Insecticides/majr/analysis| Limit of Detection| Neonicotinoids/majr/analysis| Pyrazoles/majr/analysis| Quality Control| Solid Phase Extraction/methods| Tandem Mass Spectrometry/majr/methods| Water Pollutants, Chemical/majr/analysis Other:Filtration|Neonicotinoids|On-line solid-phase extraction|Storage stability|Systemic pesticides|Water analysis</t>
  </si>
  <si>
    <t>Induction of Amyloid-β42 Production by Fipronil and Other Pyrazole Insecticides.    ABSTRACT:  Generation of amyloid-β peptides (Aβs) by proteolytic cleavage of the amyloid-β protein precursor (AβPP), especially increased production of Aβ42/Aβ43 over Aβ40, and their aggregation as oligomers and plaques, represent a characteristic feature of Alzheimer's disease (AD). In familial AD (FAD), altered Aβ production originates from specific mutations of AβPP or presenilins 1/2 (PS1/PS2), the catalytic subunits of γ-secretase. In sporadic AD, the origin of altered production of Aβs remains unknown. We hypothesize that the 'human chemical exposome' contains products able to favor the production of Aβ42/Aβ43 over Aβ40 and shorter Aβs. To detect such products, we screened a library of 3500 + compounds in a cell-based assay for enhanced Aβ42/Aβ43 production. Nine pyrazole insecticides were found to induce a β- and γ-secretase-dependent, 3-10-fold increase in the production of extracellular Aβ42 in various cell lines and neurons differentiated from induced pluripotent stem cells derived from healthy and FAD patients. Immunoprecipitation/mass spectrometry analyses showed increased production of Aβs cleaved at positions 42/43, and reduced production of peptides cleaved at positions 38 and shorter. Strongly supporting a direct effect on γ-secretase activity, pyrazoles shifted the cleavage pattern of another γ-secretase substrate, alcadeinα, and shifted the cleavage of AβPP by highly purified γ-secretase toward Aβ42/Aβ43. Focusing on fipronil, we showed that some of its metabolites, in particular the persistent fipronil sulfone, also favor the production of Aβ42/Aβ43 in both cell-based and cell-free systems. Fipronil administered orally to mice and rats is known to be metabolized rapidly, mostly to fipronil sulfone, which stably accumulates in adipose tissue and brain. In conclusion, several widely used pyrazole insecticides enhance the production of toxic, aggregation prone Aβ42/Aβ43 peptides, suggesting the possible existence of environmental "Alzheimerogens" which may contribute to the initiation and propagation of the amyloidogenic process in sporadic AD.  KEYWORDS:  MeSH Chemical: Amyloid beta-Peptides| Insecticides| Peptide Fragments| Proteome| Pyrazoles| amyloid beta-protein (1-40)| amyloid beta-protein (1-42)| amyloid beta-protein (1-43)| Amyloid Precursor Protein Secretases MeSH: | Adipose Tissue/drug effects/metabolism| Alzheimer Disease/etiology/metabolism| Amyloid Precursor Protein Secretases/metabolism| Amyloid beta-Peptides/majr/metabolism| Animals| Brain/drug effects/metabolism| Environmental Exposure| HEK293 Cells| Humans| Induced Pluripotent Stem Cells/drug effects/metabolism| Insecticides/majr/adverse effects/chemistry/pharmacokinetics| Mice| Neurons/drug effects/metabolism| Peptide Fragments/majr/metabolism| Proteome/drug effects| Pyrazoles/majr/adverse effects/chemistry/pharmacokinetics| Rats Other:Alzheimer’s disease|Aβ38|Aβ40|Aβ42|Aβ42/Aβ40 ratio|Aβ43|aftins|alzheimerogen|amyloid-β|amyloid-β protein precursor|fipronil|human chemical exposome|pesticides|phenylpyrazoles|prevention|pyrazoles|triazines|γ-secretase</t>
  </si>
  <si>
    <t>Evaluation of supercritical fluid chromatography coupled to tandem mass spectrometry for pesticide residues in food.    ABSTRACT:  Supercritical fluid chromatography coupled to triple quadrupole mass spectrometry has been evaluated for pesticide residues in food. In order to check its advantages and limitations it was developed a method to identify and quantify 164 pesticides in three different matrices (tomato, orange and leek). A carbon dioxide gradient with methanol (containing 1 mM ammonium formate) was used allowing a flow rate of 1.5 mL/min that made the total run time of 12 min without any problem of overpressure. Addition of a post column flow 150 μL/min of Methanol with ammonium formate/formic acid was necessary to improve the ionization. The matrix effect study revealed that the percentages of pesticides with irrelevant matrix effect (suppression lower than 20%) was 99% in tomato, 87% in orange and 62% in leek, whereas significant suppression (higher than 50%) was not found in tomato and only 1% of the compounds in orange and 3% in leek.These results compare favorably with that typically obtained in LC-MS/MS. The absence of water in the mobile phase, also provided some important advantages regarding LC-MS/MS as (i) higher retention of polar compounds in the column, which elute with high sensitivity and good peak shape and (ii) a general increase of the sensitivity of the analysis, consequence of the high ionization and ion extraction efficiency. Pesticides evaluated were identified following the SANTE/11813/2017. At the spiking concentration of 5 μg/kg, 98% of the pesticides were identified in tomato, 98% in orange and 94% in leek, whereas for the concentration of 10 μg/kg all the compounds were identified in tomato and only spiromesifen was not identified in orange and leek. At the concentration of 20 μg/kg, spiromesifen was also identified in these two matrices. The linearity and reproducibility of the method were evaluated with results which guarantee high quality in the analytical measurements. Even though only 2 μL of final extract were injected, the sensitivity of the SFC method was enough to achieve stringent LOQs.Real samples, including 6 different fruits and vegetables, were analyzed by the SFC-MS/MS proposed method, the results being similar to those obtained by LC-MS/MS. The method was also applied to a proficiency test of fipronil in eggs with good results in all the cases. Carbon dioxide as mobile phase with methanol as modifier can represent a good alternative to LC-MS/MS with reduction of matrix effects and shorter run times.Copyright © 2018 Elsevier B.V. All rights reserved.  KEYWORDS:  MeSH Chemical: Dihydropyridines| Pesticide Residues| 2,4-Dichlorophenoxyacetic Acid| fluazifop MeSH: | 2,4-Dichlorophenoxyacetic Acid/analysis| Chromatography, Supercritical Fluid/majr/methods| Dihydropyridines/analysis| Food/majr| Fruit/chemistry| Pesticide Residues/majr/analysis| Reproducibility of Results| Tandem Mass Spectrometry/majr/methods| Vegetables/chemistry Other:Matrix effect|Pesticides|SFC-MS/MS|Supercritical fluid chromatography</t>
  </si>
  <si>
    <t>Using in vitro derived enzymatic reaction rates of metabolism to inform pesticide body burdens in amphibians.    ABSTRACT:  Understanding how pesticide exposure to non-target species influences toxicity is necessary to accurately assess the ecological risks these compounds pose. To assess the potential metabolic activation of broad use pesticides in amphibians, in vitro and in vivo metabolic rate constants were derived from toad (Anaxyrus terrestris) livers in experiments measuring the depletion of atrazine (ATZ), triadimefon (TDN), and fipronil (FIP) as well as formation of their metabolites. To determine the predictability of these in vitro derived rate constants, Fowler's toads (Anaxyrus fowleri) were exposed to soil contaminated with each of the pesticides at maximum application rate. Desethyl atrazine (DEA) and deisopropyl atrazine (DIA), both metabolites of ATZ, exhibited similar velocities (Vmax) while the KM constant for DIA was two times higher than DEA. TDN was metabolized into two diastereomers of triadimenol (TDL A and TDL B), where TDL B had a Vmax around two times higher than TDL A. The metabolite fipronil sulfone's Vmax and KM were 150 pmol min-1 mg-1 and 29 μM, respectively. While intrinsic clearance rates for the pesticides ranged from 0.54 to 38.31 mL min-1 kg-1. Thus, gaining knowledge on differences in metabolism of pesticides within amphibians is important in estimating risk to these non-target species since the inherent toxicity of metabolites can differ from the parent compound.Copyright © 2018 Elsevier B.V. All rights reserved.  KEYWORDS:  MeSH Chemical: Enzymes| Fungicides, Industrial| Herbicides| Insecticides| Pesticides| Pyrazoles| Triazoles| triadimefon| fipronil| Atrazine MeSH: | Amphibians/majr/metabolism| Animals| Atrazine/metabolism| Biotransformation| Body Burden| Bufonidae| Enzymes/majr/metabolism| Fungicides, Industrial/metabolism| Herbicides/metabolism| Insecticides/metabolism| Kinetics| Liver/drug effects| Microsomes/enzymology/metabolism| Pesticides/majr/metabolism| Pyrazoles/metabolism| Stereoisomerism| Triazoles/metabolism Other:Amphibians|Metabolism|Microsomes|Pesticides</t>
  </si>
  <si>
    <t>Protective effects of rosuvastatin and vitamin E against fipronil-mediated oxidative damage and apoptosis in rat liver and kidney.    ABSTRACT:  Fipronil (FPN) is a phenylpyrazole insecticide that is extensively used in agriculture and veterinary applications. However, FPN is also a potent environmental toxicant to animals and humans. Therefore, the current study aimed to investigate the protective role of rosuvastatin (ROSU) and vitamin E (Vit E) against FPN-induced hepatorenal toxicity in albino rats. Seven groups with eight rats each were used for this purpose; these groups included the control vehicle group that received corn oil, the Vit E group (1000 mg/kg, orally), the ROSU group (10 mg/kg, orally), the FPN group (20 mg/kg, orally), the FPN-ROSU group, the FPN-Vit E group, and the FPN-Vit E-ROSU group. The results revealed that FPN significantly increased serum levels of alanine aminotransferase, aspartate aminotransferase, alkaline phosphatase, lactate dehydrogenase, cholesterol, urea, and creatinine. In addition, there were substantial increases in the liver and kidney contents of malondialdehyde and nitric oxide, along with significant decreases in glutathione, superoxide dismutase, catalase, and glutathione peroxidase. FPN also caused histological changes and increased the expression of caspase-3 in the liver and kidney tissues. However, administration of ROSU and Vit E alone or in combination ameliorated the FPN-induced oxidative damage and apoptosis, possibly through their antioxidant properties.Copyright © 2018 Elsevier Ltd. All rights reserved.  KEYWORDS:  MeSH Chemical: Insecticides| Pyrazoles| Vitamin E| Malondialdehyde| Rosuvastatin Calcium| Catalase| Superoxide Dismutase| Caspase 3| Glutathione| fipronil MeSH: | Animals| Apoptosis/drug effects| Caspase 3/metabolism| Catalase/metabolism| Glutathione/metabolism| Insecticides/majr/toxicity| Kidney/majr/cytology/drug effects/metabolism| Liver/majr/cytology/drug effects/metabolism| Male| Malondialdehyde/metabolism| Oxidative Stress/majr/drug effects| Pyrazoles/majr/toxicity| Rats| Rats, Wistar| Rosuvastatin Calcium/majr/administration &amp; dosage| Superoxide Dismutase/metabolism| Vitamin E/majr/administration &amp; dosage Other:Caspase-3|Fipronil|Insecticides|Oxidative stress|Rosuvastatin|Vitamin E</t>
  </si>
  <si>
    <t>Molecular cloning, spatiotemporal and functional expression of GABA receptor subunits RDL1 and RDL2 of the rice stem borer Chilo suppressalis.    ABSTRACT:  Insect γ-aminobutyric acid (GABA) receptor (GABAR) is one of the major targets of insecticides. In the present study, cDNAs (CsRDL1A and CsRDL2S) encoding the two isoforms of RDL subunits were cloned from the rice stem borer Chilo suppressalis. Transcripts of both genes demonstrated similar expression patterns in different tissues and developmental stages, although CsRDL2S was ∼2-fold more abundant than CsRDL1A throughout all development stages. To investigate the function of channels formed by CsRDL subunits, both genes were expressed in Xenopus laevis oocytes singly or in combination in different ratios. Electrophysiological results using a two-electrode voltage clamp demonstrated that GABA activated currents in oocytes injected with both cRNAs. The EC50 value of GABA in activating currents was smaller in oocytes co-injected with CsRDL1A and CsRDL2S than in oocytes injected singly. The IC50 value of the insecticide fluralaner in inhibiting GABA responses was smaller in oocytes co-injected with different cRNAs than in oocytes injected singly. Co-injection also changed the potency of the insecticide dieldrin in oocytes injected singly. These findings suggested that heteromeric GABARs were formed by the co-injections of CsRDL1A and CsRDL2S in oocytes. Although the presence of Ser at the 2'-position in the second transmembrane segment was responsible for the insensitivity of GABARs to dieldrin, this amino acid did not affect the potencies of the insecticides fipronil and fluralaner. These results lead us to hypothesize that C. suppressalis may adapt to insecticide pressure by regulating the expression levels of CsRDL1A and CsRDL2S and the composition of both subunits in GABARs.Copyright © 2018 Elsevier Ltd. All rights reserved.  KEYWORDS:  MeSH Chemical: Insect Proteins| Insecticides| Pyrazoles| Receptors, GABA| fipronil MeSH: | Amino Acid Sequence| Animals| Gene Expression Profiling| Gene Expression Regulation/majr/genetics| Insect Proteins/majr/chemistry/genetics/metabolism| Insecticide Resistance/majr/genetics| Insecticides/majr/adverse effects| Larva/drug effects/genetics/growth &amp; development/metabolism| Moths/majr/drug effects/genetics/growth &amp; development/metabolism| Phylogeny| Pyrazoles/majr/adverse effects| Receptors, GABA/majr/chemistry/genetics/metabolism| Sequence Alignment Other:Chilo suppressalis|Electrophysiology|GABA-gated chloride channel receptor|Insecticide actions|RDL subunits|Spatiotemporal mRNA and heterologous expression</t>
  </si>
  <si>
    <t>Activated carbon as a means of limiting bioaccumulation of organochlorine pesticides, triclosan, triclocarban, and fipronil from sediments rich in organic matter.    ABSTRACT:  Addition of activated carbon to contaminated sediment is an established means of remediation but its applicability to sediments high in organic carbon is presently unknown. We evaluated the effects of adding either granular activated carbon (GAC) or pelletized fine-grained activated carbon (PfAC, containing ∼ 50% AC) to contaminated sediments from Lake Apopka featuring a very high total organic carbon content (∼39% w/w dry). Sediments showing background levels of legacy pesticides were spiked with a mixture of 5 chemicals (p,p'-DDE, dieldrin, triclosan, triclocarban, and fipronil) to a nominal concentration of 2 μg/g sediment for each chemical. Following incubation of spiked sediments with the addition of activated carbon for 30 days, we assessed the success on limiting bioaccumulation using Lumbriculus variegatus (blackworm). In contaminant-spiked sediments amended with PfAC, blackworm body burdens of triclosan, triclocarban, and fipronil decreased by &gt;50% and those of p,p'-DDE and dieldrin decreased by &lt;30%. GAC addition to spiked sediments was less impactful, and yielded notable benefits in worm body burden reduction only for fipronil (40%). Fipronil achieved high treatment efficiency within the 30 day amendment with both GAC and PfAC. This is the first study to examine AC treatment in artificially contaminated sediments intrinsically very rich in organic matter content. PfAC exhibited superior performance over GAC for mitigating the uptake of certain organochlorines by aquatic organisms. These results indicate that further studies focusing on additional types of sediments and a broader spectrum of hydrophobic pollutants are warranted.Copyright © 2018 Elsevier Ltd. All rights reserved.  KEYWORDS:  MeSH Chemical: Carbanilides| Hydrocarbons, Chlorinated| Pesticides| Pyrazoles| Water Pollutants, Chemical| Charcoal| Dichlorodiphenyl Dichloroethylene| Triclosan| triclocarban| Dieldrin| fipronil MeSH: | Animals| Carbanilides/majr/analysis| Charcoal/majr/chemistry| Dichlorodiphenyl Dichloroethylene/pharmacology| Dieldrin| Environmental Restoration and Remediation/majr/methods| Geologic Sediments/chemistry| Hydrocarbons, Chlorinated/analysis/toxicity| Lakes| Oligochaeta/drug effects| Pesticides/majr/analysis/toxicity| Pyrazoles/majr/analysis| Triclosan/majr/analysis| Water Pollutants, Chemical/majr/analysis/toxicity Other:Activated carbon|High organic carbon content|Lake Apopka|Organochlorines</t>
  </si>
  <si>
    <t>Association of detoxification enzymes with butene-fipronil in larvae and adults of Drosophila melanogaster.    ABSTRACT:  Insecticide resistance is a major challenge in successful insect pest control as the insects have the ability to develop resistance to various widely used insecticides. Butene-fipronil is a novel compound with high toxicity to insects and less toxicity to the non-target organisms. In the present study, the effect of butene-fipronil alone and in combination with three enzyme inhibitors, piperonyl butoxide (PBO), diethyl maleate (DEM), and triphenyl phosphate (TPP), was carried out on larvae and adults of Drosophilia melanogaster. Our results indicated that the co-toxicity indices of butene-fipronil + PBO, butene-fipronil + TPP, and butene-fipronil + DEM mixtures were 437.3, 335.0, and 210.3, respectively, in the second-instar larvae, while 186.6, 256.2, and 238.5, respectively, in the adults, indicating synergistic effects. Interestingly, butene-fipronil increased the expression of CYP28A5 in the larvae; CYP9F2, CYP304A1, CYP28A5, and CYP318A1 in the female adults; and CYP303A1 and CYP28A5 in the male adults. Furthermore, high-level expression of Est-7 was observed in the female adults compared to larvae and male adults. Our results suggest that there is no difference in butene-fipronil metabolism in larvae and male and female adults of D. melanogaster.  KEYWORDS:  MeSH Chemical: 1-(2,6-dichloro-alpha,alpha,alpha-trifluoro-p-tolyl)-5-(2-methylamino)-4-(trifluoromethylsulfinyl)pyrazole-3-carbonitrile| Enzyme Inhibitors| Hydrocarbons, Halogenated| Insecticides| Maleates| Organophosphates| Pyrazoles| diethyl maleate| Piperonyl Butoxide| triphenyl phosphate MeSH: | Animals| Drosophila melanogaster/majr/drug effects/metabolism| Drug Interactions| Enzyme Inhibitors/majr/pharmacology| Hydrocarbons, Halogenated/majr/pharmacology| Inactivation, Metabolic| Insect Control| Insecticide Resistance| Insecticides/majr/pharmacology| Larva/drug effects/metabolism| Maleates/majr/pharmacology| Organophosphates/majr/pharmacology| Piperonyl Butoxide/majr/pharmacology| Pyrazoles/majr/pharmacology Other:Butene-fipronil|Detoxification enzymes|Drosophila melanogaster|Synergists</t>
  </si>
  <si>
    <t>Vitamin C attenuates biochemical and genotoxic damage in common carp (Cyprinus carpio) upon joint exposure to combined toxic doses of fipronil and buprofezin insecticides.    ABSTRACT:  In the present study, potential protective role of Vitamin C (l-ascorbic acid) was investigated in aquaria acclimated common carp (Cyprinus carpio) following exposure for 96 h to combined toxic doses of fipronil (FP) and buprofezin (BPFN) insecticides in combination (FP: 200 μg/L; 4.57 × 10-7 mol/L and BPFN: 50 mg/L; 1.64 × 10-4 mol/L). At end of 96 h exposure, fish were supplemented with low (25 mg/L) and high (50 mg/L) doses of Vitamin C, added once daily to aquaria water for continuous three weeks. Appropriate control groups were run in parallel. Fish behavior was monitored throughout for signs of toxicity. At completion of experiments, liver, kidney, brain and gills were excised for toxicity assessment and possible remediation by the Vitamin C through biochemical determination of reactive oxygen species (ROS), thiobarbituric acid reactive substances or TBARS, reduced glutathione (GSH) and total protein content, levels of catalase (CAT), superoxide dismutase (SOD) and peroxidase (POD), and the Comet assay. Hepatosomatic index (HSI), condition factor (CF), survival rate (SR), and combination index (CI) were also determined. Data were compared statistically at p &lt; 0.05. Results showed significant behavioral and biochemical alterations, and DNA damage in the fish group exposed to FP and BPFN in combination. In fish groups supplemented with Vitamin C following FP and BPFN treatment, significant alleviation in tissue damage and toxic effects was represented by substantial decreases in ROS and TBARS production (p &lt; 0.001), along with a concomitant significant increase in the survival rate, GSH and total protein content, HSI, CF, and activities of SOD, CAT and POD enzymes (p &lt; 0.001). Mean tail length of comet and percent tail DNA decreased significantly (p &lt; 0.001), which indicated amelioration of DNA damage. The study concludes that Vitamin C is an effective remedial treatment against FP and BPFN-induced damage in exposed fish.Copyright © 2018 Elsevier B.V. All rights reserved.  KEYWORDS:  MeSH Chemical: Insecticides| Pyrazoles| Reactive Oxygen Species| Thiadiazines| Water Pollutants, Chemical| buprofezin| Peroxidases| Catalase| Superoxide Dismutase| Glutathione| Ascorbic Acid| fipronil MeSH: | Animals| Ascorbic Acid/majr/pharmacology| Behavior, Animal/drug effects| Brain/drug effects/metabolism| Carps/majr/metabolism| Catalase/metabolism| Comet Assay| DNA Damage/majr/drug effects| Gills/drug effects/metabolism| Glutathione/metabolism| Insecticides/majr/toxicity| Kidney/drug effects/metabolism| Liver/drug effects/metabolism| Peroxidases/metabolism| Pyrazoles/toxicity| Reactive Oxygen Species/metabolism| Superoxide Dismutase/metabolism| Thiadiazines/toxicity| Water Pollutants, Chemical/majr/toxicity Other:Buprofezin|Cyprinus carpio|Fipronil|Insecticides|Oxidative stress|Vitamin C|l-Ascorbic acid</t>
  </si>
  <si>
    <t>Capture and Reductive Transformation of Halogenated Pesticides by an Activated Carbon-Based Electrolysis System for Treatment of Runoff.    ABSTRACT:  This study evaluates an electrochemical system to treat the halogenated pesticides, fipronil, permethrin, and bifenthrin, in urban runoff. Compared to the poor sorption capacity of metal-based electrodes, granular activated carbon (GAC)-based electrodes could sorb halogenated pesticides, permitting electrochemical degradation to occur over longer timescales than reactor hydraulic residence times. In a dual-cell configuration, a cathode constructed of loose GAC containing sorbed pesticides was separated from the anode by an ion-exchange membrane to prevent chloride transport and oxidation to chlorine at the anode. When -1 V was applied to the cathode, fipronil concentrations declined by 92% over 15 h, releasing molar equivalents of chloride (2) and fluoride (6), suggesting complete dehalogenation of fipronil. An electrode constructed of crushed GAC particles attached to a carbon cloth current distributor achieved &gt;90% degradation of fipronil, permethrin, and bifenthrin within 2 h under the same conditions. To evaluate a simpler single-cell configuration suitable for scale-up, two of the carbon cloth-based electrodes were placed in parallel without an ion-exchange membrane. For -1 V applied to the cathode, fipronil degradation was &gt;95% over 2 h, and energy consumption declined with closer electrode spacing. However, chloride oxidation at the anode produced chlorine, and the anode degraded. Application of an alternating potential (-1 to +1 V at 0.0125 Hz) to the parallel-plate electrodes achieved &gt;90% degradation of fipronil, bifenthrin, and permethrin over 4 h, releasing chloride at 50-70% of that expected for complete dechlorination. No loss of performance or formation of chlorine or halogenated byproducts was observed over 5 cycles of treating fipronil-spiked surface water.  KEYWORDS:  MeSH Chemical: Pesticides| Charcoal| Carbon MeSH: | Carbon| Charcoal| Electrodes| Electrolysis| Pesticides/majr</t>
  </si>
  <si>
    <t>Species specific RNA A-to-I editing of mosquito RDL modulates GABA potency and influences agonistic, potentiating and antagonistic actions of ivermectin.    ABSTRACT:  The insect GABA receptor, RDL, is the target of several classes of pesticides. The peptide sequences of RDL are generally highly conserved between diverse insects. However, RNA A-to-I editing can effectively alter amino acid residues of RDL in a species specific manner, which can affect the potency of GABA and possibly insecticides. We report here that RNA A-to-I editing alters the gene products of Rdl in three mosquito disease vectors, recoding five amino acid residues in RDL of Aedes aegypti and six residues in RDLs of Anopheles gambiae and Culex pipiens, which is the highest extent of editing in RDL observed to date. Analysis of An. gambiae Rdl cDNA sequences identified 24 editing isoforms demonstrating a considerable increase in gene product diversity. RNA editing influenced the potency of the neurotransmitter, GABA, on An. gambiae RDL editing isoforms expressed in Xenopus laevis oocytes, as demonstrated by EC50s ranging from 5 ± 1 to 246 ± 41 μM. Fipronil showed similar potency on different editing isoforms, with IC50s ranging from 0.18 ± 0.08 to 0.43 ± 0.09 μM. In contrast, editing of An. gambiae RDL affected the activating, potentiating and inhibiting actions of ivermectin. For example, ivermectin potentiated currents induced by GABA at the EC20 concentration in the unedited isoform but not in the fully edited variant. Editing of a residue in the first transmembrane domain or the cys-loop influenced this potentiation, highlighting residues involved in the allosteric mechanisms of cys-loop ligand-gated ion channels. Understanding the interactions of ivermectin with molecular targets may have relevance to mosquito control in areas where people are administered with ivermectin to treat parasitic diseases.Copyright © 2017 Elsevier Ltd. All rights reserved.  KEYWORDS:  MeSH Chemical: Insect Proteins| Insecticides| Receptors, GABA| Ivermectin MeSH: | Aedes/majr/genetics/metabolism| Amino Acid Sequence| Animals| Anopheles/majr/genetics/metabolism| Culex/genetics/metabolism| Insect Proteins/majr/genetics/metabolism| Insecticides/majr/agonists/antagonists &amp; inhibitors/pharmacology| Ivermectin/majr/agonists/antagonists &amp; inhibitors/pharmacology| RNA Editing/majr| Receptors, GABA/majr/genetics/metabolism| Sequence Alignment| Species Specificity Other:Electrophysiology|Fipronil|GABA receptor|Ivermectin|Mosquito|RNA editing</t>
  </si>
  <si>
    <t>Effects of insecticides chlorpyrifos, emamectin benzoate and fipronil on Spodoptera litura might be mediated by OBPs and CSPs.    ABSTRACT:  Spodoptera litura is a widespread polyphagous insect pest that can develop resistance and cross-resistance to insecticides, making it difficult to control. Insecticide exposure has previously been linked with induction of specific olfactory-related proteins, including some chemosensory proteins (CSPs) and odorant-binding proteins (OPBs), which may disrupt detection of environmental factors and reduce fitness. However, functional evidence supporting insecticide and OBPs/CSPs mediation remains unknown. Here we fed male S. litura moths with sucrose water containing one of three insecticides, chlorpyrifos, emamectin benzoate or fipronil, and used real-time quantitative polymerase chain reaction and RNAi to investigate OBPs and CSPs expression and their correlations with survival. Chlorpyrifos and emamectin benzoate increased expression of 78% of OBPs, plus 63 and 56% of CSP genes, respectively, indicating a major impact on these gene families. RNAi knockdown of SlituCSP18, followed by feeding with chlorpyrifos or fipronil, decreased survival rates of male moths significantly compared with controls. Survival rate also decreased significantly with the downregulation of SlituOBP9 followed by feeding with chlorpyrifos. Thus, although these three insecticides had different effects on OBP and CSP gene expression, we hypothesize that SlituOBPs and SlituCSPs might mediate their effects by increasing their expression levels to improve survival. Moreover, the differential response of S. litura male moths to the three insecticides indicated the potential specificity of chlorpyrifos affect SlituCSP18 and SlituOBP9 expression.  KEYWORDS:  MeSH Chemical: Insect Proteins| Insecticides| Pyrazoles| Receptors, Odorant| odorant-binding protein| Ivermectin| emamectin benzoate| Chlorpyrifos| fipronil MeSH: | Animals| Chlorpyrifos/adverse effects| Gene Expression/majr| Insect Proteins/genetics/metabolism| Insecticides/majr/adverse effects| Ivermectin/adverse effects/analogs &amp; derivatives| Longevity/majr| Male| Pyrazoles/adverse effects| RNA Interference| Receptors, Odorant/majr/genetics/metabolism| Spodoptera/majr/drug effects/genetics Other:Spodoptera litura|chlorpyrifos|emamectin benzoate|fipronil</t>
  </si>
  <si>
    <t>The impacts of modern-use pesticides on shrimp aquaculture: An assessment for north eastern Australia.    ABSTRACT:  The use of pyrethroid and neonicotinoid insecticides has increased in Australia over the last decade, and as a consequence, increased concentrations of the neonicotinoid insecticide imidacloprid have been measured in Australian rivers. Previous studies have shown that non-target crustaceans, including commercially important species, can be extremely sensitive to these pesticides. Most shrimp farms in Australia are predominantly located adjacent to estuaries so they can obtain their required saline water, which support multiple land uses upstream (e.g. sugar-cane farming, banana farming, beef cattle and urbanisation). Larval and post-larval shrimp may be most susceptible to the impacts of these pesticides because of their high surface area to volume ratio and rapid growth requirements. However, given the uncertainties in the levels of insecticides in farm intake water and regarding the impacts of insecticide exposure on shrimp larvae, the risks that the increased use of new classes of pesticide pose towards survival of post-larval phase shrimp cannot be adequately predicted. To assess the potential for risk, toxicity in 20day past hatch post-larval Black Tiger shrimp (Penaeus monodon) to modern use insecticides, imidacloprid, bifenthin, and fipronil was measured as decreased survival and feeding inhibition. Post-larval phase shrimp were sensitive to fipronil, bifenthrin, and imidacloprid, in that order, at concentrations that were comparable to those that cause mortality other crustaceans. Bifenthrin and imidacloprid exposure reduced the ability of post-larval shrimp to capture live prey at environmentally realistic concentrations. Concentrations of a broad suite of pesticides were also measured in shrimp farm intake waters. Some pesticides were detected in every sample. Most of the pesticides detected were measured below concentrations that are toxic to post-larval shrimp as used in this study, although pesticides exceed guideline values, suggesting the possibility of indirect or mixture-related impacts. However, at two study sites, the concentrations of insecticides were sufficient to cause toxicity in shrimp post larvae, based on the risk assessment undertaken in this study.Copyright © 2017 Elsevier Inc. All rights reserved.  KEYWORDS:  MeSH Chemical: Pesticides| Water Pollutants, Chemical MeSH: | Animals| Aquaculture| Estuaries| Larva/drug effects/growth &amp; development| Penaeidae/majr/drug effects/growth &amp; development| Pesticides/majr/analysis/toxicity| Queensland| Rivers/chemistry| Seawater/chemistry| Water Pollutants, Chemical/majr/analysis/toxicity Other:Aquaculture|Bifenthrin|Fipronil|Imidacloprid|Neurotoxicity|Shrimp</t>
  </si>
  <si>
    <t>Novaluron ingestion causes larval lethality and inhibits chitin content in Leptinotarsa decemlineata fourth-instar larvae.    ABSTRACT:  To accomplish consistent, long-term, integrated management (IPM) of the Colorado potato beetle, Leptinotarsa decemlineata (Say), research assessing the potential of novel, IPM-compatible insecticides is essential. Novaluron is a potent benzoylurea insecticide. In the present paper, we found that novaluron ingestion by the fourth-instar larvae inhibited foliage consumption, reduced larval fresh weight, and delayed development period, in a dose dependent manner. Most of the resulting larvae fail to pupate, and died at prepupae stage, with larvicidal activity comparable with those of cyhalothrin and spinosad but lower than those of fipronil and abamectin. Moreover, many surviving pupae that fed novaluron failed to emerge as adults, in a dose dependent pattern. Furthermore, feeding of novaluron significantly decreased chitin contents in body carcass (without midgut) and integument specimen, whereas the chitin concentration in the midgut peritrophic matrix was not affected. Furthermore, uridine diphosphate-N-acetylglucosamine-pyrophosphorylase gene (LdUAP1) and chitin synthase Aa (LdChSAa), which were mainly responsible for chitin biosynthesis in ectodermally-derived tissues, were surpressed and activated respectively after novaluron ingestion. Therefore, novaluron is an effective benzoylurea insecticide to L. decemlineata fourth-instar larvae. It inhibited chitin biosynthesis in ectodermally-derived tissues, disrupted ecdysis, impaired pupation and adult emergence, and led to death in juvenile life stages.Copyright © 2017 Elsevier Inc. All rights reserved.  KEYWORDS:  MeSH Chemical: Insecticides| Phenylurea Compounds| Chitin| Chitin Synthase| novaluron MeSH: | Animals| Chitin/majr/biosynthesis| Chitin Synthase/metabolism| Coleoptera/majr/drug effects/metabolism| Eating| Insecticides/majr/toxicity| Larva/drug effects/metabolism| Phenylurea Compounds/majr/toxicity Other:Chitin biosynthesis|Larvicide|Leptinotarsa decemlineata|Novaluron|Pupation</t>
  </si>
  <si>
    <t>RDL mutations predict multiple insecticide resistance in Anopheles sinensis in Guangxi, China.    ABSTRACT:  Anopheles sinensis is a major vector of malaria in China. The gamma-aminobutyric acid (GABA)-gated chloride channel, encoded by the RDL (Resistant to dieldrin) gene, is the important target for insecticides of widely varied structures. The use of various insecticides in agriculture and vector control has inevitably led to the development of insecticide resistance, which may reduce the control effectiveness. Therefore, it is important to investigate the presence and distribution frequency of the resistance related mutation(s) in An. sinensis RDL to predict resistance to both the withdrawn cyclodienes (e.g. dieldrin) and currently used insecticides, such as fipronil.Two hundred and forty adults of An. sinensis collected from nine locations across Guangxi Zhuang Autonomous Region were used. Two fragments of An. sinensis RDL (AsRDL) gene, covering the putative insecticide resistance related sites, were sequenced respectively. The haplotypes of each individual were reconstructed by the PHASE2.1 software, and confirmed by clone sequencing. The phylogenetic tree was built using maximum-likelihood and Bayesian inference methods. Genealogical relations among different haplotypes were also analysed using Network 5.0.The coding region of AsRDL gene was 1674 bp long, encoding a protein of 557 amino acids. AsRDL had 98.0% amino acid identity to that from Anopheles funestus, and shared common structural features of Cys-loop ligand-gated ion channels. Three resistance-related amino acid substitutions (A296S, V327I and T345S) were detected in all the nine populations of An. sinensis in Guangxi, with the 296S mutation being the most abundant (77-100%), followed by 345S (22-47%) and 327I (8-60%). 38 AsRDL haplotypes were identified from 240 individuals at frequencies ranging from 0.2 to 34.8%. Genealogical analysis suggested multiple origins of the 345S mutation in AsRDL.The near fixation of the 296S mutation and the occurrence of the 327I and 345S mutations in addition to 296S, in all the nine tested An. sinensis populations in Guangxi, strongly indicate a risk of multiple insecticide resistance. The haplotype diversity plus genetic heterogeneities in the geographical distribution, and multiple origins of AsRDL alleles call for a location-customized strategy for monitoring and management of insecticide resistance.  KEYWORDS:  MeSH Chemical: Insect Proteins| Insecticides| Pyrazoles| Receptors, GABA-A| Dieldrin| fipronil MeSH: | Amino Acid Sequence| Animals| Anopheles/majr/drug effects/genetics| China| Dieldrin/pharmacology| Insect Proteins/majr/genetics/metabolism| Insecticide Resistance/majr/genetics| Insecticides/majr/pharmacology| Mutation/majr| Phylogeny| Pyrazoles/pharmacology| Receptors, GABA-A/majr/genetics/metabolism| Sequence Alignment Other:Anopheles sinensis|Gamma-aminobutyric acid gated chloride channel|Genealogical analysis|Guangxi Zhuang Autonomous Region|Haplotype</t>
  </si>
  <si>
    <t>Integrated Control of Nymphal Ixodes scapularis: Effectiveness of White-Tailed Deer Reduction, the Entomopathogenic Fungus Metarhizium anisopliae, and Fipronil-Based Rodent Bait Boxes.    ABSTRACT:  Pathogens transmitted by ticks are the leading cause of arthropod-associated human diseases in the United States and managing the risk of exposure to potentially infected ticks is of vital public health importance. A 3-year integrated tick management program to control blacklegged ticks, Ixodes scapularis, the primary vector for the pathogenic agents of Lyme disease, human anaplasmosis, and babesiosis, was implemented in the town of Redding in southwestern Connecticut beginning in 2013. Combinations of white-tailed deer, Odocoileus virginianus, reduction, area application of the entomopathogenic fungus Metarhizium anisopliae, and fipronil-based rodent bait boxes were evaluated for their ability to reduce nymphal I. scapularis over 3 years. Interference from local hunters prevented sufficient, sustained deer removal previously reported to negatively impact I. scapularis abundances (i.e., &lt;5 deer/km2). The combination of fipronil-based bait boxes and broadcast application of M. anisopliae had the most impact of any treatment combination; questing nymphs were reduced 78-95% within each year and Borrelia burgdorferi-infected questing nymphal I. scapularis encounter potential was reduced by 66% as compared with no treatment in the third year of the study. A combination of the broadcast application of M. anisopliae and small rodent-targeted fipronil-based bait boxes is an effective low-toxicity integrated approach that significantly reduced encounters with B. burgdorferi-infected questing nymphal I. scapularis on individual properties.  KEYWORDS:  MeSH Chemical: Biological Control Agents| Insecticides| Pyrazoles| fipronil MeSH: | Animals| Biological Control Agents| Borrelia burgdorferi/isolation &amp; purification| Connecticut| Deer/majr/physiology| Insecticides/pharmacology| Ixodes/majr/drug effects/microbiology/physiology| Metarhizium/majr/physiology| O'nyong-nyong Virus| Population Dynamics| Pyrazoles/majr/pharmacology| Rodent Diseases/drug therapy/parasitology| Rodentia/parasitology| Tick Control/majr/methods| Tick Infestations/prevention &amp; control Other:Borrelia burgdorferi|Lyme disease|Metarhizium anisopliae|Odocoileus virginianus|fipronil-based bait box|integrated tick management</t>
  </si>
  <si>
    <t>Development and validation of modified QuEChERS method coupled with LC-MS/MS for simultaneous determination of cymiazole, fipronil, coumaphos, fluvalinate, amitraz, and its metabolite in various types of honey and royal jelly.    ABSTRACT:  Over the past few decades, honey products have been polluted by different contaminants, such as pesticides, which are widely applied in agriculture. In this work, a modified EN - quick, easy, cheap, effective, rugged, and safe (QuEChERS) extraction method was developed for the simultaneous quantification of pesticide residues, including cymiazole, fipronil, coumaphos, fluvalinate, amitraz, and its metabolite 2,4-dimethylaniline (2,4-DMA), in four types of honey (acacia, wild, chestnut, and manuka) and royal jelly. Samples were buffered with 0.2M dibasic sodium phosphate (pH 9), and subsequently, acetonitrile was employed as the extraction solvent. A combination of primary secondary amine (PSA) and C18 sorbents was used for purification prior to liquid chromatography-electrospray ionization tandem mass spectrometry (LC-ESI+/MS-MS) analysis. The estimated linearity measured at six concentration levels presented good correlation coefficients (R2)≥0.99. The recovery, calculated from three different spiking levels, was 62.06-108.79% in honey and 67.58-106.34% in royal jelly, with an RSD&lt;12% for all the tested compounds. The matrix effect was also evaluated, and most of the analytes presented signal enhancement. The limits of quantification (LOQ) ranged between 0.001 and 0.005mg/kg in various samples. These are considerably lower than the maximum residue limits (MRL) set by various regulatory authorities. A total of 43 market (domestic and imported) samples were assayed for method application. Among the tested samples, three samples were tested positive (i.e. detected and quantified) only for cymiazole residues. The residues in the rest of the samples were detected but not quantified. We concluded that the protocol developed in this work is simple and versatile for the routine quantification of cymiazole, 2,4-DMA, fipronil, coumaphos, amitraz, and fluvalinate in various types of honey and royal jelly.Copyright © 2017 Elsevier B.V. All rights reserved.  KEYWORDS:  MeSH Chemical: Fatty Acids| Nitriles| Pesticide Residues| Pyrazoles| Pyrethrins| Thiazoles| Toluidines| amitraz| fluvalinate| cymiazole| Coumaphos| royal jelly| fipronil MeSH: | Chromatography, Liquid/majr/methods| Coumaphos| Fatty Acids/majr/chemistry| Honey/majr/analysis| Limit of Detection| Linear Models| Nitriles| Pesticide Residues/majr/analysis/metabolism| Pyrazoles| Pyrethrins| Reproducibility of Results| Tandem Mass Spectrometry/majr/methods| Thiazoles| Toluidines Other:Honey|LC–MS/MS|Pesticides|QuEChERS|Quantification|Residues|Royal jelly</t>
  </si>
  <si>
    <t>An update of the Worldwide Integrated Assessment (WIA) on systemic insecticides. Part 2: impacts on organisms and ecosystems.    ABSTRACT:  New information on the lethal and sublethal effects of neonicotinoids and fipronil on organisms is presented in this review, complementing the previous Worldwide Integrated Assessment (WIA) in 2015. The high toxicity of these systemic insecticides to invertebrates has been confirmed and expanded to include more species and compounds. Most of the recent research has focused on bees and the sublethal and ecological impacts these insecticides have on pollinators. Toxic effects on other invertebrate taxa also covered predatory and parasitoid natural enemies and aquatic arthropods. Little new information has been gathered on soil organisms. The impact on marine and coastal ecosystems is still largely uncharted. The chronic lethality of neonicotinoids to insects and crustaceans, and the strengthened evidence that these chemicals also impair the immune system and reproduction, highlights the dangers of this particular insecticidal class (neonicotinoids and fipronil), with the potential to greatly decrease populations of arthropods in both terrestrial and aquatic environments. Sublethal effects on fish, reptiles, frogs, birds, and mammals are also reported, showing a better understanding of the mechanisms of toxicity of these insecticides in vertebrates and their deleterious impacts on growth, reproduction, and neurobehaviour of most of the species tested. This review concludes with a summary of impacts on the ecosystem services and functioning, particularly on pollination, soil biota, and aquatic invertebrate communities, thus reinforcing the previous WIA conclusions (van der Sluijs et al. 2015).  KEYWORDS:  MeSH Chemical: Insecticides| Neonicotinoids| Nitro Compounds MeSH: | Animals| Bees| Ecosystem| Insecticides/majr/analysis/toxicity| Invertebrates| Neonicotinoids| Nitro Compounds| Pollination Other:Aquatic organisms|Ecosystem services|Fipronil|Insects|Neonicotinoids|Pollinators|Review|Soil biota|Systemic insecticides|Vertebrates</t>
  </si>
  <si>
    <t>Field-relevant doses of the systemic insecticide fipronil and fungicide pyraclostrobin impair mandibular and hypopharyngeal glands in nurse honeybees (Apis mellifera).    ABSTRACT:  Global decreases in bee populations emphasize the importance of assessing how environmental stressors affect colony maintenance, especially considering the extreme task specialization observed in honeybee societies. Royal jelly, a protein secretion essential to colony nutrition, is produced by nurse honeybees, and development of bee mandibular glands, which comprise a reservoir surrounded by secretory cells and hypopharyngeal glands that are shaped by acini, is directly associated with production of this secretion. Here, we examined individual and combined effects of the systemic fungicide pyraclostrobin and insecticide fipronil in field-relevant doses (850 and 2.5 ppb, respectively) on mandibular and hypopharyngeal glands in nurse honeybees. Six days of pesticide treatment decreased secretory cell height in mandibular glands. When pyraclostrobin and fipronil were combined, the reservoir volume in mandibular glands also decreased. The total number of acini in hypopharyngeal glands was not affected, but pesticide treatment reduced the number of larger acini while increasing smaller acini. These morphological impairments appeared to reduce royal jelly secretion by nurse honeybees and consequently hampered colony maintenance. Overall, pesticide exposure in doses close to those experienced by bees in the field impaired brood-food glands in nurse honeybees, a change that could negatively influence development, survival, and colony maintenance.  KEYWORDS:  MeSH Chemical: Fatty Acids| Fungicides, Industrial| Insecticides| Pyrazoles| Strobilurins| pyrachlostrobin| royal jelly| fipronil MeSH: | Animals| Bees/majr/anatomy &amp; histology/drug effects/physiology| Exocrine Glands/majr/anatomy &amp; histology/drug effects/physiology| Fatty Acids/majr/metabolism| Fungicides, Industrial/majr/toxicity| Histocytochemistry| Insecticides/majr/toxicity| Pyrazoles/majr/toxicity| Strobilurins/majr/toxicity</t>
  </si>
  <si>
    <t>Influence of the RDL A301S mutation in the brown planthopper Nilaparvata lugens on the activity of phenylpyrazole insecticides.    ABSTRACT:  We discovered the A301S mutation in the RDL GABA-gated chloride channel of fiprole resistant rice brown planthopper, Nilaparvata lugens populations by DNA sequencing and SNP calling via RNASeq. Ethiprole selection of two field N. lugens populations resulted in strong resistance to both ethiprole and fipronil and resulted in fixation of the A301S mutation, as well as the emergence of another mutation, Q359E in one of the selected strains. To analyse the roles of these mutations in resistance to phenylpyrazoles, three Rdl constructs: wild type, A301S and A301S+Q359E were expressed in Xenopus laevis oocytes and assessed for their sensitivity to ethiprole and fipronil using two-electrode voltage-clamp electrophysiology. Neither of the mutant Rdl subtypes significantly reduced the antagonistic action of fipronil, however there was a significant reduction in response to ethiprole in the two mutated subtypes compared with the wild type. Bioassays with a Drosophila melanogaster strain carrying the A301S mutation showed strong resistance to ethiprole but not fipronil compared to a strain without this mutation, thus further supporting a causal role for the A301S mutation in resistance to ethiprole. Homology modelling of the N. lugens RDL channel did not suggest implications of Q359E for fiprole binding in contrast to A301S located in transmembrane domain M2 forming the channel pore. Synergist bioassays provided no evidence of a role for cytochrome P450s in N. lugens resistance to fipronil and the molecular basis of resistance to this compound remains unknown. In summary this study provides strong evidence that target-site resistance underlies widespread ethiprole resistance in N. lugens populations.Copyright © 2017 Rothamsted Research Ltd. Published by Elsevier Inc. All rights reserved.  KEYWORDS:  MeSH Chemical: Insect Proteins| Insecticides| Pyrazoles| Pyrethrins| Receptors, GABA-A| fipronil MeSH: | Animals| Base Sequence| Hemiptera/majr/drug effects/genetics/metabolism| Insect Proteins/majr/genetics/metabolism| Insecticide Resistance/majr| Insecticides/majr/pharmacology| Mutation, Missense/majr| Pyrazoles/pharmacology| Pyrethrins/pharmacology| Receptors, GABA-A/majr/genetics/metabolism Other:A301S|Ethiprole|Insecticide resistance|Q359E|RDL</t>
  </si>
  <si>
    <t>A randomised, blinded, controlled field study to assess the efficacy and safety of lotilaner tablets (Credelio™) in controlling fleas in client-owned dogs in European countries.    ABSTRACT:  Lotilaner is a novel isoxazoline developed for oral administration to dogs. In laboratory studies, lotilaner was shown to be safe and to produce a rapid flea and tick knockdown, with a sustained speed of kill for at least a month post-treatment. A study was undertaken to demonstrate the efficacy, safety and palatability of three monthly doses of lotilaner flavoured chewable tablets (Credelio™, Elanco) in controlling fleas under field conditions in Europe.Dogs were enrolled at 17 veterinary clinics across Germany, Hungary and Portugal. Qualifying households having no more than three dogs and one primary dog with at least five fleas was randomised 2:1 to a lotilaner (minimum dose rate 20 mg/kg) or a topical fipronil group (administered per label). There were 128 and 64 households allocated to the lotilaner and fipronil groups, respectively. Treatments were dispensed to owners on Days 0, 28 and 56; supplementary household dogs received the same treatment as the primary dog. Post-enrollment flea counts and flea allergy dermatitis (FAD) assessments were made on primary dogs on Days 14, 28, 56 and 84. Efficacy calculations were based on geometric mean percent reductions of live flea counts versus pre-treatment counts on Day 0. The safety and palatability of lotilaner tablets were also assessed.Lotilaner efficacy was 99.1, 99.5, 99.9 and 99.8% on Days 14, 28, 56 and 84, respectively. Corresponding reductions for fipronil were 93.4, 91.2, 94.4 and 97.0%. Lotilaner was superior to fipronil at all post-Day 0 assessments (t (186) ≥ 3.43, P ≤ 0.0007). At every post-treatment assessment, at least 90% of lotilaner-treated dogs were flea-free (98.4% on Day 84); fewer than 90% of fipronil group dogs were flea-free on the same time points. Lotilaner flavoured chewable tablets were palatable, and both products were well tolerated. Lotilaner alleviated or eliminated clinical signs of FAD, including pruritus.Under field conditions in Europe, lotilaner flavoured chewable tablets were greater than 99% effective in eliminating fleas from dogs at the first post-treatment assessment (Day 14). Efficacy was maintained through Day 84, with corresponding improvements in FAD. Lotilaner tablets were palatable and safe and provided superior flea control to fipronil.  KEYWORDS:  MeSH Chemical: Insecticides| Pyrazoles| Tablets| fipronil MeSH: | Administration, Oral| Animals| Dog Diseases/drug therapy/parasitology| Dogs| Europe| Female| Flea Infestations/majr/drug therapy/parasitology/veterinary| Germany| Hospitals, Animal| Hungary| Insecticides/majr/administration &amp; dosage/adverse effects/therapeutic use| Male| Ownership| Portugal| Pyrazoles/administration &amp; dosage/therapeutic use| Siphonaptera/majr/drug effects| Tablets Other:Credelio|Dog|Efficacy|Europe|Field|Fipronil|Fleas|Frontline|Lotilaner|Safety</t>
  </si>
  <si>
    <t>A randomized, controlled study to assess the efficacy and safety of lotilaner (Credelio™) in controlling ticks in client-owned dogs in Europe.    ABSTRACT:  Oral administration of lotilaner flavoured chewable tablets (Credelio™, Elanco) to dogs has been shown to provide a rapid onset of killing activity of infesting ticks, with sustained efficacy for at least 35 days. A study was undertaken in Europe to confirm lotilaner's safety and anti-tick efficacy in client-owned dogs.In this assessor-blinded study, dogs were enrolled at 19 clinics in Germany, Hungary and Portugal. Qualifying households with no more than three dogs were randomized in an approximate 2:1 ratio to a lotilaner or fipronil/(S)-methoprene (FSM) (Frontline® Combo Spot-on, Merial) treatment group. One household dog with at least three live attached ticks was the primary dog. Treatments were dispensed Days 0, 28 (± 2) and 56 (± 2) for owner administration to all household dogs. Tick counts were performed on primary dogs Days 7 (± 1), and ±2 days on Days 14, 21, 28, 42, 56, 70 and 84; supplementary dogs were assessed for safety ± 2 days on Days 28, 56 and 84. Efficacy was assessed by comparing mean Day 0 live attached tick counts with subsequent counts.The most frequently retrieved ticks were Ixodes ricinus, Dermacentor reticulatus and Rhipicephalus sanguineus (sensu lato), with Ixodes hexagonus also present. In the lotilaner group (n = 127) geometric mean tick count reductions were at least 98% from the first post-treatment visit (Day 7) through Day 56, when efficacy was 100%. For FSM (n = 68), efficacy remained at least 96% through Day 84, but at no point were all dogs free of live attached ticks. Mean counts in lotilaner-treated dogs were significantly lower than FSM-treated dogs on Days 7, 42, 70 and 84 (P &lt; 0.05). Percent efficacy over all post-enrolment visits was 99.3 and 98.3% for lotilaner and FSM groups, respectively (t (190) = 2.23, P = 0.0268). Owners successfully administered all treatments, and both products were well-tolerated.Under European field conditions, lotilaner flavoured chewable tablets administered monthly, were &gt; 98% effective in eliminating live ticks from the first post-treatment assessment (Day 7) through Day 56 and maintained 100% of dogs tick-free on Days 70 and 84. Lotilaner was safe, providing superior tick control to FSM administered according to the same schedule.  KEYWORDS:  MeSH Chemical: Acaricides| Pyrazoles| Tablets| fipronil MeSH: | Acaricides/majr/administration &amp; dosage/adverse effects/therapeutic use| Administration, Oral| Animals| Dermacentor/drug effects| Dog Diseases/majr/drug therapy/parasitology| Dogs| Europe| Female| Ixodes/majr/drug effects| Male| Pyrazoles/administration &amp; dosage/adverse effects/therapeutic use| Rhipicephalus/drug effects| Tablets/administration &amp; dosage/adverse effects| Tick Infestations/majr/drug therapy/parasitology/veterinary Other:Credelio|Dermacentor|Dog|Efficacy|Europe|Field|Ixodes|Lotilaner|Rhipicephalus|Ticks</t>
  </si>
  <si>
    <t>The novel isoxazoline ectoparasiticide lotilaner (Credelio™): a non-competitive antagonist specific to invertebrates γ-aminobutyric acid-gated chloride channels (GABACls).    ABSTRACT:  The isoxazolines are a novel class of parasiticides that are potent inhibitors of γ-aminobutyric acid (GABA)-gated chloride channels (GABACls) and, to a lesser extent, of inhibitory glutamate-gated chloride channels (GluCls). Lotilaner (Credelio™), a novel representative of this chemical class, is currently evaluated for its excellent ectoparasiticide properties.In this study, we investigated the molecular mode of action and pharmacology of lotilaner. We report the successful gene identification, cDNA cloning and functional expression in Xenopus oocytes of Drosohpila melanogaster (wild type and dieldrin/fipronil-resistant forms), Lepeophtheirus salmonis (an ectoparasite copepod crustacean of salmon), Rhipicephalus microplus and Canis lupus familiaris GABACls. Automated Xenopus oocyte two-electrode voltage clamp electrophysiology was used to assess GABACls functionality and to compare ion channel inhibition by lotilaner with that of established insecticides addressing GABACls as targets.In these assays, we demonstrated that lotilaner is a potent non-competitive antagonist of insects (fly) GABACls. No cross-resistance with dieldrin or fipronil resistance mutations was detected, suggesting that lotilaner might bind to a site at least partly different from the one bound by known GABACl blockers. Using co-application experiments, we observed that lotilaner antagonism differs significantly from the classical open channel blocker fipronil. We finally confirmed for the first time that isoxazoline compounds are not only powerful antagonists of GABACls of acari (ticks) but also of crustaceans (sea lice), while no activity on a dog GABAA receptor was observed up to a concentration of 10 μM.Together, these results demonstrate that lotilaner is a non-competitive antagonist specific to invertebrate's γ-aminobutyric acid-gated chloride channels (GABACls). They contribute to our understanding of the mode of action of this new ectoparasiticide compound.  KEYWORDS:  MeSH Chemical: Chloride Channels| DNA, Complementary| Insecticides| Pyrazoles| gamma-Aminobutyric Acid| fipronil MeSH: | Animals| Chloride Channels/majr/antagonists &amp; inhibitors/chemistry/genetics| Cloning, Molecular| Copepoda/drug effects/physiology| DNA, Complementary| Drosophila melanogaster/physiology| Insecta| Insecticides/majr/chemistry/metabolism/pharmacology| Invertebrates/majr/drug effects/genetics/physiology| Oocytes| Patch-Clamp Techniques| Pyrazoles/pharmacology| Rhipicephalus/drug effects/physiology| Xenopus| gamma-Aminobutyric Acid/majr/metabolism Other:GABACl|Invertebrates|Isoxazoline|Lotilaner|Non-competitive antagonist|γ-aminobutyric acid-gated chloride channels</t>
  </si>
  <si>
    <t>The Biology and Ecology of Cat Fleas and Advancements in Their Pest Management: A Review.    ABSTRACT:  The cat flea Ctenocephalides felis felis (Bouché) is the most important ectoparasite of domestic cats and dogs worldwide. It has been two decades since the last comprehensive review concerning the biology and ecology of C. f. felis and its management. Since then there have been major advances in our understanding of the diseases associated with C. f. felis and their implications for humans and their pets. Two rickettsial diseases, flea-borne spotted fever and murine typhus, have been identified in domestic animal populations and cat fleas. Cat fleas are the primary vector of Bartonella henselae (cat scratch fever) with the spread of the bacteria when flea feces are scratched in to bites or wounds. Flea allergic dermatitis (FAD) common in dogs and cats has been successfully treated and tapeworm infestations prevented with a number of new products being used to control fleas. There has been a continuous development of new products with novel chemistries that have focused on increased convenience and the control of fleas and other arthropod ectoparasites. The possibility of feral animals serving as potential reservoirs for flea infestations has taken on additional importance because of the lack of effective environmental controls in recent years. Physiological insecticide resistance in C. f. felis continues to be of concern, especially because pyrethroid resistance now appears to be more widespread. In spite of their broad use since 1994, there is little evidence that resistance has developed to many of the on-animal or oral treatments such as fipronil, imidacloprid or lufenuron. Reports of the perceived lack of performance of some of the new on-animal therapies have been attributed to compliance issues and their misuse. Consequentially, there is a continuing need for consumer awareness of products registered for cats and dogs and their safety.  KEYWORDS:  Other:Ctenocephalides felis felis|insect growth regulators|insecticide resistance|systemic insecticides</t>
  </si>
  <si>
    <t>HPLC Analysis to Determine the Half-life and Bioavailability of the Termiticides Bifenthrin and Fipronil in Soil.    ABSTRACT:  The aim of this study was to test the bioavailability and degradation in soil of the termiticides bifenthrin and fipronil, which are used to treat subterranean termites (Heterotermes indicola, Wasmann). Soil collected from different areas of Lahore was categorized as sandy clay loam (SCL) or sandy loam (SL). Laboratory bioassays were conducted to determine the bioavailability ratio of bifenthrin and fipronil in each type of soil after different periods of time. LT50 values were determined posttreatment at different time intervals. Regarding soil type, both termiticides were more effective in SL soil, compared with SCL soil posttreatment. There were significant differences in termite mortality in treated compared with untreated control samples (P &lt; 0.005). To test the degradation rate of soil termiticides, both qualitative and quantitative analyses were carried out by HPLC, and the effect of time on termiticide recovery rate determined. Calculated half-life values for bifenthrin (maximum, 1,002 and 1,262 d in SCL soil and SL soil, respectively) indicated that it persisted in both soil types at all concentrations. The maximum calculated half-life values of fipronil were 270 and 555 d in SCL and SL soil, respectively. At lower concentrations and over longer periods of time, fipronil completely degraded in SL soil, while a negligible amount was detected in SCL soil. Termiticide concentration decreased over time, as did the termiticide recovery rate. Overall, bifenthrin was more persistent than fipronil under all treatment conditions tested.© The Author(s) 2017. Published by Oxford University Press on behalf of Entomological Society of America. All rights reserved. For permissions, please e-mail: journals.permissions@oup.com.  KEYWORDS:  MeSH Chemical: Insecticides| Pyrazoles| Pyrethrins| Soil| bifenthrin| fipronil MeSH: | Animals| Biological Availability| Chromatography, High Pressure Liquid| Half-Life| Insecticides/majr/chemistry| Isoptera/majr| Pyrazoles/majr/chemistry| Pyrethrins/majr/chemistry| Soil/majr/chemistry Other:bifenthrin|fipronil|half-life|high-performance liquid chromatography|lethal time</t>
  </si>
  <si>
    <t>[Analysis of fipronil and metabolites residues distrubution in eggs].    ABSTRACT:  Objective: To compare the residual distribution of fipronil and its metabolites in white and yellow egg, and to analyze the residual changes of fipronil and its metabolites in raw and cooked samples, regarding the risk assessment of fipronil and its metabolites via consuming egg for different age groups. Methods: The white egg and yellow egg were isolated from 10 egg samples containing fipronil residues. Samples were extracted with acetonitrile and purified, and determined by liquid chromatography-high resolution mass spectrometry. The chromatographic analysis was performed on a BEH C(18) column with 0.1% acetic acid and acetonitrile as mobile phase with gradient elution, and external standard calibration was used for quantification. The negative ion acquisition mode was applied and quantitative analysis was carried out by using Full Scan/ddms2 model. Results: The results showed that fipronil sulfone was the main residue detected in eggs; The content of fipronil sulfone in white egg was between 2.5 and 59.9 μg/kg, the median was 16.1 μg/kg; and the content of fipronil sulfone in yellow egg ranged from 81.5 and 1 526.0 μg/kg, with a median of 390.0 μg/kg. The ratio of fipronil sulfone in yellow egg to white egg ranged from 8.0 and 14.6. Compared with that observed in fresh egg, after heating or cooking, the content ratio of fipronil sulfone residue between cooked samples and raw samples from yellow egg was between 0.80 and 0.96, the median was 0.90; and the ratio from white egg ranged from 0.65 to 1.06, the median was 0.83. The conversion coefficient of fipronil sulfone (f) between white egg and yellow egg was 3.1. Conclusion: Yellow egg is a major intake source of fipronil and metabolites residues, and there is no obvious change for fipronil sulfone residue in eggs after heating or cooking. The conversion coefficient of fipronil sulfone (f) between white egg and yellow egg lays the foundation for assessing the health risks of fipronil and metabolites residues through yellow egg intake in special population.  KEYWORDS:  MeSH Chemical: Pesticide Residues| Pyrazoles| fipronil MeSH: | Animals| Chromatography, Liquid| Eggs/majr/analysis| Pesticide Residues/majr/analysis| Pyrazoles/majr/analysis| Tandem Mass Spectrometry Other:Eggs|Fipronil|Risk assessment</t>
  </si>
  <si>
    <t>Synergistic interactions between a variety of insecticides and an ergosterol biosynthesis inhibitor fungicide in dietary exposures of bumble bees (Bombus terrestris L.).    ABSTRACT:  In recent years, concern has been raised over honey bee colony losses, and also among wild bees there is evidence for extinctions and range contractions in Europe and North America. Pesticides have been proposed as a potential cause of this decline. Bees are exposed simultaneously to a variety of agrochemicals, which may cause synergistically detrimental impacts, which are incompletely understood. We investigated the toxicity of the fungicide imazalil in mixture with four common insecticides: fipronil (phenylpyrazoid), cypermethrin (pyrethroid), thiamethoxam, and imidacloprid (neonicotinoids). Ergosterol biosynthesis inhibitor (EBI) fungicides like imazalil can inhibit P450 detoxification systems in insects and therefore fungicide - insecticide co-occurrence might produce synergistic toxicity in bees. We assessed the impact of dietary fungicide - insecticide mixtures on the mortality and feeding rates of laboratory bumble bees (Bombus terrestris L.).Regarding mortality, imazalil synergised the toxicity of fipronil, cypermethrin and thiamethoxam, but not imidacloprid. We found no synergistic effects on feeding rates.Our findings suggest that P450-based detoxification processes are differentially important in mitigating the toxicity of certain insecticides, even those of the same chemical class. Our evidence that cocktail effects can arise in bumble bees should extend concern about the potential impacts of agrochemical mixtures to include wild bee species in farmland. © 2017 Society of Chemical Industry.© 2017 Society of Chemical Industry.  KEYWORDS:  MeSH Chemical: Fungicides, Industrial| Imidazoles| Insecticides| enilconazole MeSH: | Animals| Bees/majr/drug effects/metabolism| Dietary Exposure/majr| Drug Synergism| Fungicides, Industrial/majr/metabolism| Imidazoles/majr/metabolism| Inactivation, Metabolic| Insecticides/majr/metabolism Other:bumble bees|ergosterol biosynthesis inhibitor fungicide|insecticides|synergy</t>
  </si>
  <si>
    <t>Differential Expression Profile of lncRNAs from Primary Human Hepatocytes Following DEET and Fipronil Exposure.    ABSTRACT:  While the synthesis and use of new chemical compounds is at an all-time high, the study of their potential impact on human health is quickly falling behind, and new methods are needed to assess their impact. We chose to examine the effects of two common environmental chemicals, the insect repellent N,N-diethyl-m-toluamide (DEET) and the insecticide fluocyanobenpyrazole (fipronil), on transcript levels of long non-protein coding RNAs (lncRNAs) in primary human hepatocytes using a global RNA-Seq approach. While lncRNAs are believed to play a critical role in numerous important biological processes, many still remain uncharacterized, and their functions and modes of action remain largely unclear, especially in relation to environmental chemicals. RNA-Seq showed that 100 µM DEET significantly increased transcript levels for 2 lncRNAs and lowered transcript levels for 18 lncRNAs, while fipronil at 10 µM increased transcript levels for 76 lncRNAs and decreased levels for 193 lncRNAs. A mixture of 100 µM DEET and 10 µM fipronil increased transcript levels for 75 lncRNAs and lowered transcript levels for 258 lncRNAs. This indicates a more-than-additive effect on lncRNA transcript expression when the two chemicals were presented in combination versus each chemical alone. Differentially expressed lncRNA genes were mapped to chromosomes, analyzed by proximity to neighboring protein-coding genes, and functionally characterized via gene ontology and molecular mapping algorithms. While further testing is required to assess the organismal impact of changes in transcript levels, this initial analysis links several of the dysregulated lncRNAs to processes and pathways critical to proper cellular function, such as the innate and adaptive immune response and the p53 signaling pathway.  KEYWORDS:  MeSH Chemical: Pyrazoles| RNA, Long Noncoding| DEET| fipronil MeSH: | Cells, Cultured| DEET/pharmacology| Epigenomics/methods| Hepatocytes/majr/drug effects/metabolism| Humans| Pyrazoles/majr/pharmacology| RNA, Long Noncoding/majr/genetics| Zika Virus/genetics Other:DEET|RNA-Seq|Zika virus|epigenetics|fipronil|human hepatocytes|lncRNA|long non-coding RNA|primary liver cells|transcriptomics</t>
  </si>
  <si>
    <t>Resistance Status and Resistance Mechanisms in a Strain of Aedes aegypti (Diptera: Culicidae) From Puerto Rico.    ABSTRACT:  Puerto Rico (PR) has a long history of vector-borne disease and insecticide-resistant Aedes aegypti (L.). Defining contributing mechanisms behind phenotypic resistance is critical for effective vector control intervention. However, previous studies from PR have each focused on only one mechanism of pyrethroid resistance. This study examines the contribution of P450-mediated enzymatic detoxification and sodium channel target site changes to the overall resistance phenotype of Ae. aegypti collected from San Juan, PR, in 2012. Screening of a panel of toxicants found broad resistance relative to the lab susceptible Orlando (ORL1952) strain. We identified significant resistance to representative Type I, Type II, and nonester pyrethroids, a sodium channel blocker, and a sodium channel blocking inhibitor, all of which interact with the sodium channel. Testing of fipronil, a chloride channel agonist, also showed low but significant levels of resistance. In contrast, the PR and ORL1952 strains were equally susceptible to chlorfenapyr, which has been suggested as an alternative public health insecticide. Molecular characterization of the strain indicated that two common sodium channel mutations were fixed in the population. Topical bioassay with piperonyl butoxide (PBO) indicated cytochrome P450-mediated detoxification accounts for approximately half of the resistance profile. Transcript expression screening of cytochrome P450s and glutathione-S-transferases identified the presence of overexpressed transcripts. This study of Puerto Rican Ae. aegypti with significant contributions from both genetic changes and enzymatic detoxification highlights the necessity of monitoring for resistance but also defining the multiple resistance mechanisms to inform effective mosquito control.Published by Oxford University Press on behalf of Entomological Society of America 2017. This work is written by US Government employees and is in the public domain in the US.  KEYWORDS:  MeSH Chemical: Insecticides| Voltage-Gated Sodium Channels| Cytochrome P-450 Enzyme System| Glutathione Transferase MeSH: | Aedes/majr/enzymology/genetics| Animals| Cytochrome P-450 Enzyme System/majr/genetics| Female| Glutathione Transferase/majr/genetics| Insecticide Resistance/majr/genetics| Insecticides/majr| Puerto Rico| Voltage-Gated Sodium Channels/genetics Other:Aedes aegypti|Puerto Rico|insecticide resistance|kdr|pyrethroid</t>
  </si>
  <si>
    <t>Characterization of Spodoptera litura (Lepidoptera: Noctuidae) Takeout Genes and Their Differential Responses to Insecticides and Sex Pheromone.    ABSTRACT:  Spodoptera litura (S. litura) is one of the most serious agricultural insect pests worldwide. Takeout (TO) is involved in a variety of physiological and biochemical pathways and performs various biological functions. We characterized 18 S. litura TO genes and investigated their differential responses to insecticides and sex pheromones. All predicted TO proteins have two Cysteines that are unique to the N-terminal of the TO family proteins and contain four highly conserved Prolines, two Glycines, and one Tyrosine. The expression levels of seven TO genes in the male antennae were higher than those in the female antennae, although the expression levels of 10 TO genes in the female were higher than those in the male. We investigated the effects of the sex pheromone and three insecticides, that is, chlorpyrifos (Ch), emamectin benzoate (EB), and fipronil (Fi), on the expression levels of the TO genes in the antennae. The results showed that the insecticides and sex pheromone affect the expression levels of the TO genes. One day after the treatment, the expression levels of SlTO15 and SlTO4 were significantly induced by the Ch/EB treatment. Two days after the S. litura moths were treated with Fi, the expression of SlTO4 was significantly induced (28.35-fold). The expression of SlTO10 changed significantly after the Ch and EB treatment, although the expression of SlTO12 and SlTO15 was inhibited by the three insecticides after two days of treatment. Our results lay a foundation for studying the role of TO genes in the interaction between insecticides and sex pheromone.© The Authors 2017. Published by Oxford University Press on behalf of Entomological Society of America.  KEYWORDS:  MeSH Chemical: Sex Attractants MeSH: | Animals| Arthropod Antennae/metabolism| Female| Gene Expression| Genes, Insect| Insecticide Resistance/majr/genetics| Male| Multigene Family| Sequence Analysis, DNA| Sex Attractants/majr/physiology| Spodoptera/majr/genetics/metabolism Other:Spodoptera litura|chlorpyrifos|emamectin benzoate|fipronil|sex pheromone</t>
  </si>
  <si>
    <t>Comparison of waterborne and intraperitoneal exposure to fipronil in the Caspian white fish (Rutilus frisii) on acute toxicity and histopathology.    ABSTRACT:  Fipronil is an effective insecticide widely used in agriculture with potential ecotoxicological consequences. The median lethal dose (LD50) and concentration (LC50) of fipronil in 16.3 g Caspian white fish, Rutilus frisii kutum fingerlings were determined. To determine the LD50, a total of 133 fish were assigned to 19 tanks (7 fish/tank) including one control and 6 treatment groups (300, 450, 550, 650, 750, 850 mg/kg). Fish were injected intraperitoneally and monitored at 96 h. The LD50 of fipronil was 632 mg/kg suggesting it was slightly toxic to the Caspian white fish. To determine LC50, 114 fish were assigned to 19 tanks (6 fish/tank) including one control and 6 treatment groups (300, 400, 500, 600, 700, 800 μg/L). The LC50 of fipronil was 572 μg/L, which was highly toxic to the fish. The degree of tissue change (DTC) in vital organs from moribund fish exposed via waterborne exposure showed severe damage (DTC: 71 ± 52 for 700 μg/L) in the gill, including aneurisms, extensive fusion and necrosis. The fish exposed through the intraperitoneal route seemed to have severe lesions (DTC: 66 ± 50 for 750 mg/kg) in the kidney, involving hemorrhage, tubular degeneration and necrosis. The liver had no significant differences in DTC values between the two routes and showed pyknosis and sinusoid dilation. Hematoxylin and eosin staining did not show any histological alterations in the brain but nissl staining showed some alterations in distribution of purkinje cells. Generally, this study showed that the route of exposure to fipronil not only affects its acute toxicity but also determines the main target organs of toxicity and histopathological alterations in Caspian white fish.  KEYWORDS:  Other:Acetic acid (PubChem CID: 176)|Acute toxicity|Administration route|Caspian white fish|Eosin (PubChem CID: 11048)|Ethanol (PubChem CID: 702)|Fipronil|Fipronil (PubChem CID: 15278226)|Formaldehyde (PubChem CID: 712)|Haematoxylin (PubChem CID: 442514)|M-xylene (PubChem CID: 7929)|Phenoxyethanol (PubChem CID: 17848643)|Picric acid (PubChem CID: 6954)</t>
  </si>
  <si>
    <t>Development of polyurethane-based passive samplers for ambient monitoring of urban-use insecticides in water.    ABSTRACT:  Widespread use of insecticides for the control of urban pests such as ants, termites, and spiders has resulted in contamination and toxicity in urban aquatic ecosystems in different regions of the world. Passive samplers are a convenient and integrative tool for in situ monitoring of trace contaminants in surface water. However, the performance of a passive sampler depends closely on its affinity for the target analytes, making passive samplers highly specific to the types of contaminants being monitored. The goal of this study was to develop a passive sampler compatible with a wide range of insecticides, including the strongly hydrophobic pyrethroids and the weakly hydrophobic fipronil and organophosphates. Of six candidate polymeric thin films, polyurethane film (PU) was identified to be the best at enriching the test compounds. The inclusion of stable isotope labeled analogs as performance reference compounds (PRCs) further allowed the use of PU film for pyrethroids under non-equilibrium conditions. The PU sampler was tested in a large aquarium with circulatory water flow, and also deployed at multiple sites in surface streams in southern California. The concentrations of pesticides derived from the PU sampler ranged from 0.5 to 18.5 ng/L, which were generally lower than the total chemical concentration measured by grab samples, suggesting that suspended particles and dissolved organic matter in water rendered them less available. The influence of suspended particles and dissolved organic matter on bioavailability was more pronounced for pyrethroids than for fipronils. The results show that the developed PU film sampler, when coupled with PRCs, may be used for rapid and sensitive in-situ monitoring of a wide range of insecticides in surface water.Copyright © 2017 Elsevier Ltd. All rights reserved.  KEYWORDS:  MeSH Chemical: Insecticides| Organic Chemicals| Pesticides| Polyurethanes| Pyrethrins| Water Pollutants, Chemical MeSH: | California| Environmental Monitoring/majr/instrumentation/methods| Hydrophobic and Hydrophilic Interactions| Insecticides/majr/analysis| Organic Chemicals| Pesticides/analysis| Polyurethanes/majr/chemistry| Pyrethrins| Rivers/chemistry| Water Pollutants, Chemical/majr/analysis Other:Ambient monitoring|Fipronils|Passive sampler|Performance reference compound|Pyrethroids|Stable isotope calibration</t>
  </si>
  <si>
    <t>The impact of restrictions on neonicotinoid and fipronil insecticides on pest management in maize, oilseed rape and sunflower in eight European Union regions.    ABSTRACT:  In 2013, the European Commission restricted the use of three neonicotinoids (clothianidin, imidacloprid and thiamethoxam) and the pyrazole fipronil, which are widely used to control early-season pests. Here, we used original farm survey data to examine the impact of the restrictions on pest management practices in eight regional case studies including maize, oilseed rape and sunflower in seven European Union (EU) countries.In four case studies, farmers switched to using untreated seeds as no alternative seed treatments were available. In three case studies, farmers switched to using unrestricted neonicotinoid- or pyrethroid-treated seeds. In five case studies, farmers increased the use of soil or foliar treatments, with pyrethroids as the principal insecticide class. Other changes in pest management practices ranged from increased sowing density to more frequent scouting for pests. Many farmers perceived that the time, cost and amount of insecticides required to protect crops increased, along with pest pressure. Alternative seed treatments were mostly perceived as being less effective than the restricted seed treatments.Farmers generally relied on alternative seed treatments or more soil/foliar treatments in the first growing season after the restrictions took effect. Further study is required to assess the effectiveness and sustainability of these alternatives compared with the restricted insecticides. © 2017 The Authors. Pest Management Science published by John Wiley &amp; Sons Ltd on behalf of Society of Chemical Industry.© 2017 The Authors. Pest Management Science published by John Wiley &amp; Sons Ltd on behalf of Society of Chemical Industry.  KEYWORDS:  MeSH Chemical: Insecticides| Neonicotinoids| Pyrazoles| fipronil MeSH: | Brassica napus/growth &amp; development| European Union/majr| Helianthus/growth &amp; development| Insect Control/majr/legislation &amp; jurisprudence| Insecticides/majr| Neonicotinoids/majr| Pyrazoles/majr| Zea mays/growth &amp; development Other:clothianidin|fipronil|imidacloprid|insecticides|neonicotinoids|thiamethoxam</t>
  </si>
  <si>
    <t>The sustained speed of kill of ticks (Rhipicephalus sanguineus) and fleas (Ctenocephalides felis felis) on dogs by a spot-on combination of fipronil and permethrin (Effitix®) compared with oral afoxolaner (NexGard®).    ABSTRACT:  The rapid speed of kill of a spot-on, combination of fipronil-permethrin (Effitix®, Virbac) was shown against infestations of Rhipicephalus sanguineus and Ctenocephalides felis on dogs. Efficacy was determined against new infestations at weekly intervals for one month after treatment. Dogs were allocated randomly to either an untreated control or to a single administration, given on Day 0, of either topical fipronil-permethrin (6.7-13.4mg/kg and 60-120mg/kg, respectively) or oral afoxolaner (2.72-6.8mg/kg), based on pre-treatment, host-suitability flea counts. Dogs were infested with 50, unfed, adult R. sanguineus on Days 7, 14, 21 and 28, and with 100C. felis on Days 8, 15, 22 and 29. Tick counts were performed 0.5, 2, 6, 12 and 24h, and flea counts were performed 0.5 and 24h after each infestation. No treatment-related adverse reactions occurred. Dogs in the untreated group maintained viable infestations throughout the study. Following infestation, live tick and flea counts for dogs treated with fipronil-permethrin compared with untreated dogs were rapidly and significantly reduced with efficacy apparent at 0.5h after infestation. Flea efficacies (arithmetic mean counts) at 0.5h after infestation on Day 7 (Day 28) were significantly greater for fipronil-permethrin, 70% (34%) compared with 8% (18%) for afoxolaner (P≤0.05). Tick efficacies at 2h on Day 7 (Day 28) were 74% (63%) for fipronil-permethrin compared with 10% (0%) for afoxolaner (P≤0.05). Efficacies for tick repellency as indicated by counts of ticks off the dogs at 2h on Day 7 (Day 28) were greater for fipronil-permethrin, 32% (22%) compared with afoxolaner, 0% (0%) (P≤0.05). Anti-attachment efficacies at 12h were greater for fipronil-permethrin compared with afoxolaner. Tick efficacies at 24h, based on arithmetic (geometric) means, were significantly greater on Day 28 for fipronil-permethrin compared with afoxolaner (P≤0.05), 74% (87%) and 45% (60%), respectively, and were similar (P &gt;0.05) on Days 7, 14 and 21. Flea efficacies, 24h after infestation were &gt;98% and similar for both treated groups on all infestation days (P &gt;0.05). The topically applied fipronil-permethrin containing ectoparasiticide Effitix® offers rapid efficacy against R. sanguineus and C. felis which persists for one month after a single administration in dogs. Afoxolaner is also effective although speed of kill is slower. The rapid and sustained speed of kill of both parasites by fipronil-permethrin should contribute to effective management not only of these parasites and their direct adverse effects including irritancy and allergy, but also to reducing the risk of transmitting infections.Copyright © 2017 The Authors. Published by Elsevier B.V. All rights reserved.  KEYWORDS:  MeSH Chemical: Insecticides| Isoxazoles| Naphthalenes| Pyrazoles| afoxolaner| Permethrin| fipronil MeSH: | Administration, Oral| Administration, Topical| Animals| Ctenocephalides/majr/drug effects| Dog Diseases/majr/drug therapy/parasitology| Dogs| Female| Flea Infestations/majr/drug therapy/veterinary| Insecticides/majr/administration &amp; dosage| Isoxazoles/administration &amp; dosage| Male| Naphthalenes/administration &amp; dosage| Permethrin/administration &amp; dosage| Pyrazoles/administration &amp; dosage| Random Allocation| Rhipicephalus sanguineus/majr/drug effects| Tick Infestations/majr/drug therapy/veterinary Other:Afoxolaner|Dogs|Efficacy|Effitix(®)|Fipronil|Fleas|Nexgard(®)|Pathogen transmission|Permethrin|Speed of kill|Ticks</t>
  </si>
  <si>
    <t>Mdr65 decreases toxicity of multiple insecticides in Drosophila melanogaster.    ABSTRACT:  ABC transporters are ubiquitous membrane-bound proteins, present in both prokaryotes and eukaryotes. The major function of eukaryotic ABC transporters is to mediate the efflux of a variety of substrates (including xenobiotics) out of cells. ABC transporters have been widely investigated in humans, particularly for their involvement in multidrug resistance (MDR). Considerably less is known about their roles in transport and/or excretion in insects. ABC transporters are only known to function as exporters in insects. Drosophila melanogaster has 56 ABC transporter genes, including eight which are phylogenetically most similar to the human Mdr genes (ABCB1 clade). We investigated the role of ABC transporters in the ABCB1 clade in modulating the susceptibility to insecticides. We took advantage of the GAL4/UAS system in D. melanogaster to knockdown the expression levels of Mdr65, Mdr50, Mdr49 and ABCB6 using transgenic UAS-RNAi lines and conditional driver lines. The most notable effects were increased sensitivities to nine different insecticides by silencing of Mdr65. Furthermore, a null mutation of Mdr65 decreased the malathion, malaoxon and fipronil LC50 values by a factor of 1.9, 2.1 and 3.9, respectively. Altogether, this data demonstrates the critical role of ABC transporters, particularly Mdr65, in altering the toxicity of specific, structurally diverse, insecticides in D. melanogaster.Copyright © 2017 Elsevier Ltd. All rights reserved.  KEYWORDS:  MeSH Chemical: ATP Binding Cassette Transporter, Subfamily B| Drosophila Proteins| Insecticides| mdr65 protein, Drosophila MeSH: | ATP Binding Cassette Transporter, Subfamily B/majr/genetics/metabolism| Animals| Drosophila Proteins/majr/genetics/metabolism| Drosophila melanogaster/majr/drug effects/genetics/metabolism| Female| Insecticide Resistance/majr| Insecticides/majr/toxicity| Male| RNA Interference Other:ABC transporters|Drosophila melanogaster|Insecticide toxicity|Mdr65|RNAi</t>
  </si>
  <si>
    <t>Complex mixtures of dissolved pesticides show potential aquatic toxicity in a synoptic study of Midwestern U.S. streams.    ABSTRACT:  Aquatic organisms in streams are exposed to pesticide mixtures that vary in composition over time in response to changes in flow conditions, pesticide inputs to the stream, and pesticide fate and degradation within the stream. To characterize mixtures of dissolved-phase pesticides and degradates in Midwestern streams, a synoptic study was conducted at 100 streams during May-August 2013. In weekly water samples, 94 pesticides and 89 degradates were detected, with a median of 25 compounds detected per sample and 54 detected per site. In a screening-level assessment using aquatic-life benchmarks and the Pesticide Toxicity Index (PTI), potential effects on fish were unlikely in most streams. For invertebrates, potential chronic toxicity was predicted in 53% of streams, punctuated in 12% of streams by acutely toxic exposures. For aquatic plants, acute but likely reversible effects on biomass were predicted in 75% of streams, with potential longer-term effects on plant communities in 9% of streams. Relatively few pesticides in water-atrazine, acetochlor, metolachlor, imidacloprid, fipronil, organophosphate insecticides, and carbendazim-were predicted to be major contributors to potential toxicity. Agricultural streams had the highest potential for effects on plants, especially in May-June, corresponding to high spring-flush herbicide concentrations. Urban streams had higher detection frequencies and concentrations of insecticides and most fungicides than in agricultural streams, and higher potential for invertebrate toxicity, which peaked during July-August. Toxicity-screening predictions for invertebrates were supported by quantile regressions showing significant associations for the Benthic Invertebrate-PTI and imidacloprid concentrations with invertebrate community metrics for MSQA streams, and by mesocosm toxicity testing with imidacloprid showing effects on invertebrate communities at environmentally relevant concentrations. This study documents the most complex pesticide mixtures yet reported in discrete water samples in the U.S. and, using multiple lines of evidence, predicts that pesticides were potentially toxic to nontarget aquatic life in about half of the sampled streams.Published by Elsevier B.V.  KEYWORDS:  MeSH Chemical: Complex Mixtures| Pesticides| Water Pollutants, Chemical| Levonorgestrel MeSH: | Animals| Complex Mixtures/majr/toxicity| Environmental Monitoring/majr| Fishes| Invertebrates| Levonorgestrel| Midwestern United States| Pesticides/majr/toxicity| Rivers/majr/chemistry| Water Pollutants, Chemical/majr/toxicity Other:Benchmark|Degradate|Invertebrate toxicity|Pesticide Toxicity Index|Screening assessment|Stressor</t>
  </si>
  <si>
    <t>Enantiomer-specific measurements of current-use pesticides in aquatic systems.    ABSTRACT:  Some current-use pesticides are chiral and have nonsuperimposable mirror images called enantiomers that exhibit identical physical-chemical properties but can behave differently when in contact with other chiral molecules (e.g., regarding degradation and uptake). These differences can result in variations in enantiomer presence in the environment and potentially change the toxicity of pesticide residues. Several current-use chiral pesticides are applied in urban and agricultural areas, with increased potential to enter watersheds and adversely affect aquatic organisms. The present study describes a stereoselective analytical method for the current-use pesticides fipronil, cis-bifenthrin, cis-permethrin, cypermethrin, and cyfluthrin. We show use of the method by characterizing enantiomer fractions in environmental sample extracts (sediment and water), and laboratory-dosed fish and concrete extracts previously collected by California organizations. Enantiomer fractions for most environmental samples are the same as racemic standards (equal amounts of enantiomers, enantiomer fraction = 0.5) and therefore are not expected to differ in toxicity from racemic mixtures typically tested. In laboratory-derived samples, enantiomer fractions are more frequently nonracemic and favor the less toxic enantiomer; permethrin enantiomer fractions range from 0.094 to 0.391 in one type of concrete runoff and enantiomer fractions of bifenthrin in dosed fish range from 0.378 to 0.499. We use enantiomer fractions as a screening tool to understand environmental exposure and explore ways this uncommon measurement could be used to better understand toxicity and risk. Environ Toxicol Chem 2018;37:99-106. Published 2017 Wiley Periodicals Inc. on behalf of SETAC. This article is a US government work and, as such, is in the public domain in the United States of America.Published 2017 Wiley Periodicals Inc. on behalf of SETAC. This article is a US government work and, as such, is in the public domain in the United States of America.  KEYWORDS:  MeSH Chemical: Insecticides| Pesticide Residues| Pesticides| Water Pollutants, Chemical MeSH: | Animals| Aquatic Organisms/majr/metabolism| California| Environmental Exposure| Fishes/metabolism| Geologic Sediments/chemistry| Insecticides/analysis/chemistry/toxicity| Pesticide Residues/analysis/chemistry| Pesticides/majr/analysis/chemistry| Reference Standards| Stereoisomerism| Water Pollutants, Chemical/analysis/toxicity Other:Analytical chemistry|Aquatic systems|Chiral current-use pesticide|Enantiomer fractions|Pyrethroids|Racemic</t>
  </si>
  <si>
    <t>Preliminary efficacy investigations of oral fipronil against Anopheles arabiensis when administered to Zebu cattle (Bos indicus) under field conditions.    ABSTRACT:  Globally, malaria remains one of the most important vector-borne diseases despite the extensive use of vector control, including indoor residual spraying (IRS) and insecticide-treated nets (ITNs). These control methods target endophagic vectors, whereas some malaria vectors, such as Anopheles arabiensis, preferentially feed outdoors on cattle, making it a complicated vector to control using conventional strategies. Our study evaluated whether treating cattle with a capsule containing the active ingredient (AI) fipronil could reduce vector density and sporozoite rates, and alter blood feeding behavior, when applied in a small-scale field study. A pilot field study was carried out in the Samia District, Western Kenya, from May to July 2015. Four plots, each comprised of 50 huts used for sleeping, were randomly designated to serve as control or treatment. A week before cattle treatment, baseline mosquito collections were performed inside the houses using mechanical aspirators. Animals in the treatment (and buffer) were administered a single oral application of fipronil at ∼0.5mg/kg of body weight. Indoor mosquito collections were performed once a week for four weeks following treatment. Female mosquitoes were first identified morphologically to species complex, followed by PCR-based methods to obtain species identity, sporozoite presence, and the host source of the blood meal. All three species of anophelines found in the study area (An. gambiae s.s., An. arabiensis, An. funestus s.s.) were actively transmitting Plasmodium falciparum during the study period. The indoor resting density of An. arabiensis was significantly reduced in treatment plot one at three weeks post-treatment (T1) (efficacy=89%; T1 density=0.08, 95% credibility intervals [0.05, 0.10]; control plot density=0.78 [0.22, 0.29]) and at four weeks post-treatment (efficacy=64%; T1 density=0.16 [0.08, 0.14]; control plot density=0.48 [0.17, 0.22]). The reduction of An. arabiensis mosquitoes captured in the treatment plot two was higher: zero females were collected after treatment. The indoor resting density of An. gambiae s.s. was not significantly different between the treatment (T1, T2) and their corresponding control plots (C1, C2). An. funestus s.s. showed an increase in density over time. The results of this preliminary study suggest that treating cattle orally with fipronil, to target exophagic and zoophagic malaria vectors, could be a valuable control strategy to supplement existing vector control interventions which target endophilic anthropophilic species.Copyright © 2017 The Authors. Published by Elsevier B.V. All rights reserved.  KEYWORDS:  MeSH Chemical: Insecticides| Pyrazoles| fipronil MeSH: | Animals| Anopheles/majr/drug effects| Cattle| Feeding Behavior| Insect Vectors/majr/drug effects| Insecticides/majr/administration &amp; dosage/therapeutic use| Kenya| Malaria/majr/prevention &amp; control/transmission| Mosquito Control/methods| Plasmodium falciparum/drug effects| Pyrazoles/majr/administration &amp; dosage/therapeutic use| Sporozoites Other:Kenya|Malaria|One health|Systemic insecticide|Vector</t>
  </si>
  <si>
    <t>Synergy between dinotefuran and fipronil against the cat flea (Ctenocephalides felis): improved onset of action and residual speed of kill in adult cats.    ABSTRACT:  The cat flea, Ctenocephalides felis felis (C. felis), is a cosmopolitan hematophagous ectoparasite, and is considered to be the most prevalent flea species in both Europe and the USA. Clinical signs frequently associated with flea bites include pruritus, dermatitis and in severe cases even pyodermatitis and alopecia. Ctenocephalides felis is also a vector for several pathogens and is an intermediate host for the cestode Dipylidium caninum. Treatment of cats with a fast-acting pulicide, that is persistently effective in protecting the animal against re-infestation, is therefore imperative to their health. In addition, a rapid onset of activity ("speed of kill") may also reduce the risks of disease transmission and flea allergic dermatitis. The aim of this study was to evaluate the in vitro insecticidal activity and potential synergism between dinotefuran and fipronil against C. felis. A further aim was to evaluate the onset of activity and residual speed of kill of the combination in vivo on cats artificially infested with C. felis.In the first study, the insecticidal activity of dinotefuran and fipronil separately and dinotefuran/fipronil (DF) in combination, at a fixed ratio (2:1), was evaluated using an in vitro coated-vial bioassay. In the second study, the onset of activity against existing flea infestations and residual speed of kill of DF against artificial flea infestations on cats was assessed in vivo. Onset of activity against existing flea infestations was assessed in terms of knock-down effect within 2 h post-treatment and onset of speed of kill assessed at 3 h, 6 h and 12 h post-treatment. Residual speed of kill was evaluated 6 h and 48 h after infestation, over a period of six weeks post-treatment.In vitro results revealed that the DF combination was synergistic and more potent against fleas than either compound alone. The combination also proved effective when tested in vivo. Efficacy was &gt; 97% [geometric mean (GM) and arithmetic mean (AM)] at 3 h after treatment, and ≥ 99.8% (GM and AM) at 6 h and 12 h post-treatment. At 6 h after flea re-infestations, the efficacy of DF remained ≥ 90.8% (GM and AM) for up to 28 days, and at 42 days post-treatment persistent efficacy was still ≥ 54.3% (GM and AM). At 48 h after flea re-infestations, DF remained almost fully effective for up to 28 days, with efficacies ≥ 99.4% (GM and AM) and was persistently ≥ 93.0% (GM and AM) effective for up to 42 days post-treatment.The combination of dinotefuran and fipronil in a single formulation exhibited strong synergistic insecticidal activity against C. felis in vitro, and also proved effective on artificially infested cats. This activity had a rapid onset that persisted for 6 weeks against re-infestations of C. felis on cats. The rapid curative insecticidal effect was observed as early as 3 h after treatment, and as early as 6 h after re-infestations for up to 6 weeks post-treatment. The insecticidal activity profile of DF makes it an optimal candidate for the protection of cats against flea infestations, and possibly also associated diseases.  KEYWORDS:  MeSH Chemical: Guanidines| Insecticides| Neonicotinoids| Nitro Compounds| Pyrazoles| dinotefuran| fipronil MeSH: | Animals| Cat Diseases/majr/drug therapy/parasitology| Cats| Ctenocephalides/majr/drug effects/physiology| Drug Synergism/majr| Flea Infestations/majr/drug therapy/veterinary| Guanidines/majr/administration &amp; dosage/pharmacology| Insecticides/majr/administration &amp; dosage/pharmacology| Neonicotinoids/majr/administration &amp; dosage/pharmacology| Nitro Compounds/majr/administration &amp; dosage/pharmacology| Pyrazoles/majr/administration &amp; dosage/pharmacology| Survival Analysis| Treatment Outcome Other:Ctenocephalides felis|Dinotefuran|Efficacy|Fipronil|Fleas|In vitro|In vivo|Synergy</t>
  </si>
  <si>
    <t>Strategic control of Rhipicephalus (Boophilus) microplus infestation on beef cattle grazed in Panicum maximum grasses in a subtropical semi-arid region of Argentina.    ABSTRACT:  The aim of this work was to test the efficacy of strategic control methods of Rhipicephalus microplus infestation on beef cattle grazed in Panicum maximum grasses in northwestern Argentina. Also, an analysis to discern how the R. microplus population was distributed amongst cattle was also performed to determine if partial selective treatment or cull the small proportion of more heavily infested animals are feasible options to control this tick. The strategic scheme of treatments was designed to act on the small 1st generation of R. microplus in early spring and prevent in that way the appearance of the annual peak of abundance of R. microplus in summer and autumn. Animals of the group 1 were treated with ivermectin 3.15% on day 0 (25th September 2015), with fluazuron on day 32 (27th October 2015) and with fipronil on day 75 (9th December 2015). Animals of group 2 formed the control group. The overall effect of the treatments was positively significant. The number of ticks observed on the control group was significantly higher than the number of ticks observed on the treated group in all post-treatment counts (P&lt;0.01), with the only exception of the count of March. The distribution of parasites among cattle in all counts was adjusted to the negative binomial distribution, but a temporal variation in the tick aggregation levels associated to changes in tick abundance was found. The higher the abundance of R. microplus, the lower the aggregation. It was found that the steers (15.8% of the total number of animals evaluated) belonging to the high infestation group accounted for 23.0% of the total ticks. The strategic control method evaluated during this study provides a remarkable overall effect against R. microplus because it significantly reduces the tick infestation on cattle with only three applications of acaricides in one-year period. The analyses of tick distribution amongst cattle suggest that partial selective treatment and culling do not represent feasible methods to control R. microplus infestation on cattle.Copyright © 2017 Elsevier B.V. All rights reserved.  KEYWORDS:  MeSH Chemical: Acaricides MeSH: | Acaricides/majr/therapeutic use| Animal Feed/majr| Animals| Argentina/epidemiology| Cattle| Cattle Diseases/majr/epidemiology/parasitology/prevention &amp; control| Panicum| Red Meat| Rhipicephalus/majr/drug effects| Tick Infestations/majr/epidemiology/parasitology/prevention &amp; control/veterinary Other:Argentina|Cattle tick|Control|Panicum maximum</t>
  </si>
  <si>
    <t>Family of Ricinus communis Monosaccharide Transporters and RcSTP1 in Promoting the Uptake of a Glucose-Fipronil Conjugate.    ABSTRACT:  Enhancing the systemic distribution of a bioactive compound by exploiting the vascular transport system of a plant presents a means of reducing both the volume and frequency of pesticide/fungicide application. The foliar uptake of the glucose-fipronil conjugate N-[3-cyano-1-[2,6-dichloro-4-(trifluoromethyl)phenyl]-4-[(trifluoromethyl)sulfinyl]-1H-pyrazol-5-yl]-1-(β-d-glucopyranosyl)-1H-1,2,3-triazole-4-methanamine (GTF) achieved in castor bean (Ricinus communis) and its transport via the phloem are known to be mediated by monosaccharide transporter(s) [MST(s)], although neither the identity of the key MST(s) involved nor the mechanistic basis of its movement have yet to be described. On the basis of homology with Arabidopsis thaliana sugar transporters, the castor bean genome was concluded to harbor 53 genes encoding a sugar transporter, falling into the eight previously defined subfamilies INT, PMT, VGT, STP, ERD6, pGlucT, TMT, and SUT. Transcriptional profiling identified the product of RcSTP1 as a candidate for mediating GTF uptake, because this gene was induced by exposure of the plant to GTF. When RcSTP1 was transiently expressed in onion epidermis cells, the site of RcSTP1 deposition was shown to be the plasma membrane. A functional analysis based on RcSTP1 expression in Xenopus laevis oocytes demonstrated that its product has a high affinity for GTF. The long-distance root-to-shoot transport of GTF was enhanced in a transgenic soybean chimera constitutively expressing RcSTP1.  KEYWORDS:  MeSH Chemical: Insecticides| Monosaccharide Transport Proteins| Monosaccharides| Plant Proteins| Pyrazoles| Glucose| fipronil MeSH: | Biological Transport| Glucose/majr/metabolism| Insecticides/majr/metabolism| Monosaccharide Transport Proteins/majr/genetics/metabolism| Monosaccharides/majr/metabolism| Phloem/metabolism| Plant Proteins/majr/genetics/metabolism| Pyrazoles/majr/metabolism| Ricinus/majr/genetics/metabolism Other:Ricinus communis|Xenopus oocyte|glucose−fipronil|monosaccharide transporter|transgenic soybean composite plants</t>
  </si>
  <si>
    <t>Continuous low-level aquatic monitoring (CLAM) samplers for pesticide contaminant screening in urban runoff: Analytical approach and a field test case.    ABSTRACT:  Monitoring of surface waters for organic contaminants is costly. Grab water sampling often results in non-detects for organic contaminants due to missing a pulse event or analytical instrumentation limitations with a small sample size. Continuous Low-Level Aquatic Monitoring (CLAM) samplers (C.I.Agent® Solutions) continually extract and concentrate organic contaminants in surface water onto a solid phase extraction disk. Utilizing CLAM samplers, we developed a broad spectrum analytical screen for monitoring organic contaminants in urban runoff. An intermediate polarity solid phase, hydrophobic/lipophilic balance (HLB), was chosen as the sorbent for the CLAM to target a broad range of compounds. Eighteen urban-use pesticides and pesticide degradates were targeted for analysis by LC/MS/MS, with recoveries between 59 and 135% in laboratory studies. In field studies, CLAM samplers were deployed at discrete time points from February 2015 to March 2016. Half of the targeted chemicals were detected with reporting limits up to 90 times lower than routine 1-L grab samples with good precision between field replicates. In a final deployment, CLAM samplers were compared to 1-L water samples. In this side-by-side comparison, imidacloprid, fipronil, and three fipronil degradates were detected by the CLAM sampler but only imidacloprid and fipronil sulfone were detected in the water samples. However, concentrations of fipronil sulfone and imidacloprid were significantly lower with the CLAM and a transient spike of diuron was not detected. Although the CLAM sampler has limitations, it can be a powerful tool for development of more focused and informed monitoring efforts based on pre-identified targets in the field.Copyright © 2017 Elsevier Ltd. All rights reserved.  KEYWORDS:  MeSH Chemical: Imidazoles| Neonicotinoids| Nitro Compounds| Pesticides| Water Pollutants, Chemical| imidacloprid MeSH: | Environmental Monitoring/majr/instrumentation/methods| Imidazoles/analysis| Neonicotinoids| Nitro Compounds/analysis| Pesticides/majr/analysis| Solid Phase Extraction| Tandem Mass Spectrometry| Water Pollutants, Chemical/majr/analysis Other:Active sampler|Grab sample|Pesticide|Solid phase extraction|Urban runoff</t>
  </si>
  <si>
    <t>Occurrence of commonly used pesticides in personal air samples and their associated health risk among paddy farmers.    ABSTRACT:  Tanjung Karang, Selangor, is widely known for its paddy cultivation activity and hosts the third largest paddy field in Malaysia. Pesticides contamination in agriculture fields has become an unavoidable problem, as pesticides are used to increase paddy productivity and reduce plant disease. Human exposure to agrichemicals is common and could results in both acute and chronic health effects, such as acute and chronic neurotoxicity. This study aims to determine the concentrations of commonly used pesticides (azoxystrobin, buprofezin, chlorantraniliprole, difenoconazole, fipronil, imidacloprid, isoprothiolane, pretilachlor, propiconazole, pymetrozine, tebuconazole, tricyclazole, and trifloxystrobin) in personal air samples and their associated health risks among paddy farmers. Eighty-three farmers from Tangjung Karang, Selangor were involved in this study. A solid sorbent tube was attached to the farmer's breathing zone with a clip, and an air pump was fastened to the belt to collect personal air samples. Pesticides collected in the XAD-2 resin were extracted with acetone, centrifuged, concentrated via nitrogen blowdown and reconstituted with 1mL of 3:1 ultrapure water/HPLC-grade methanol solution. The extract was analyzed using ultra-high-performance liquid chromatography tandem mass spectrometry (UHPLC-MS/MS). The target compounds were detected with a maximum concentration reaching up to 462.5ngm-3 (fipronil). The hazard quotient (HQ) was less than 1 and the hazard index (HI) value was 3.86×10-3, indicating that the risk of pesticides related diseases was not significant. The lifetime cancer risk (LCR) for pymetrozine was at an acceptable level (LCR&lt;10-6) with 4.10×10-8. The results reported in this study can be beneficial in terms of risk management within the agricultural community.Copyright © 2017 Elsevier B.V. All rights reserved.  KEYWORDS:  MeSH Chemical: Air Pollutants| Pesticides MeSH: | Agriculture| Air Pollutants/majr/adverse effects/analysis| Farmers/majr| Humans| Malaysia| Occupational Exposure/majr/adverse effects/analysis| Oryza| Pesticides/majr/adverse effects/analysis| Risk Assessment| Tandem Mass Spectrometry Other:Hazard quotient (HQ)|Inhalation|Lifetime cancer risk (LCR)|Malaysia|Multiple reaction monitoring (MRM)|Ultra-high-performance liquid chromatography tandem mass spectrometry (UHPLC-MS/MS)</t>
  </si>
  <si>
    <t>European demonstration program on the effect-based and chemical identification and monitoring of organic pollutants in European surface waters.    ABSTRACT:  Growing concern about the adverse environmental and human health effects of a wide range of micropollutants requires the development of novel tools and approaches to enable holistic monitoring of their occurrence, fate and effects in the aquatic environment. A European-wide demonstration program (EDP) for effect-based monitoring of micropollutants in surface waters was carried out within the Marie Curie Initial Training Network EDA-EMERGE. The main objectives of the EDP were to apply a simplified protocol for effect-directed analysis, to link biological effects to target compounds and to estimate their risk to aquatic biota. Onsite large volume solid phase extraction of 50 L of surface water was performed at 18 sampling sites in four European river basins. Extracts were subjected to effect-based analysis (toxicity to algae, fish embryo toxicity, neurotoxicity, (anti-)estrogenicity, (anti-)androgenicity, glucocorticoid activity and thyroid activity), to target analysis (151 organic micropollutants) and to nontarget screening. The most pronounced effects were estrogenicity, toxicity to algae and fish embryo toxicity. In most bioassays, major portions of the observed effects could not be explained by target compounds, especially in case of androgenicity, glucocorticoid activity and fish embryo toxicity. Estrone and nonylphenoxyacetic acid were identified as the strongest contributors to estrogenicity, while herbicides, with a minor contribution from other micropollutants, were linked to the observed toxicity to algae. Fipronil and nonylphenol were partially responsible for the fish embryo toxicity. Within the EDP, 21 target compounds were prioritized on the basis of their frequency and extent of exceedance of predicted no effect concentrations. The EDP priority list included 6 compounds, which are already addressed by European legislation, and 15 micropollutants that may be important for future monitoring of surface waters. The study presents a novel simplified protocol for effect-based monitoring and draws a comprehensive picture of the surface water status across Europe.Copyright © 2017 Elsevier B.V. All rights reserved.  KEYWORDS:  Other:Adverse effects|EDA-EMERGE|Environmental health|Human health|Large volume solid phase extraction|Simplified effect-directed analysis protocol</t>
  </si>
  <si>
    <t>Treatment of Neotrombicula species infestation in cats using a 10% (w/v) fipronil topical spot-on formulation: a pilot study.    ABSTRACT:  Objectives Few data are available concerning therapeutic aspects of feline trombiculiasis. This study evaluated the efficacy of a 10% w/v fipronil-based spot-on solution in 15 cats with natural Neotrombicula species infestation. Methods Ten cats received 1 drop per affected site on day (D)0 and D14, with the rest of the 0.5 ml pipette applied on the skin between the shoulders. Five cats served as non-treated controls. Parasite score (0 = absent; 3 = severe, &gt;10 parasites/zone) was assessed on D0, D14 and D28 on all animals. Skin lesions (SCORing Feline Allergic Dermatitis lesion severity scale [SCORFAD]) and investigator pruritus scale (IPS; 0 = cat comfortable, grooming like any normal cat; 4 = cat uncomfortable, pruritic all the time) were assessed on treated cats on the same days. Global assessment of efficacy, tolerance and ease of use (GAS; 1 = very poor; 5 = excellent) was assessed on D28. Results All the cats completed the study. Parasite scores of the control cats were maintained throughout the trial (mean ± SD: D0 4 ± 0.7, D14 3.2 ± 1.1 and D28 3.2 ± 0.4). In treated cats, SCORFAD (D0 3.2 ± 5.4, D14 1.1 ± 2.1 [ P &lt;0.002] and D28 0.5 ± 1.3 [ P &lt;0.002]), parasite (D0 3.9 ± 1.3, D14 1.2 ± 0.8 [ P &lt;0.005] and D28 0.4 ± 0.5 [ P &lt;0.005]) and IPS (D0 1 ± 1.2, D14 0.5 ± 1.1 [ P &lt;0.05] and D28 0.3 ± 0.7 [ P &lt;0.05]) scores significantly decreased throughout the trial. On D28, the GAS was 4.2 ± 0.9. There were no adverse effects from treatment. Conclusions and relevance The 10% w/v fipronil preparation appeared to be effective, safe and practical in the treatment of localised Neotrombicula species infestation in these cats.  KEYWORDS:  MeSH Chemical: Insecticides| Pyrazoles| fipronil MeSH: | Administration, Topical| Animals| Cat Diseases/majr/drug therapy/pathology| Cats| Female| Insecticides/majr/therapeutic use| Male| Mite Infestations/majr/drug therapy/veterinary| Pilot Projects| Pyrazoles/majr/therapeutic use| Skin Diseases, Parasitic/majr/drug therapy/veterinary| Treatment Outcome| Trombiculidae/majr</t>
  </si>
  <si>
    <t>Lethal effects of selected novel pesticides on immature stages of Trichogramma pretiosum (Hymenoptera: Trichogrammatidae).    ABSTRACT:  Trichogramma pretiosum Riley is an important egg parasitoid and biological control agent of caterpillar pests. We studied the acute toxicity of 20 pesticides (14 insecticides/miticides, three fungicides and three herbicides) exposed to recommended field rates. Egg, larval, and pupal stages of the parasitoid in their hosts were dipped in formulated solutions of the pesticides and evaluated 10 days later for percentage of host eggs with holes, number of parasitoids emerged per egg with holes, and stage-specific mortality of immature as well as adult wasps within the host eggs.Seven insecticides (buprofezin, chlorantraniliprole, spirotetramat, flonicamid, flubendiamide) and miticides (spiromesifen, cyflumetofen), one herbicide (nicosulfuron), and three fungicides (myclobutanil, pyraclostrobin, trifloxystrobin + tebuconazole) caused no significant mortality to immature stages or pre-emergent adult parasitoids relative to controls. By contrast, seven insecticides/miticides (abamectin, acetamiprid, dinotefuran, fipronil, novaluron, spinetoram, tolfenpyrad) adversely affected immature and pre-emergent adult T. pretiosum, with tolfenpyrad being particularly lethal. Two herbicides had moderate (glufosinate ammonium) to severe (s-metolachlor) acute lethal effects on the immature parasitoids.This study corroborates earlier findings with adult T. pretiosum. Over half of the pesticides - and all the fungicides - tested in the current study would appear to be compatible with the use of T. pretiosum in integrated pest management programs, with respect to acute parasitoid mortality. © 2017 Society of Chemical Industry.© 2017 Society of Chemical Industry.  KEYWORDS:  MeSH Chemical: Insecticides| Macrolides| Pyrazoles| Pyridines| Sulfonylurea Compounds| nicosulfuron| tolfenpyrad| spinetoram MeSH: | Animals| Dose-Response Relationship, Drug| Insecticides/majr/analysis/toxicity| Larva/drug effects/growth &amp; development| Macrolides/analysis/toxicity| Pupa/drug effects/growth &amp; development| Pyrazoles/analysis/toxicity| Pyridines/analysis/toxicity| Sulfonylurea Compounds/analysis/toxicity| Wasps/majr/drug effects/growth &amp; development Other:Trichogramma pretiosum|biological control|egg parasitoid|immature stages|pesticides</t>
  </si>
  <si>
    <t>PCPF-M model for simulating the fate and transport of pesticides and their metabolites in rice paddy field.    ABSTRACT:  The PCPF-1 model was improved for forecasting the fate and transport of metabolites in addition to parent compounds in rice paddies. In the new PCPF-M model, metabolites are generated from the dissipation of pesticide applied in rice paddies through hydrolysis, photolysis and biological degradations. The methodology to parameterize the model was illustrated using two scenarios for which uncertainty and sensitivity analyses were also conducted.In a batch degradation experiment, the hourly forecasted concentrations of fipronil and its metabolites in paddy water were very accurate. In a field-scale experiment, the hourly forecasted concentrations of fipronil in paddy water and paddy soil were accurate while the corresponding daily forecasted concentrations of metabolites were adequate. The major contributors to the variation of the forecasted metabolite concentrations in paddy water and paddy soil were the formation fractions of the metabolites. The influence of uncertainty included in input parameters on the forecasted metabolite concentration was high during the peak concentration of metabolite in paddy water. In contrast, in paddy soil, the metabolite concentrations forecasted several days after the initial pesticide application were sensitive to the uncertainty incorporated in the input parameters.The PCPF-M model simultaneously forecasts the concentrations of a parent pesticide and up to three metabolites. The model was validated using fipronil and two of its metabolites in paddy water and paddy soil. The model can be used in the early stage of the pesticide registration process and in risk assessment analysis for the evaluation of pesticide exposure. © 2017 Society of Chemical Industry.© 2017 Society of Chemical Industry.  KEYWORDS:  MeSH Chemical: Pesticides| Pyrazoles| Soil| Soil Pollutants| fipronil MeSH: | Biological Transport| Models, Theoretical| Oryza/majr/chemistry/metabolism| Pesticides/majr/chemistry/metabolism| Pyrazoles/majr/chemistry/metabolism| Soil/chemistry| Soil Pollutants/chemistry/metabolism Other:PCPF model|environmental fate|pesticide metabolites|rice paddy field|simulation model</t>
  </si>
  <si>
    <t>Treated wastewater effluent as a source of pyrethroids and fipronil at todos santos bay, Mexico: Its impact on sediments and organisms.    ABSTRACT:  Pyrethroids are insecticides widely used to control pests and disease vectors in residential areas and agricultural lands. Pyrethroids are emerging pollutants, and their use is a growing concern because of their toxicity potential to aquatic organisms. Todos Santos Bay and the Punta Banda estuary, 2 coastal bodies located to the south of the Southern California Bight, were studied to establish a baseline of the current conditions of pollution by pyrethroids and fipronil. Eight pyrethroids, along with fipronil and its 2 metabolites, were determined in effluents from wastewater-treatment plants (n = 3), surface sediments (n = 32), and 3 locations with mussels (Mytilus californianus, n = 9). Bifenthrin, permethrin, and cypermethrin were the most common pyrethroids found in the study areas and were widespread in sediments, mussels, and wastewater-treated effluents. Fipronil and its metabolites were detected in mussels and wastewater-treated effluents only. Total pyrethroid concentrations in sediments ranged from 0.04 to 1.95 ng/g dry weight in the Punta Banda estuary (n = 13) and from 0.07 to 6.62 ng/g dry weight in Todos Santos Bay (n = 19). Moreover, total pyrethroids in mussels ranged from 1.19 to 6.15 ng/g wet weight. Based on the toxic unit data calculated for pyrethroids and fipronil for Eohaustorius estuarius and Hyalella azteca, little to no impact is expected to the benthic population structure. Environ Toxicol Chem 2017;36:3057-3064. © 2017 SETAC.© 2017 SETAC.  KEYWORDS:  MeSH Chemical: Insecticides| Pesticide Residues| Pyrazoles| Pyrethrins| Waste Water| Water Pollutants, Chemical| cypermethrin| Permethrin| bifenthrin| fipronil MeSH: | Amphipoda/chemistry| Animals| Bays/chemistry| Estuaries| Geologic Sediments/majr/chemistry| Insecticides/majr/analysis| Mexico| Permethrin/analysis| Pesticide Residues/analysis| Pyrazoles/majr/analysis| Pyrethrins/majr/analysis| Waste Water/majr/chemistry| Water Pollutants, Chemical/majr/analysis Other:Fipronil|Insecticide|Municipal effluent|Mussel|Pyrethroid|Wastewater effluent</t>
  </si>
  <si>
    <t>Unidirectional Cross-Resistance in German Cockroach (Blattodea: Blattellidae) Populations Under Exposure to Insecticidal Baits.    ABSTRACT:  Insect pests, including the German cockroach, Blattella germanica (L.), are prone to the development of physiological resistance when exposed to a number of insecticide sprays, and cross-resistance is frequently observed. Toxic baits are often used as a primary method of controlling German cockroaches, also resulting in heavy selection pressure from insecticidal baits. In response to this pressure, cockroach populations have developed aversion to specific inert ingredients in bait. Here, we examined the effect of exposure to baits containing fipronil, indoxacarb, or hydramethylnon on the development of physiological resistance to the same and other insecticides in a number of German cockroach strains. We found that prolonged exposure to baits containing fipronil or indoxacarb increased physiological resistance to these compounds. However, no increase in physiological resistance against any insecticide was observed in response to exposure to hydramethylnon bait. Additionally, we found that exposure to fipronil bait increased cross-resistance to indoxacarb. On the other hand, exposure to indoxacarb bait did not increase cross-resistance to fipronil. Neither fipronil nor indoxacarb bait exposure increased resistance to hydramethylnon. Interestingly, the development of insecticide resistance in response to bait exposure was strain-dependent and influenced by bait palatability. Our results demonstrate that exposure to toxic baits, particularly those containing fipronil, plays a significant role in the development of insecticide resistance, including cross-resistance, in German cockroaches. Further, although insecticide resistance in response to baits is mediated by exposure through the oral route, the molecular mechanisms at play are likely different for each insecticide.© The Authors 2017. Published by Oxford University Press on behalf of Entomological Society of America. All rights reserved. For Permissions, please email: journals.permissions@oup.com.  KEYWORDS:  MeSH Chemical: Insecticides| Oxazines| Pheromones| Pyrazoles| Pyrimidinones| insect attractants| indoxacarb| hydramethylnon| fipronil MeSH: | Animals| Blattellidae/majr/drug effects/physiology| Insecticide Resistance/majr| Insecticides/majr/pharmacology| Oxazines/pharmacology| Pheromones/majr/pharmacology| Pyrazoles/pharmacology| Pyrimidinones/pharmacology Other:bait|exposure|insecticide|resistance|selection</t>
  </si>
  <si>
    <t>Fipronil-induced enantioselective developmental toxicity to zebrafish embryo-larvae involves changes in DNA methylation.    ABSTRACT:  Enantioselectivity in the aquatic toxicity of chiral pesticides has been widely investigated, while the molecular mechanisms remain unclear. Thus far, few studies has focused on genomic expression related to selective toxicity in chiral pesticide, nor on epigenetic changes, such as DNA methylation. Here, we used fipronil, a broad-spectrum insecticide, as a model chemical to probe its enantioselective toxicity in embryo development. Our results showed that S-(+)-fipronil caused severer developmental toxicity in embryos. The MeDIP-Seq analysis demonstrated that S-(+)-fipronil dysregulated a higher level of genomic DNA methylation than R-(-)-fipronil. Gene Ontology analysis revealed that S-(+)-fipronil caused more differentially methylated genes that are involved in developmental processes. Compared with R-(-)-fipronil, S-(+)-fipronil significantly disrupted 7 signaling pathways (i.e., mitogen-activated protein kinases, tight junctions, focal adhesion, transforming growth factor-β, vascular smooth muscle contraction, and the hedgehog and Wnt signaling pathways) by hyper-methylation of developmentally related genes, which further induced the downregulation of those genes. Together, these data suggest that differences in DNA methylation may partly explain the enantioselectivity of fipronil to zebrafish embryos. The application of epigenetics to investigate the enantioselective toxicity mechanism of chiral chemicals would provide a further understanding of their stereoselectivity biological effects.  KEYWORDS:  MeSH Chemical: Insecticides| Pyrazoles| Zebrafish Proteins| fipronil MeSH: | Animals| DNA Methylation/majr/drug effects| Embryo, Nonmammalian/majr/drug effects/embryology/metabolism| Embryonic Development/drug effects/genetics| Gene Expression Regulation, Developmental/drug effects| Insecticides/chemistry/toxicity| Larva/genetics| Pyrazoles/majr/chemistry/toxicity| Stereoisomerism| Toxicity Tests/methods| Zebrafish/majr/embryology/genetics| Zebrafish Proteins/genetics</t>
  </si>
  <si>
    <t>Rapid screening and identification of chemical hazards in surface and drinking water using high resolution mass spectrometry and a case-control filter.    ABSTRACT:  Access to clean, safe drinking water poses a serious challenge to regulators, and requires analytical strategies capable of rapid screening and identification of potentially hazardous chemicals, specifically in situations when threats to water quality or security require rapid investigations and potential response. This study describes a fast and efficient chemical hazard screening strategy for characterising trace levels of polar organic contaminants in water matrices, based on liquid chromatography high resolution mass spectrometry with post-acquisition 'case-control' data processing. This method allowed for a rapid response time of less than 24 h for the screening of target, suspect and non-target unknown chemicals via direct injection analysis, and a second, more sensitive analysis option requiring sample pre-concentration. The method was validated by fortifying samples with a range of pesticides, pharmaceuticals and personal care products (n = 46); with &gt;90% of target compounds positively screened in samples at 1 ng mL-1, and 46% at 0.1 ng mL-1 when analysed via direct injection. To simulate a contamination event samples were fortified with compounds not present in the commercial library (designated 'non-target compounds'; fipronil and fenitrothion), tentatively identified at 0.2 and 1 ng mL-1, respectively; and a compound not included in any known commercial library or public database (designated 'unknown' compounds; 8Cl- perfluorooctanesulfonic acid), at 0.8 ng mL-1. The method was applied to two 'real-case' scenarios: (1) the assessment of drinking water safety during a high-profile event in Brisbane, Australia; and (2) to screen treated, re-circulated drinking water and pre-treated (raw) water. The validated workflow was effective for rapid prioritisation and screening of suspect and non-target potential hazards at trace levels, and could be applied to a wide range of matrices and investigations where comparison of organic contaminants between an affected and control site and or timeframe is warranted.Copyright © 2017 Elsevier Ltd. All rights reserved.  KEYWORDS:  MeSH Chemical: Drinking Water| Hazardous Substances| Pesticides| Water Pollutants, Chemical MeSH: | Australia| Chromatography, Liquid/methods| Databases, Factual| Drinking Water/analysis| Hazardous Substances/majr/analysis| High-Throughput Screening Assays/methods/standards| Mass Spectrometry/majr/methods/standards| Pesticides/analysis| Water Pollutants, Chemical/majr/analysis Other:Data reduction strategy|Hazard identification|LC-QTOF|Suspect screening|Water monitoring</t>
  </si>
  <si>
    <t>The effectiveness of a fixed-dose combination pour-on formulation of 1.25% fipronil and 2.5% fluazuron against economically important ectoparasites and associated pharmacokinetics in cattle.    ABSTRACT:  The present work consisted of eight studies to evaluate the ectoparasiticidal spectrum and determine the pharmacokinetic parameters of a pour-on combination of fipronil 1.25mg/kg+fluazuron 2.5mg/kg for cattle against Rhipicephalus microplus, Haematobia irritans and the larvae of Dermatobia hominis and Cochliomyia hominivorax. The analysis fipronil and fluazuron were performed by liquid chromatography using a mass detector for the detection and quantification of analytes (LC-MS/MS). Additionally, in two of these studies, the animals were artificially infested with R. microplus ticks (stall tests), and the efficacy of this formulation was compared with that of two other standalone pour-on formulations of fipronil 1.0mg/kg and fluazuron 2.5mg/kg. In the two stall studies, 28 calves were artificially infested with 5000 R. microplus (different strains), and daily collections of all of the engorged female ticks that detached from each calf were performed until 60 and 100days post-treatment (dpt). For the R. microplus field trials, 20 bovines were selected by counting the semi-engorged females, and the therapeutic and residual efficacy was evaluated by taking tick counts at 3, 7, 14, 21, 28, 35, 42, 49 and 56dpt. Forty bovines that were naturally infested with Dermatobia hominis larvae were selected, and the numbers of larvae were counted by visual and tactile inspection on 3, 7, 14, 28, 35, 42 and 49dpt. To address the efficacy on C. hominivorax larvae, two circular skin incisions (one on each side of the body) measuring approximately 4cm in diameter each were made in 12 crossbred calves, and the natural exposure of the lesions to C. hominivorax infestations was then allowed. The incisions from the 12 animals were carefully examined daily from 1 to 10dpt. Based on the PK results obtained for this pour-on combination containing fipronil 1.25mg/kg+fluazuron 2.5mg/kg, the maximum concentrations (Cmax) and the half-lives (T1/2) of these two active ingredients were detected on days 2, 5/6 and 19 (±2)/24, 4 (±3.5) days for fipronil and fluazuron, respectively. Furthermore, the combination showed higher therapeutic and residual efficacy against R. microplus (P≤0.05) when compared with commercial standalone formulations that were administered separately. A high efficacy for this new combination was also found against C. hominivorax and D. hominis larvae (efficacy≥99%). This study's results show that the combination of these two active ingredients, as opposed to their separate use, could represent a tool for extending the life cycle of these two molecules against cattle ectoparasites, especially R. microplus. Further studies would be desirable to further confirm this.Copyright © 2017 Elsevier B.V. All rights reserved.  KEYWORDS:  MeSH Chemical: Phenylurea Compounds| Pyrazoles| fipronil| fluazuron MeSH: | Animals| Cattle| Cattle Diseases/majr/drug therapy/parasitology| Drug Compounding| Drug Therapy, Combination| Ectoparasitic Infestations/majr/drug therapy/parasitology/veterinary| Female| Larva/drug effects| Muscidae/majr/drug effects| Phenylurea Compounds/majr/administration &amp; dosage/pharmacokinetics/therapeutic use| Pyrazoles/majr/administration &amp; dosage/pharmacokinetics/therapeutic use| Rhipicephalus/majr/drug effects| Tick Infestations/drug therapy/parasitology Other:Cattle|Dermatobia hominis|Fipronil|Fluazuron|Pharmacokinetic|Rhipicephalus microplus|Screwworm</t>
  </si>
  <si>
    <t>Fipronil washoff to municipal wastewater from dogs treated with spot-on products.    ABSTRACT:  Fipronil and fipronil degradates have been reported in treated wastewater effluent at concentrations that exceed USEPA Aquatic Life Benchmarks, posing a potential risk to the surface waters to which they discharge. Fipronil is a common insecticide found in spot-on flea and tick treatment products that have the potential for down-the-drain transport and direct washoff into surface water. Volunteers currently treating their dogs with a fipronil-containing spot-on product were recruited. Dogs were washed either 2, 7, or 28days after product application, and rinsate from 34 discrete bathing events were analyzed by LC-MS/MS for fipronil and fipronil degradates (collectively known as fiproles). Total fipronil application dosage ranged from 67.1-410.0mg per dog following manufacturers' recommendation based on dog body weight. Total mass of fiproles measured in rinsate ranged from 3.6-230.6mg per dog (0.2 ̶ 86.0% of mass applied). Average percentage of fiproles detected in rinsate generally decreased with increasing time from initial application: 21±22, 16±13, and 4±5% respectively for 2, 7, and 28days post application. Fipronil was the dominant fiprole, &gt;63% of total fiproles for all samples and &gt;92% of total fiproles in 2 and 7day samples. Results confirm a direct pathway of pesticides to municipal wastewater through the use of spot-on products on dogs and subsequent bathing by either professional groomers or by pet owners in the home. Comparisons of mass loading calculated using California sales data and recent wastewater monitoring results suggest fipronil-containing spot-on products are a potentially important source of fipronil to wastewater treatment systems in California. This study highlights the potential for other active ingredients (i.e., bifenthrin, permethrin, etofenprox, imidacloprid) contained in spot-on and other pet products (i.e., shampoos, sprays) to enter wastewater catchments through bathing activities, posing a potential risk to the aquatic organisms downstream of wastewater discharge.Copyright © 2017 Elsevier B.V. All rights reserved.  KEYWORDS:  MeSH Chemical: Insecticides| Pyrazoles| Waste Water| fipronil MeSH: | Animals| California| Dog Diseases/prevention &amp; control| Dogs| Insecticides/majr/analysis| Pyrazoles/majr/analysis| Waste Water/majr/analysis Other:Fipronil|Pesticides|Pet flea and tick products|Wastewater</t>
  </si>
  <si>
    <t>Lungworms and gastrointestinal parasites of domestic cats: a European perspective.    ABSTRACT:  With the exception of Aelurostrongylus abstrusus, feline lungworms have been poorly studied. Information on their distribution is patchy and mostly limited to case reports. In this study, the occurrence of feline lungworms and co-infecting gastrointestinal parasites has been investigated in 12 European countries (i.e. Austria, Belgium, Bulgaria, France, Greece, Hungary, Italy, Portugal, Romania, Spain, Switzerland and the United Kingdom). An average of 10 domestic cats, with regular outdoor access, was sampled each month for 12months, and freshly passed faeces were collected. Stools were processed using a McMaster assay and a quantitative Baermann-Wetzel method. Animals positive for lungworms and/or gastrointestinal parasites were treated with a formulation containing fipronil, (S)-methoprene, eprinomectin, and praziquantel (Broadline®, Merial), and re-sampled 28days post-treatment. The association between lungworm infection and risk factors was analysed using statistical medians/means and the efficacy of the treatment against each lungworm species was assessed. Of 1990 cats sampled, 613 (30.8%) were positive for at least one parasite, while 210 (10.6%) were infected by lungworms. The prevalence of lungworm infection varied between the sampled sites, with the highest recorded in Bulgaria (35.8%) and the lowest in Switzerland (0.8%). None of the cats from Austria or the United Kingdom were infected by lungworms. Aelurostrongylus abstrusus was the species most frequently detected (78.1%), followed by Troglostrongylus brevior (19.5%), Eucoleus aerophilus (14.8%) and Oslerus rostratus (3.8%). The overall efficacy of the treatment was 99% for A. abstrusus and 100% for T. brevior, O. rostratus and E. aerophilus. Data presented provide a comprehensive account of the diagnosis, epidemiology and treatment of feline lungworms in Europe, as well as of the occurrence of co-infections by gastrointestinal parasites.Copyright © 2017 The Author(s). Published by Elsevier Ltd.. All rights reserved.  KEYWORDS:  MeSH Chemical: DNA, Helminth MeSH: | Animals| Cat Diseases/majr/drug therapy/epidemiology/parasitology| Cats| DNA, Helminth/chemistry| Europe/epidemiology| Feces/parasitology| Female| Intestinal Diseases, Parasitic/majr/drug therapy/epidemiology/parasitology/veterinary| Larva/anatomy &amp; histology| Lung Diseases, Parasitic/majr/drug therapy/epidemiology/parasitology/veterinary| Male| Metastrongyloidea/majr/classification/genetics/isolation &amp; purification| Parasitic Diseases, Animal/majr/drug therapy/epidemiology/parasitology| Prevalence| Risk Factors| Strongylida Infections/majr/drug therapy/epidemiology/parasitology/veterinary Other:Broadline®|Cats|Diagnosis|Epidemiology|Gastrointestinal parasites|Lungworms|Treatment</t>
  </si>
  <si>
    <t>A field trial of a fixed combination of permethrin and fipronil (Effitix®) for the treatment and prevention of flea infestation in dogs living with sheep.    ABSTRACT:  A large number of fleas parasitize dogs living with sheep in Greece. The primary aim of this randomized, blinded, placebo-controlled trial was to examine the efficacy of a permethrin-fipronil combination (Effitix®) for the treatment and prevention of flea infestation in dogs living with sheep and the secondary aim was to examine the efficacy of this intervention on flea infestation, pruritus and skin lesions of the people in contact with these dogs.Thirty dogs living with sheep and infested by at least 10 fleas and all 80 sheep living on the same premises were randomly allocated into equal groups. Group A dogs were treated three times, every 4 weeks, with a spot-on containing 54.5% permethrin and 6.1% fipronil, group A sheep were treated, on the same days, with a pour-on containing 1% deltamethrin, whereas group B dogs were sham-treated and group B sheep were placebo-treated. Flea counting was performed at the beginning of the trial (day 0) and after 14, 28, 56 and 84 days and the first five fleas from each animal were used for species identification. At the same time points, flea infestation, pruritus and skin lesions of the people in contact with the dogs were assessed.The percentage of dogs with zero flea counts was significantly higher in group A than in group B on days 14, 28, 56 and 84 and flea counts were significantly lower in group A dogs than in group B dogs at the same time points. The percent efficacy of the permethrin-fipronil combination was higher than 78% (arithmetic means) or than 96% (geometric means) throughout the study. No adverse reactions were recorded. Between the two flea species found on dogs, Ctenocephalides canis was predominant over C. felis. Flea-infected sheep were not found at the beginning or during the study and no significant changes in flea infestation, pruritus and skin lesions of the people in contact with the dogs were witnessed throughout the study.A spot-on solution containing 54.5% permethrin and 6.1% fipronil is safe and effective for the treatment and prevention of C. canis and C. felis infestations in dogs living with sheep.  KEYWORDS:  MeSH Chemical: Drug Combinations| Insecticides| Placebos| Pyrazoles| Permethrin| fipronil MeSH: | Animals| Disease Transmission, Infectious/majr/prevention &amp; control| Dog Diseases/majr/drug therapy/prevention &amp; control| Dogs| Drug Combinations| Flea Infestations/majr/drug therapy/pathology/prevention &amp; control/veterinary| Greece| Humans| Insecticides/majr/administration &amp; dosage/adverse effects| Parasite Load| Permethrin/majr/administration &amp; dosage/adverse effects| Placebos/administration &amp; dosage| Pyrazoles/majr/administration &amp; dosage/adverse effects| Sheep| Sheep Diseases/majr/drug therapy/prevention &amp; control| Treatment Outcome| Zoonoses/transmission Other:Canine|Ctenocephalides canis|Ctenocephalides felis|Fleas|Insecticide|Livestock</t>
  </si>
  <si>
    <t>Rapid Throughput Analysis of GABAA Receptor Subtype Modulators and Blockers Using DiSBAC1(3) Membrane Potential Red Dye.    ABSTRACT:  Fluorometric imaging plate reader membrane potential dye (FMP-Red-Dye) is a proprietary tool for basic discovery and high-throughput drug screening for G-protein-coupled receptors and ion channels. We optimized and validated this potentiometric probe to assay functional modulators of heterologous expressed GABAA receptor (GABAAR) isoforms (synaptic α1β3γ2, extrasynaptic α4β3δ, and β3 homopentomers). High-resolution mass spectrometry identified FMP-Red-Dye as 5,5'-(1-propen-1-yl-3-ylidene)bis[1,3-dimethyl-2-thio-barbituric acid]. GABAAR-expressing cells equilibrated with FMP-Red-Dye exhibited depolarized equilibrium membrane potentials compared with GABAAR-null cells. The channel blockers picrotoxin, fipronil, and tetramethylenedisulfotetramine, and the competitive antagonist bicuculline reduced fluorescence near the levels in GABAAR-null cells indicating that FMR-Red-Dye, a barbiturate derivative, activates GABAAR-mediated outward Cl- current in the absence of GABA. GABA caused concentration-dependent increases in fluorescence with rank order of potencies among GABAAR isoforms consistent with results from voltage-clamp experiments (EC50 values for α4β3δ, α1β3γ2, and β3 homopentamers were 6 ± 1, 40 ± 11, and &gt;18 mM, respectively), whereas GABAAR-null cells were unresponsive. Neuroactive steroids (NAS) increased fluorescence of GABAAR expressing cells in the absence of GABA and demonstrated positive allosteric modulation in the presence of GABA, whereas benzodiazepines only exhibited positive allosteric modulator (PAM) activity. Of 20 NAS tested, allopregnanolone, (3α,5α,20E)-3-hydroxy-13,24-cyclo-18-norcholan-20-ene-21-carbonitrile, eltanolone, 5β-pregnan-3α,21-diol-20-one, and ganaxolone showed the highest potency. The FMP-Red-Dye-based assay described here provides a sensitive and quantitative method of assessing the activity of GABAAR agonists, antagonists, and PAMs on diverse GABAAR isoforms. The assay has a wide range of applications, including screening for antiseizure agents and identifying channel blockers of interest to insecticide discovery or biosecurity.Copyright © 2017 by The American Society for Pharmacology and Experimental Therapeutics.  KEYWORDS:  MeSH Chemical: Fluorescent Dyes| GABA Antagonists| GABA Modulators| Protein Subunits| Receptors, GABA-A MeSH: | Animals| Dose-Response Relationship, Drug| Fluorescent Dyes/majr/metabolism/pharmacology| GABA Antagonists/majr/metabolism/pharmacology| GABA Modulators/majr/metabolism/pharmacology| HEK293 Cells| Humans| Membrane Potentials/majr/drug effects/physiology| Mice| Protein Subunits/majr/antagonists &amp; inhibitors/metabolism| Receptors, GABA-A/majr/metabolism</t>
  </si>
  <si>
    <t>Efficacy and safety of a new spot-on formulation of selamectin plus sarolaner in the treatment of naturally occurring flea and tick infestations in cats presented as veterinary patients in Europe.    ABSTRACT:  Two randomised, blinded, multi-centre field studies were conducted in Europe (Germany, Italy, France, Hungary) to demonstrate the efficacy and safety of three monthly applications of a new spot-on formulation of selamectin plus sarolaner (Stronghold® Plus, Zoetis) against natural flea or tick infestations in cats presented as veterinary patients. The spot-on formulation was administered at the commercial dose range of 6.0-12.0mg selamectin and 1.0-2.0mg sarolaner per kg bodyweight. In the flea study, the improvement in clinical signs associated with flea allergy dermatitis (FAD) was also monitored. Imidacloprid plus moxidectin (Advocate® for Cats, Bayer) and fipronil (Frontline® Spot on, Merial) were used as positive control products in the flea and tick studies, respectively. Treatments were administered on Days 0, 30 and 60. Efficacy was calculated based on the mean percent reduction of live parasite counts on post-treatment days 14, 30, 60 and 90 versus the pre-treatment count on Day 0. Non-inferiority of selamectin/sarolaner to the control products was assessed at each time-point using a non-inferiority margin of 15% at the one-sided 0.025 significance level. Cats were enrolled in a 2:1 ratio (selamectin/sarolaner:comparator). In the flea study, 277 cats were assessed for efficacy and safety, and an additional 170 cats were assessed for safety only. On days 14, 30, 60 and 90, efficacy against fleas was 97.4%, 97.3%, 98.8% and 99.4% in the selamectin/sarolaner-treated group and was 90.0%, 83.6%, 87.7% and 96.3% in the imidacloprid/moxidectin-treated group, respectively. Selamectin/sarolaner was non-inferior to imidacloprid/moxidectin at all time-points. For the 16 cats identified as having FAD at enrolment, clinical signs related to FAD improved following treatment administration. In the tick study, 200 cats were assessed for efficacy and safety, and a further 70 cats were assessed for safety only. Four tick species were identified. Overall efficacy against ticks was 96.7%, 92.6%, 98.8% and 99.5% in the selamectin/sarolaner-treated group and was 90.2%, 74.6%, 83.0% and 93.4% in the fipronil-treated group on Days 14, 30, 60 and 90, respectively. Selamectin/sarolaner was non-inferior to fipronil at all time-points, and was superior on Days 30 and 60. There were no serious treatment-related adverse events in any study. Thus, the new spot-on formulation of selamectin plus sarolaner administered at monthly intervals was safe and highly effective against natural infestations of fleas and ticks on cats, and improved clinical signs of FAD.Copyright © 2017 Zoetis Services LLC. Published by Elsevier B.V. All rights reserved.  KEYWORDS:  MeSH Chemical: Antiparasitic Agents| Imidazoles| Isoxazoles| Macrolides| Neonicotinoids| Nitro Compounds| Pyrazoles| imidacloprid| Ivermectin| selamectin| moxidectin| fipronil MeSH: | Administration, Topical| Animals| Antiparasitic Agents/administration &amp; dosage| Cat Diseases/majr/drug therapy| Cats| Europe| Female| Flea Infestations/majr/drug therapy/veterinary| Imidazoles/administration &amp; dosage| Isoxazoles/majr/administration &amp; dosage| Ivermectin/majr/administration &amp; dosage/analogs &amp; derivatives| Macrolides/administration &amp; dosage| Male| Neonicotinoids| Nitro Compounds/administration &amp; dosage| Pyrazoles/administration &amp; dosage| Tick Infestations/majr/drug therapy/veterinary| Treatment Outcome Other:Efficacy|Field study|Flea|Isoxazoline|Safety|Sarolaner|Selamectin|Stronghold|Tick</t>
  </si>
  <si>
    <t>Evaluation of the Potential for Secondary Kill for Ingested Insecticides in the Common Bed Bug (Hemiptera: Cimicidae).    ABSTRACT:  Baits are a preferred method of urban pest management. Baits enable more targeted insecticide applications with a fraction of the active ingredient used in residual sprays. Bait translocation by foragers, and consequent secondary kill of nonforagers, enhances bait effectiveness in social insects, and in other group-living species like German cockroaches (Blattella germanica L.). We investigated the potential for secondary kill in bed bugs (Cimex lectularius L.), another gregarious species, using a liquid bait. We first investigated whether blood-fed adults enhance nymph survivorship within aggregations by increasing the local relative humidity (RH) and providing fecal nutrients. Higher RH (50% and 95%) resulted in greater survivorship of first instars compared with 0% RH. Therefore, in subsequent experiments, we controlled RH to decouple its effect on nymph survivorship from effects of fecal nutrients. The presence of fed or unfed adults did not increase unfed first instar survivorship, suggesting that if nymphs ingested feces, its nutritional benefits were minimal. Nymph survivorship was unaffected by the presence of adult males fed fipronil or clothianidin, suggesting that unlike in cockroaches, highly effective insecticides might not be effective as secondary kill toxicants in bed bugs. To directly compare secondary kill in first-instar bed bugs and B. germanica, we exposed both to insecticide-laden adult B. germanica feces. Whereas first-instar B. germanica died in the presence of insecticide-laden feces, bed bugs did not. We, therefore, conclude that secondary kill with neuroactive insecticides will likely not be a significant factor in bed bug population suppression.© The Authors 2017. Published by Oxford University Press on behalf of Entomological Society of America. All rights reserved. For Permissions, please email: journals.permissions@oup.com.  KEYWORDS:  MeSH Chemical: Insecticides MeSH: | Animal Nutritional Physiological Phenomena| Animals| Bedbugs/majr/drug effects/growth &amp; development/physiology| Feces/chemistry| Feeding Behavior| Humidity| Insect Control/majr/methods| Insecticides/majr/pharmacology| Longevity/drug effects| Male| Nymph/drug effects/growth &amp; development/physiology Other:Blattella germanica|Cimex lectularius|German cockroach|bed bug|secondary kill</t>
  </si>
  <si>
    <t>Insecticide Resistance of Several Field-Collected German Cockroach (Dictyoptera: Blattellidae) Strains.    ABSTRACT:  German cockroaches, Blattella germanica (L.), remain one of the most difficult indoor insect species to control because of its ability to develop resistance to insecticides. The toxicity and resistance levels of five technical-grade insecticides (permethrin, chlorpyrifos, propoxur, imidacloprid, and fipronil) were determined for adult males of seven strains of the German cockroach, a laboratory-reared susceptible strain (S) and six field-collected strains (B, D, E, G, H, and I). Using topical application methods, fipronil was the most toxic insecticide to all seven strains. The LD50 values of fipronil in the susceptible strain (S) and the field-collected strains B, D, E, G, H, and I were 1.33, 2.62, 11.53, 5.07, 7.66, 5.15, and 10.15 ng/insect, respectively. The field-collected strains were most resistant to permethrin among the five insecticides, except for strain H. The resistance ratios of strains B, D, E, G, and I to permethrin were 31.8, 37.3, 51.9, 34.9, and 37.5, respectively. With a resistance ratio of 6.4, the field-collected strain H was most resistant to chlorpyrifos. The field-collected strains were not significantly resistant to propoxur. Strains B, H, and I were not significantly resistant to imidacloprid when compared with the susceptible strain. Based on the different resistance ratios for each insecticide, we conclude that there are high rates of insecticide resistance in German cockroaches from Franklin County, NC, and that the field-collected strains most likely had different treatment histories.© The Authors 2017. Published by Oxford University Press on behalf of Entomological Society of America. All rights reserved. For Permissions, please email: journals.permissions@oup.com.  KEYWORDS:  MeSH Chemical: Insecticides MeSH: | Animals| Blattellidae/majr/drug effects| Insecticide Resistance/majr| Insecticides/majr/pharmacology| Male Other:Blattella germanica|insecticide resistance|topical application|toxicity</t>
  </si>
  <si>
    <t>Development of Diagnostic Insecticide Concentrations and Assessment of Insecticide Susceptibility in German Cockroach (Dictyoptera: Blattellidae) Field Strains Collected From Public Housing.    ABSTRACT:  Insecticide resistance in German cockroaches (Blattella germanica (L.)) has been a barrier to effective control since its first documentation in the 1950s. A necessary first step toward managing resistance is to understand insecticide susceptibility profiles in field-collected strains so that active ingredients (AIs) with lowest resistance levels can be identified. As a first step in this study, diagnostic concentrations (DCs) were determined for 14 insecticide AIs based on lethal concentrations that killed 99% or 90% of the individuals from a susceptible lab strain (JWax-S). Next, cockroaches were collected from two low-income multifamily housing complexes in Danville, IL, and Indianapolis, IN, and used to establish laboratory strains. These strains were screened against the 14 AI-DCs in vial bioassays, and susceptibility profiles were determined by comparing percent mortalities between the field strains relative to the JWax-S strain. Results revealed lowest resistance of field strains to boric acid, abamectin, dinotefuran, clothianidin, thiamethoxam, and chlorfenapyr. For the AIs hydramethylnon and imidacloprid, field strains did not display survivorship different than the lab strain, but &gt;90% mortality was never achieved. Lastly, both field strains displayed resistance to indoxacarb, fipronil, acetamiprid, beta-cyfluthrin, bifenthrin, and lambda-cyhalothrin, but at varying levels. These results satisfy two objectives. First, baseline monitoring DCs were established for 14 insecticides presently registered for use against cockroaches, which represents a useful resource. Second, our findings reveal insecticide AIs with lowest resistance levels for use in forthcoming field studies that will investigate impacts of different insecticide deployment strategies on resistance management and evolution in cockroach field populations.© The Authors 2017. Published by Oxford University Press on behalf of Entomological Society of America.  KEYWORDS:  MeSH Chemical: Insecticides MeSH: | Animals| Blattellidae/majr/drug effects| Insect Control/majr/methods| Insecticide Resistance/majr| Insecticides/majr/pharmacology| Public Housing Other:fipronil|indoxacarb|insecticide resistance|pyrethroid|resistance management</t>
  </si>
  <si>
    <t>Involvement of vimentin in neurite outgrowth damage induced by fipronil in SH-SY5Y cells.    ABSTRACT:  Fipronil, a phenylpyrazole insecticide, is more selective in its potency towards insects than humans and is thus commonly used. In this study, we demonstrated that exposure to fipronil may pose a human health risk. We observed in vitro the shortening of neurite outgrowths of SH-SY5Y neuroblastoma cells upon treatment with fipronil, even at a non-cytotoxic concentration. Fipronil induced apoptosis involving caspase-6, which is an apoptotic effector highly implicated in neurodegenerative diseases. Moreover, at a concentration that did not induce apoptosis, mitochondrial dysfunction and autophagic vacuole formation were detected. Interestingly using proteomics, we identified vimentin to be dramatically expressed by SH-SY5Y cells as a response to fipronil treatment. Not only did the expression of total vimentin increase, different isoforms were observed, indicating alterations in post-translational modifications. Vimentin was localized at the neurite outgrowth, possibly to repair the damage in cellular structure. However at high concentrations of fipronil, vimentin was found in less defined fibrils, in bridge-like formation, and dense surrounding vacuoles. In all, our results indicate that vimentin plays an important role in fipronil-induced neurotoxicity in SH-SY5Y cells.Copyright © 2017 Elsevier Inc. All rights reserved.  KEYWORDS:  MeSH Chemical: Insecticides| Protein Isoforms| Pyrazoles| Vimentin| CASP6 protein, human| Caspase 6| fipronil MeSH: | Apoptosis/drug effects| Caspase 6/genetics/metabolism| Cell Line, Tumor| Gene Expression Regulation| Humans| Insecticides/majr/toxicity| Mitochondria/drug effects/metabolism/ultrastructure| Neuronal Outgrowth/majr/drug effects| Neurons/majr/drug effects/metabolism/ultrastructure| Protein Isoforms/agonists/genetics/metabolism| Pyrazoles/majr/toxicity| Vacuoles/drug effects/metabolism/ultrastructure| Vimentin/majr/agonists/genetics/metabolism Other:Apoptosis|Autophagy|Fipronil|Neurite outgrowth damage|Neuron|Vimentin</t>
  </si>
  <si>
    <t>The effects of fipronil and the photodegradation product fipronil desulfinyl on growth and gene expression in juvenile blue crabs, Callinectes sapidus, at different salinities.    ABSTRACT:  Endocrine disrupting compounds (EDCs) are now widely established to be present in the environment at concentrations capable of affecting wild organisms. Although many studies have been conducted in fish, less is known about effects in invertebrates such as decapod crustaceans. Decapods are exposed to low concentrations of EDCs that may cause infertility, decreased growth, and developmental abnormalities. The objective herein was to evaluate effects of fipronil and its photodegradation product fipronil desulfinyl. Fipronil desulfinyl was detected in the eggs of the decapod Callinectes sapidus sampled off the coast of South Carolina. As such, to examine specific effects on C. sapidus exposed in early life, we exposed laboratory-reared juveniles to fipronil and fipronil desulfinyl for 96h at three nominal concentrations (0.01, 0.1, 0.5μg/l) and two different salinities (10, 30ppt). The size of individual crabs (weight, carapace width) and the expression of several genes critical to growth and reproduction were evaluated. Exposure to fipronil and fipronil desulfinyl resulted in significant size increases in all treatments compared to controls. Levels of expression for vitellogenin (Vtg), an egg yolk precursor, and the ecdysone receptor (EcR), which binds to ecdysteroids that control molting, were inversely correlated with increasing fipronil and fipronil desulfinyl concentrations. Effects on overall growth and on the expression of EcR and Vtg differ depending on the exposure salinity. The solubility of fipronil is demonstrated to decrease considerably at higher salinities. This suggests that fipronil and its photodegradation products may be more bioavailable to benthic organisms as salinity increases, as more chemical would partition to tissues. Our findings suggest that endocrine disruption is occurring through alterations to gene expression in C. sapidus populations exposed to environmental levels of fipronil, and that effects may be dependent upon the salinity at which exposure occurs.Copyright © 2017 Elsevier B.V. All rights reserved.  KEYWORDS:  MeSH Chemical: Pyrazoles| Solutions| Water Pollutants, Chemical| fipronil MeSH: | Analysis of Variance| Animals| Brachyura/majr/drug effects/genetics/growth &amp; development| Gene Expression Regulation, Developmental/majr/drug effects| Ovum/drug effects| Photolysis/majr/drug effects| Pyrazoles/majr/pharmacology| Salinity/majr| Solutions| Water Pollutants, Chemical/toxicity Other:Crustacean|Decapod|Ecdysone receptor|Endocrine disruption|Fipronil|Fipronil desulfinyl|Salinity|Vitellogenin</t>
  </si>
  <si>
    <t>Salinity impacts on water solubility and n-octanol/water partition coefficients of selected pesticides and oil constituents.    ABSTRACT:  Salinity has been reported to influence the water solubility of organic chemicals entering marine ecosystems. However, limited data are available on salinity impacts for chemicals potentially entering seawater. Impacts on water solubility would correspondingly impact chemical sorption as well as overall bioavailability and exposure estimates used in the regulatory assessment. The pesticides atrazine, fipronil, bifenthrin, and cypermethrin, as well as the crude oil constituent dibenzothiophene together with 3 of its alkyl derivatives, all have different polarities and were selected as model compounds to demonstrate the impact of salinity on their solubility and partitioning behavior. The n-octanol/water partition coefficient (KOW ) was measured in both distilled-deionized water and artificial seawater (3.2%). All compounds had diminished solubility and increased KOW values in artificial seawater compared with distilled-deionized water. A linear correlation curve estimated salinity may increase the log KOW value by 2.6%/1 log unit increase in distilled water (R2  = 0.97). Salinity appears to generally decrease the water solubility and increase the partitioning potential. Environmental fate estimates based on these parameters indicate elevated chemical sorption to sediment, overall bioavailability, and toxicity in artificial seawater. These dramatic differences suggest that salinity should be taken into account when exposure estimates are made for marine organisms. Environ Toxicol Chem 2017;36:2274-2280. © 2017 SETAC.© 2017 SETAC.  KEYWORDS:  MeSH Chemical: Pesticides| Petroleum| Thiophenes| Water Pollutants, Chemical| Water| 1-Octanol| dibenzothiophene MeSH: | 1-Octanol/majr/chemistry| Distillation| Pesticides/majr/chemistry| Petroleum/majr/analysis| Salinity| Seawater/chemistry| Solubility| Thiophenes/chemistry| Water/majr/chemistry| Water Pollutants, Chemical/majr/chemistry Other:Bioavailability|Octanol/water partition coefficient|Pesticides|Salinity|Solubility</t>
  </si>
  <si>
    <t>Assessment of the toxic effect of pesticides on honey bee drone fertility using laboratory and semifield approaches: A case study of fipronil.    ABSTRACT:  Concern about the reproductive toxicity of plant protection products in honey bee reproducers is increasing. Because the reproductive capacity of honey bees is not currently considered during the risk assessment procedure performed during plant protection product registration, it is important to provide methods to assess such potential impairments. To achieve this aim, we used 2 different approaches that involved semifield and laboratory conditions to study the impact of fipronil on drone fertility. For each approach, the drones were reared for 20 d, from emergence to sexual maturity, and exposed to fipronil via a contaminated sugar solution. In both groups, the effects of fipronil were determined by studying life traits and fertility indicators. The results showed that the survival and maturity rates of the drones were better under laboratory conditions than under semifield conditions. Moreover, the drones reared under laboratory conditions produced more seminal fluid. Although these differences could be explained by environmental factors that may vary under semifield conditions, it was found that regardless of the approach used, fipronil did not affect survival rates, maturity rates, or semen volumes, whereas it did affect fertility by inducing a decrease in spermatozoa quantity that was associated with an increase in spermatozoa mortality. These results confirm that fipronil affects drone fertility and support the relevance of each approach for assessing the potential reproductive toxicity of plant protection products in honey bees. Environ Toxicol Chem 2017;36:2345-2351. © 2017 The Authors. Environmental Toxicology and Chemistry published by Wiley Periodicals, Inc. on behalf of SETAC.© 2017 The Authors. Environmental Toxicology and Chemistry published by Wiley Periodicals, Inc. on behalf of SETAC.  KEYWORDS:  MeSH Chemical: Pesticides| Pyrazoles| fipronil MeSH: | Animals| Bees/majr/drug effects/physiology| Fertility/drug effects| Male| Pesticides/majr/toxicity| Pyrazoles/majr/toxicity| Reproduction/drug effects| Spermatozoa/cytology/drug effects Other:Drone|Honey bee|Plant protection products|Reproductive toxicity|Risk assessment</t>
  </si>
  <si>
    <t>Study of Synergism, Antagonism, and Resistance Mechanisms in Insecticide-Resistant Oxycarenus hyalinipennis (Hemiptera: Lygaeidae).    ABSTRACT:  Oxycarenus hyalinipennis Costa (Hemiptera: Lygaeidae) is an economic and key pest of the Malvaceae family widely distributed in the world. Significant field resistance to cypermethrin (26.69-fold), chlorpyrifos (32.60-fold), methomyl (10.87), acetamiprid (20.63-fold), fipronil (5.84-fold), and spirotetramat (116.02-fold) has been reported. Cypermethrin combined with methomyl and spirotetramat, methomyl with spirotetramat, acetamiprid with spirotetramat, and fipronil with spirotetramat had synergistic effects (combination index, (CI) in a laboratory population of O. hyalinipennis named Lab-PK. Methomyl combined with acetamiprid and acetamiprid with fipronil had synergistic effects on O. hyalinipennis in a field in Multan named Field-POP. Cypermethrin combined with methomyl and spirotetramat; chlorpyrifos with methomyl, acetamiprid, and spirotetramat; methomyl with acetamiprid and spirotetramat; and fipronil with spirotetramat also had synergistic effects on O. hyalinipennis in Field-POP. Enzyme inhibitors piperonyl butoxide and S,S,S-tri-n-butyl phosphorotrithioate significantly increased the toxicity of chlorpyrifos, methomyl, acetamiprid, and spirotetramat to O. hyalinipennis in Field-POP, suggesting a monooxygenase- and esterase-based resistance mechanism. However, fipronil did not synergize with PBO and DEF. This study suggests that insecticide mixtures showing synergism must be determined for insecticide resistance management and other strategies such as rotations, mosaics, and cultural control should also be considered for the management of O. hyalinipennis.© The Authors 2017. Published by Oxford University Press on behalf of Entomological Society of America. All rights reserved. For Permissions, please email: journals.permissions@oup.com.  KEYWORDS:  MeSH Chemical: Aza Compounds| Insecticides| Neonicotinoids| Pesticide Synergists| Pyrazoles| Pyrethrins| Pyridines| Spiro Compounds| Methomyl| cypermethrin| spirotetramat| acetamiprid| Chlorpyrifos| Piperonyl Butoxide| fipronil MeSH: | Animals| Aza Compounds/pharmacology| Chlorpyrifos/pharmacology| Crop Protection/methods| Heteroptera/majr/drug effects| Insecticide Resistance/majr/drug effects/physiology| Insecticides/majr/pharmacology| Methomyl/pharmacology| Neonicotinoids| Pakistan| Pesticide Synergists/majr/pharmacology| Piperonyl Butoxide/pharmacology| Pyrazoles/pharmacology| Pyrethrins/pharmacology| Pyridines/pharmacology| Spiro Compounds/pharmacology Other:Lygaeidae|Oxycarenus hyalinipennis|Pakistan|mixture|synergism</t>
  </si>
  <si>
    <t>Effectiveness and residual speed of flea kill of a novel spot on formulation of spinetoram (Cheristin®) for cats.    ABSTRACT:  A spot-on spinetoram formulation (Cheristin®) was developed to eliminate fleas from infested cats. This paper describes three spinetoram studies: two for registration (Studies 1 and 2), and one comparing residual speed of kill (SOK) with topically applied fipronil/(S)-methoprene (FSM) and imidacloprid (Study 3).Cats were randomized to treatment based on flea counts from infestations placed within 2 weeks prior to treatment. In Studies 1 and 2, groups were untreated control and spinetoram; in Study 3, groups were untreated control, spinetoram, FSM and imidacloprid, all applied per label on Day 0. Cats were infested the day before treatment. In Studies 1 and 2, counts were completed 48 h post-treatment and after weekly challenges through 5 weeks. In Study 3, infestations were completed weekly through Day 28, with counts 1, 4, 8 and 12 h after treatment or post-infestation (PI). Efficacy was determined on geometric mean flea count reductions compared with controls, and in Study 3 mean flea counts in spinetoram-groups were compared with those in FSM and imidacloprid groups.In Studies 1 and 2, spinetoram effectiveness was 100% against existing infestations, and at least 96% through Day 37. In Study 3 mean counts were not significantly different from controls in any group until 8 h post-treatment when imidacloprid counts were significantly lower than spinetoram counts, which were in turn significantly lower than FSM counts (P &lt; 0.05). At 1 h PI spinetoram-group counts were significantly lower (P &lt; 0.05) than counts in: controls, all days; imidacloprid, Days 7, 14, and 28; FSM, Days 14 and 28. At 4 h PI, spinetoram mean counts were significantly lower (P &lt; 0.05) relative to: controls, all days; imidacloprid, Days 7, 14 and 21; FSM, Days 7, 14, 21 and 28 (P &lt; 0.05). On multiple occasions, at 8 and 12 h PI, mean counts were significantly lower (P &lt; 0.05) for spinetoram than for imidacloprid and FSM; at no point were FSM or imidacloprid significantly more effective than spinetoram against new infestations. All treatments were well tolerated.Spinetoram was highly effective for at least 1 month post-treatment and provided more rapid month-long residual SOK than FSM or imidacloprid.  KEYWORDS:  MeSH Chemical: Insecticides| Macrolides| spinetoram MeSH: | Administration, Topical| Animals| Cat Diseases/majr/drug therapy| Cats| Flea Infestations/majr/drug therapy/veterinary| Insecticides/majr/administration &amp; dosage/pharmacology| Macrolides/majr/administration &amp; dosage/pharmacology| Siphonaptera/majr/drug effects| Survival Analysis| Time Factors| Treatment Outcome Other:Cats|Cheristin|Fipronil|Fleas|Imidacloprid|Spinetoram</t>
  </si>
  <si>
    <t>Toxicity of four veterinary pharmaceuticals on the survival and reproduction of Folsomia candida in tropical soils.    ABSTRACT:  This study aimed to evaluate the effect of veterinary pharmaceuticals (VPs) used to control endo- and ectoparasites in ruminants, on the survival and reproduction of the collembolan species Folsomia candida. Standard ecotoxicological tests were conducted in Tropical Artificial Soil and the treatments consisted of increasing dosages of four commercial products with different active ingredients: ivermectin, fipronil, fluazuron and closantel. Ecotoxicological effects were related to the class and mode of action of the different compounds. Fipronil and ivermectin were the most toxic compounds causing a significant reduction in the number of juveniles at the lowest doses tested (LOECreprod values of 0.3 and 0.2 mg kg-1 of dry soil, respectively) and similar low EC50 values (fipronil: 0.19 mg kg-1 dry soil, CL95% 0.16-0.22; ivermectin: 0.43 mg kg-1 dry soil, CL95% 0.09-0.77), although the effects observed in the former compound were possibly related to a low adult survival (LC50 of 0.62 mg kg-1 dry soil; CL95%: 0.25-1.06). For the latter compound no significant lethal effects were observed. Fluazuron caused an intermediate toxicity (EC50 of 3.07 mg kg-1 dry soil, CL95%: 2.26-3.87), and also here a decrease in adult survival could explain the effects observed at reproduction. Closantel, despite showing a significant reduction on the number of juveniles produced, no dose-response relationship nor effects higher than 50% were observed. Overall, all tested compounds, especially ivermectin, when present in soil even at sub-lethal concentrations, can impair the reproduction of collembolans and possibly other arthropods. However, the actual risk to arthropod communities should be further investigated performing tests under a more realistic exposure (e.g., by testing the dung itself as the contaminated matrix) and by deriving ecotoxicologically relevant exposure concentration in soil derived from the presence of cattle dung.Copyright © 2017 Elsevier Ltd. All rights reserved.  KEYWORDS:  MeSH Chemical: Insecticides| Pyrazoles| Soil| Soil Pollutants| Veterinary Drugs| Ivermectin| fipronil MeSH: | Animals| Arthropods/majr/drug effects/growth &amp; development| Cattle| Ecotoxicology| Insecticides/toxicity| Ivermectin/majr/toxicity| Pyrazoles/toxicity| Reproduction/majr/drug effects| Soil/majr/chemistry| Soil Pollutants/majr/toxicity| Toxicity Tests| Veterinary Drugs/majr/toxicity Other:Closantel|Fipronil|Fluazuron|Ivermectin|Soil fauna</t>
  </si>
  <si>
    <t>Effectiveness of Fipronil as a Systemic Control Agent Against Xenopsylla cheopis (Siphonaptera: Pulicidae) in Madagascar.    ABSTRACT:  Fipronil was evaluated as a systemic control agent for the rat flea Xenopsylla cheopis (Rothschild), the main vector of Yersinia pestis (Yersin), the causative agent of plague, in Madagascar. The effectiveness of fipronil as a systemic control agent against X. cheopis was assessed by determining the toxicity values of the "Lethal Dose 50" (LD50). Two techniques were used to evaluate the systemic action of the insecticide on the vector: 1) an artificial feeding device filled with blood-fipronil mixture from which X. cheopis was fed and 2) rodent hosts, Rattus norvegicus (Berkenhout) and Rattus rattus (L.), which fed on fipronil-treated bait. As a standardized control method, the susceptibility of X. cheopis to fipronil was evaluated by exposure to impregnated paper within World Health Organization (WHO) insecticide test protocol to compare its effect to the systemic activity of the studied insecticide. Results showed that when administered in a systemic way, fipronil appears to be more effective: the toxicity level was evaluated to be ninefold higher compared with the WHO test. Compared with other methods, which require indiscriminate dusting of rodent burrows and human dwellings, fipronil applied in a systemic way enables the direct targeting of the plague vector. Thus, this method appears to be a superior alternative to fipronil-dusting for the control of the main plague vector in Madagascar. However, subsequent tests in the field are necessary to confirm the suitability of fipronil administration in a systemic way on large scales.© The Authors 2017. Published by Oxford University Press on behalf of Entomological Society of America. All rights reserved. For Permissions, please email: journals.permissions@oup.com.  KEYWORDS:  MeSH Chemical: Insecticides| Pyrazoles| fipronil MeSH: | Animals| Humans| Insect Control/majr/methods| Insect Vectors/majr/drug effects/microbiology| Insecticides/majr/pharmacology| Madagascar| Plague/microbiology/transmission| Pyrazoles/majr/pharmacology| Rats| Xenopsylla/majr/drug effects/physiology| Yersinia pestis/physiology Other:plague|Rattus sp.|Xenopsylla cheopis|fipronil|systemic insecticide</t>
  </si>
  <si>
    <t>Behavioral response and gene expression changes in fipronil-administered male Japanese quail (Coturnix japonica).    ABSTRACT:  Fipronil is an important member of the phenylpyrazole group of insecticides and is widely used for various crops and vegetables to control insects, thereby exposing birds, animals, and humans to fipronil. Currently, there is limited information on the effects of fipronil exposure in Japanese quail. Therefore, our aim was to assess the reproductive toxicological effects of fipronil in the Japanese quail in a 15-day gavage study and then its recovery over a period of 60 days. Fipronil-administration led to significant losses in both feed intake and body weight. Whereas, the gonadosomatic index was not affected, and histological changes observed in the testes were reversible, particularly by day 45 and day 60 of recovery. Cloacal gland atrophy, reduced foam quantity and a reduction in fertility, sexual and aggressive behaviors, and serum testosterone with elevated estradiol (E2) hormone levels were also observed. All these changes gradually reversed during various recovery periods. Further, alterations in hepatic vitellogenin (Vtg) and estrogen receptor α (ERα) gene expression, assessed by quantitative polymerase chain reaction, were also observed. Specifically, ERα1 was induced after fipronil administration, while the Vtg transcript was elevated during both exposure and recovery periods. Our results showed that fipronil exposure has a profound negative influence on reproductive traits in the male Japanese quail and exhibits an estrogenic activity that can raise the incidence of infertility in males. Nevertheless, most of the changes could be reversed after a recovery period of 30-45 days.Copyright © 2016 Elsevier Ltd. All rights reserved.  KEYWORDS:  MeSH Chemical: Environmental Pollutants| Estrogen Receptor alpha| Insecticides| Pyrazoles| Vitellogenins| Estradiol| fipronil MeSH: | Animals| Coturnix/majr/genetics| Environmental Pollutants/majr/toxicity| Estradiol/metabolism| Estrogen Receptor alpha/genetics| Fertility/drug effects| Gene Expression/drug effects| Insecticides/majr/toxicity| Male| Pyrazoles/majr/toxicity| Reproduction/drug effects| Testis/drug effects| Vitellogenins/genetics Other:Aggressive behavior|Estrogen receptor α|Fipronil|Japanese quail|Sexual behavior|Vitellogenin</t>
  </si>
  <si>
    <t>A randomized, blinded, controlled USA field study to assess the use of fluralaner topical solution in controlling canine flea infestations.    ABSTRACT:  Orally administered fluralaner effectively controls fleas and ticks on dogs for 12 weeks. This study evaluates the flea control efficacy achieved with topically applied fluralaner in dogs.This investigator-blinded, multi-center randomized, positive controlled study evaluated flea control efficacy in dogs following a single owner-applied treatment of topical fluralaner. A positive control group received three treatments, at 4-week intervals, of a commercial formulation of fipronil/(S)-methoprene. All dogs in households randomized to the fluralaner group were dispensed an initial treatment at enrollment and a second treatment at week 12 for an additional 3-week observation of treatment safety. Households with up to five healthy dogs, all at least 12 weeks of age and weighing at least 2 kg (4.4 lb), were randomized in a ratio of 3:1 of fluralaner to positive control. Within households, one primary dog with at least 10 live fleas at enrollment was randomly selected. Flea counts were performed on all primary dogs every 4 weeks through week 12. Efficacy measurement was based on reduction from baseline flea counts. Treatment was considered effective if geometric mean live flea count reductions at weeks 4, 8, and 12 were 90% or greater and significantly different from counts at enrollment. In addition, for each time point the arithmetic mean live flea counts, the efficacy based on arithmetic means, the number and percentage of dogs with at least a 90% reduction in flea count, and the number and percentage of flea free dogs were calculated. Statistical comparisons were also made between treatment groups.At 12 sites, across 10 states, 121 households (221 dogs) were randomized to receive fluralaner and 44 households (100 dogs) were randomized to receive the positive control. Fluralaner was demonstrated to be significantly effective (all P ≤ 0.0001) at 4 weeks (99.8% reduction), 8 weeks (99.9%), and 12 weeks (99.9%). The positive control was significantly different from baseline (all P ≤ 0.0001) and showed a reduction of 81.2% at 4 weeks and was effective at 8 weeks (90.3%) and 12 weeks (93.0%). Arithmetic mean flea count reductions for the fluralaner group at 4, 8, and 12 weeks were 99.8, 99.9, and 99.9%, respectively. For the positive control, arithmetic mean flea count reductions were 58.8, 75.3, and 80.8% at 4, 8, and 12 weeks, respectively. No treatment-related serious adverse events were reported in either group.Owner-applied topical fluralaner treatment was safe in dogs and provided ≥ 99.8% flea control efficacy for 12 weeks.  KEYWORDS:  MeSH Chemical: A1443 compound| Insecticides| Isoxazoles| Solutions MeSH: | Administration, Topical| Animals| Dog Diseases/majr/drug therapy/prevention &amp; control| Dogs| Flea Infestations/majr/drug therapy/prevention &amp; control/veterinary| Insecticides/majr/administration &amp; dosage/adverse effects| Isoxazoles/majr/administration &amp; dosage/adverse effects| Parasite Load| Single-Blind Method| Solutions/administration &amp; dosage/adverse effects| Treatment Outcome| United States Other:Bravecto|Dogs|Fipronil-methoprene|Fleas|Fluralaner</t>
  </si>
  <si>
    <t>A randomized, blinded, controlled USA field study to assess the use of fluralaner topical solution in controlling feline flea infestations.    ABSTRACT:  Fleas are a common ectoparasite of domestic cats and there is a need for novel treatments that improve feline flea control.This investigator-blinded, multi-center randomized, positive-controlled study evaluated the flea control in cats provided by a single owner-applied treatment with a fluralaner topical formulation compared with a positive control. Households with up to five healthy cats, all at least 12 weeks of age and weighing at least 1.2 kg (2.6 lb), were randomized in an approximate 3:1 ratio of fluralaner to positive control. All cats in households randomized to the positive control group were dispensed three treatments, at 4-week intervals, of a commercial formulation of fipronil/(S)-methoprene. All cats in households randomized to the fluralaner group were dispensed an initial treatment at enrollment and a second treatment at week 12 for an additional 3-week observation of treatment safety. One primary cat with at least five live fleas at enrollment was randomly selected within each household. Flea counts were performed on all primary cats at 4-week intervals through week 12. Efficacy measurement was based on reduction in flea counts from baseline. Treatment was considered effective at weeks 4, 8 and 12 if mean live flea count reductions were 90% or greater and statistically significantly different (P ≤ 0.05) from counts at enrollment.In 18 investigational veterinary clinics across 11 USA states, 116 households (224 cats) were randomized to receive topical fluralaner and 45 households (87 cats) were randomized to the fipronil-methoprene combination. Fluralaner was demonstrated to be effective at 4 weeks (99.1% flea count reduction), 8 weeks (99.5%), and 12 weeks (99.0%), and all reductions were significantly different from the enrollment count (all P &lt; 0.0001). The fipronil-methoprene combination was &lt; 90% effective at each post-treatment assessment, with peak efficacy of 75.4% at 12 weeks (all P &lt; 0.0001). No treatment-related serious adverse events were reported in either group.Owner-applied fluralaner topical treatment was safe in cats and was highly effective in killing fleas over the subsequent 12 weeks.  KEYWORDS:  MeSH Chemical: A1443 compound| Insecticides| Isoxazoles| Solutions MeSH: | Administration, Topical| Animals| Cat Diseases/majr/drug therapy/prevention &amp; control| Cats| Flea Infestations/majr/drug therapy/prevention &amp; control/veterinary| Insecticides/majr/administration &amp; dosage/adverse effects| Isoxazoles/majr/administration &amp; dosage/adverse effects| Parasite Load| Single-Blind Method| Solutions/administration &amp; dosage/adverse effects| Treatment Outcome| United States Other:Bravecto|Cats|Fipronil-methoprene|Fleas|Fluralaner</t>
  </si>
  <si>
    <t>Five-month serological monitoring to assess the effectiveness of permethrin/fipronil (Frontline Tri-Act®) spot-on in reducing the transmission of Leishmania infantum in dogs.    ABSTRACT:  Canine vector-borne diseases are highly endemic in European countries of the Mediterranean basin. The use of repellent insecticides aids to reduce the risk of pathogen transmission. The primary objective of this 5-month serological field study conducted in a highly endemic area of canine leishmaniosis in Greece was to comparatively assess the effectiveness of a topical formulation of fipronil/permethrin (Frontline Tri-Act®/Frontect®) and of a deltamethrin collar (Scalibor®) for the prevention of Leishmania infantum transmission. Initially, 72 clinically healthy owned dogs were sampled for inclusion. Ten out of the 72 (13.8%) were seropositive according to the Snap Leish® ELISA test and removed. Ultimately, a total of 56 dogs were followed from May to October 2015 with monthly blood samples and serological tests based on Snap Leish® and Snap 4Dx® ELISA tests. Twenty-five dogs were treated with deltamethrin collar (Scalibor®) (Group 1) and 31 were treated monthly with the topical fipronil/permethrin formulation (Group 2). In group 1, three dogs out of 25 (12%) seroconverted for Leishmania whereas none of the dogs (0/31) seroconverted in group 2. In addition, this trial provided means to serological assess the transmission of other vector-borne pathogens. Regarding Anaplasma spp., one dog in each group was seropositive at the beginning of the study and no dogs became positive during the study. For Ehrlichia canis, 9/25 (36%) dogs in group 1 and 5/31 (16.1%) in group 2 were seropositive at inclusion time. Two out of 16 (11.8%) and 3/26 (11.5%) dogs became positive for E. canis after 3months in groups 1 and 2, respectively. No Borrelia burgdorferi sensu lato seropositive dog was found during the study. In regard to Dirofilaria immitis, 7/25 (28%) dogs and 12/31 (38.7%) were antigen-positive in groups 1 and 2, respectively, at inclusion. There was no significant difference between groups 1 and 2 in regard to new seroconversions during the trial. This study, conducted in a highly endemic area for vector-borne pathogen transmission, confirmed that the use of deltamethrin and permethrin is a suitable approach to reduce the risk of L. infantum infection by sandflies.Copyright © 2016 The Authors. Published by Elsevier B.V. All rights reserved.  KEYWORDS:  Other:Canine vector-borne pathogens|Deltamethrin|Leishmania infantum|Permethrin|Prevention|Transmission</t>
  </si>
  <si>
    <t>Hair analysis for the biomonitoring of pesticide exposure: comparison with blood and urine in a rat model.    ABSTRACT:  Urine and plasma have been used to date for the biomonitoring of exposure to pollutants and are still the preferred fluids for this purpose; however, these fluids mainly provide information on the short term and may present a high level of variability regarding pesticide concentrations, especially for nonpersistent compounds. Hair analysis may provide information about chronic exposure that is averaged over several months; therefore, this method has been proposed as an alternative to solely relying on these fluids. Although the possibility of detecting pesticides in hair has been demonstrated over the past few years, the unknown linkage between exposure and pesticides concentration in hair has limited the recognition of this matrix as a relevant tool for assessing human exposure. Based on a rat model in which there was controlled exposure to a mixture of pesticides composed of lindane, β-hexachlorocyclohexane, β-endosulfan, p,p'-DDT, p,p'-DDE, dieldrin, pentachlorophenol, diazinon, chlorpyrifos, cyhalothrin, permethrin, cypermethrin, propiconazole, fipronil, oxadiazon, diflufenican, trifluralin, carbofuran, and propoxur, the current work demonstrates the association between exposure intensity and resulting pesticide concentration in hair. We also compared the results obtained from a hair analysis to urine and plasma collected from the same rats. Hair, blood, and urine were collected from rats submitted to 90-day exposure by gavage to the aforementioned mixture of common pesticides at different levels. We observed a linear relationship between exposure intensity and the concentration of pesticides in the rats' hair (R Pearson 0.453-0.978, p &lt; 0.01). A comparison with results from urine and plasma samples demonstrated the relevance of hair analysis and, for many chemicals, its superiority over using fluids for differentiating animals from different groups and for re-attributing animals to their correct groups of exposure based on pesticide concentrations in the matrix. Therefore, this study strongly supports hair analysis as a reliable tool to be used during epidemiological studies to investigate exposure-associated adverse health effects.  KEYWORDS:  MeSH Chemical: Environmental Pollutants| Pesticides MeSH: | Animals| Environmental Exposure/analysis| Environmental Monitoring/majr/methods| Environmental Pollutants/majr/analysis/pharmacokinetics| Female| Hair/majr/chemistry| Pesticides/majr/analysis/pharmacokinetics| Rats| Rats, Long-Evans| Reproducibility of Results Other:Biomonitoring|Exposure|Hair analysis|Pesticide|Plasma|Urine</t>
  </si>
  <si>
    <t>Evaluation of Doxycycline-Laden Oral Bait and Topical Fipronil Delivered in a Single Bait Box to Control Ixodes scapularis (Acari: Ixodidae) and Reduce Borrelia burgdorferi and Anaplasma phagocytophilum Infection in Small Mammal Reservoirs and Host-Seeking Ticks.    ABSTRACT:  A field trial was conducted on residential properties in a Lyme disease endemic area of New Jersey to determine the efficacy of Maxforce Tick Management System (TMS) bait boxes modified with doxycycline hyclate-laden bait to reduce the acarological risk of Lyme disease and the utility of galvanized steel shrouds to protect the bait boxes from squirrel depredation and ability to routinely service these devices. The strategy began with a 9-wk deployment against larvae followed by a 17-wk deployment against nymphs and larvae the second year. Passive application of fipronil reduced nymphal and larval tick burdens on small mammals by 76 and 77%, respectively, and nymphal tick abundance by 81% on treated properties. In addition, the percentage of infected small mammals recovered from intervention areas following treatment was reduced by 96% for Borrelia burgdorferi and 93% for Anaplasma phagocytophilum. Infection prevalence in host-seeking nymphal ticks for both B. burgdorferi and A. phagocytophilum were reduced by 93 and 61%, respectively. Results indicate that Maxforce TMS bait boxes fitted with doxycycline-impregnated bait is an effective means of reducing ticks and infection prevalence for B. burgdorferi and A. phagocytophilum in both rodent reservoirs and questing Ixodes scapularis Say ticks. The protective shroud allows the device to be routinely serviced and protect against squirrel depredation.Published by Oxford University Press on behalf of Entomological Society of America 2016. This work is written by US Government employees and is in the public domain in the US.  KEYWORDS:  MeSH Chemical: Pyrazoles| Doxycycline| fipronil MeSH: | Anaplasma phagocytophilum/majr/genetics/isolation &amp; purification/physiology| Animals| Borrelia burgdorferi/majr/genetics/isolation &amp; purification/physiology| Disease Reservoirs/majr/microbiology| Doxycycline/majr/pharmacology| Female| Ixodes/majr/microbiology/physiology| Male| Mammals/majr/blood/microbiology/parasitology| Pyrazoles/majr/pharmacology| Tick Control/majr/instrumentation/methods| Tick Infestations/majr/parasitology/veterinary Other:Borrelia burgdorferi|Ixodes scapularis|Lyme disease|bait box|doxycycline</t>
  </si>
  <si>
    <t>Optimization of fipronil degradation by heterogeneous photocatalysis: Identification of transformation products and toxicity assessment.    ABSTRACT:  In this work it was studied the degradation of the insecticide fipronil (FIP) by heterogeneous photocatalysis induced by TiO2 P25. Using chemometric methods (Factorial Design and Response Surface Methodology), it was possible to evaluate the role of interaction between pH of the reaction medium, the reaction time and concentration of TiO2, optimizing the conditions for degradation using artificial radiation. Under the optimized conditions (79.4 mg L-1 TiO2 and 66.3 min of reaction time for 1.1 mg L-1 of FIP, at pH 5.6-5.8 (natural pH of the irradiated suspension)), 90.9% of FIP degradation was achieved at a degradation rate of 1.54 × 10-2 m2 kJ-1 in terms of accumulated UVA radiation, corresponding to a pseudo-first order rate constant of 1.34 × 10-2 min-1 and a half-life of 51.7 min. Under the same conditions, these assays were extended to the use of solar radiation, when the degradation rate was 14% higher, with half-life of 45 min, suggesting that in both cases FIP degradation was successful. Four by-products of FIP photocatalytic degradation could be separated, identified, and their formation and consumption followed by UHPLC-Q-TOF. Although the same intermediates have been obtained using both irradiation sources, a faster degradation of the transformation products (TPs) was observed under solar irradiation due to its expressive photonic flux covering the UVA and UVB. It is noteworthy that both the untreated effluent and the identified compounds have low toxicity with respect to V. fischeri, suggesting that the heterogeneous photocatalysis may be a good alternative for treatment of wastewaters containing FIP and its TPs, mainly when solar radiation is the source of radiation, since under this condition the power consumption during the treatment can be significantly reduced.Copyright © 2016 Elsevier Ltd. All rights reserved.  KEYWORDS:  MeSH Chemical: Insecticides| Water Pollutants, Chemical| Titanium MeSH: | Catalysis| Half-Life| Insecticides/chemistry| Solar Energy| Titanium/majr/chemistry| Ultraviolet Rays/majr| Water Pollutants, Chemical/chemistry Other:DFT|Insecticides|Response surface methodology|Solar radiation|Titanium dioxide|Vibrio fischeri</t>
  </si>
  <si>
    <t>Assessment of the efficacy of a topical combination of fipronil-permethrin (Frontline Tri-Act®/Frontect®) against egg laying and adult emergence of the cat flea (Ctenocephalides felis) in dogs.    ABSTRACT:  This study was conducted to assess the prevention of egg laying and the inhibition of the emergence of the cat flea (Ctenocephalides felis) resulting from the application of a combination of fipronil and permethrin (Frontline Tri-Act®/Frontect®, Merial) on dogs. Sixteen healthy dogs were included after pre-treatment live flea counts and randomly allocated to two groups. Eight dogs served as untreated controls and 8 dogs were treated on Day 0 and Day 30 with topical application of fipronil/permethrin at the minimum dose of 6.76 mg/kg fipronil and 50.48 mg/kg permethrin. On days -2, 7, 21, 28, 42 and 56, each dog was infested with 100 fleas. Flea eggs were collected from each dog in individual trays from 12 to 36 h after treatment or each flea re-infestation. All fleas were removed by combing and counted 36 h after treatment or infestations. The collected eggs were counted and incubated for 28 days for larval development and adult emergence assessment. The curative efficacy of Frontline Tri-Act®/Frontect® against adult fleas 36 h after treatment was 95.3% and the efficacy remained 100% after subsequent flea infestations for 8 weeks. Compared to the control group, the treatment reduced egg laying by 84.5% within 36 h after first treatment and was 99.9%, 100%, 100%, 100%, 100% on collection days 7, 21, 29, 43 and 57, respectively. Frontline Tri-Act®/Frontect® reduced by 28.7% the emergence of new adult fleas from eggs laid during the 48 h of pre-treatment infestation. The inhibition of adult emergence from incubated flea eggs could not be assessed after flea re-infestation in the treated group as no eggs were collected.© F. Beugnet et al., published by EDP Sciences, 2016.  KEYWORDS:  MeSH Chemical: Drug Combinations| Insecticides| Pyrazoles| Permethrin| fipronil MeSH: | Administration, Topical| Animals| Cats| Ctenocephalides/majr/drug effects/physiology| Dog Diseases/majr/drug therapy/parasitology| Dogs| Drug Combinations| Female| Flea Infestations/majr/drug therapy/parasitology/veterinary| Insecticides/majr/administration &amp; dosage| Male| Oviposition/drug effects| Parasite Egg Count/veterinary| Permethrin/majr/administration &amp; dosage| Pyrazoles/majr/administration &amp; dosage</t>
  </si>
  <si>
    <t>Cross-resistance to three phenylpyrazole insecticides and A2'N mutation detection of GABA receptor subunit in fipronil-resistant Laodelphax striatellus (Hemiptera: Delphacidae).    ABSTRACT:  Laodelphax striatellus (Fallén) is an important pest of crops in East Asia. Over the past decade, phenylpyrazole insecticides, which target the insect GABA receptor, have increasingly been used as alternatives against rice planthoppers.Cross-resistance to ethiprole and butene-fipronil was detected in a laboratory-selected fipronil-resistant strain of L. striatellus (LsFR). Compared with a fipronil-susceptible strain (LsFS), LsFR had obtained a high-level resistance to fipronil (112.1-fold) and moderate resistance to ethiprole (24.5-fold) and butene-fipronil (14.7-fold). For the resistance of field populations, LC50 values of ethiprole were remarkably higher than the other two analogues in Gaochun and Yancheng populations in 2016. Significant correlations were demonstrated between the LC50 values of three phenylpyrazole insecticides (R = 0.944-0.998, P = 0.007-0.016). Additionally, an AS-PCR assay was developed to detect the A2'N mutant GABA receptor in L. striatellus strains or populations. It was noteworthy that mutation frequencies of 19.2 and 3.6% appeared in Lujiang and Gaochun populations in 2016, respectively. Furthermore, there was an extremely significant difference in genomic expression of Lsrdl between the LsFS and LsFR individuals (1.85-fold, F = 26.8, P = 0.0008).This study could help us better understand the cross-resistance mechanisms in L. striatellus, and be beneficial for proposing effective pest management strategies of phenylpyrazole resistance. © 2016 Society of Chemical Industry.© 2016 Society of Chemical Industry.  KEYWORDS:  MeSH Chemical: Insecticides| Pyrazoles| Receptors, GABA-A| fipronil MeSH: | Animals| Gene Duplication| Genes, Insect/genetics| Hemiptera/majr/genetics| Insecticide Resistance/majr/genetics| Insecticides/majr| Mutation/majr| Pyrazoles/majr| Receptors, GABA-A/majr/genetics Other:Laodelphax striatellus|RDL GABA receptor|cross-resistance|gene duplication|mutation detection|phenylpyrazole insecticide</t>
  </si>
  <si>
    <t>Resistance monitoring and cross-resistance patterns of three rice planthoppers, Nilaparvata lugens, Sogatella furcifera and Laodelphax striatellus to dinotefuran in China.    ABSTRACT:  Three rice planthoppers, brown planthopper, Nilaparvata lugens, white-backed planthopper, Sogatella furcifera and small brown planthopper, Laodelphax striatellus, are important pests of cultivated rice in tropical and temperate Asia. They have caused severe economic loss and developed resistance to insecticides from most chemical classes. Dinotefuran is the third neonicotinoid which possesses a broad spectrum and systemic insecticidal activity. We determined the susceptibility of dinotefuran to field populations from major rice production areas in China from 2013 to 2015. All the populations of S. furcifera and L. striatellus were kept susceptible to dinotefuran (0.7 to 1.4-fold of S. furcifera and 1.1-to 3.4-fold of L. striatellus) However, most strains of N. lugens (except FQ15) collected in 2015 had developed moderate resistance to dinotefuran, with resistance ratios (RR) ranging from 23.1 to 100.0 folds. Cross-resistance studies showed that chlorpyrifos-resistant and buprofezin-resistant Sogatella furcifera, chlorpyrifos-resistant and fipronil-resistant L. striatellus, imidacloprid-resistant and buprofezin-resistant Nilaparvata lugens exhibited negligible or no cross-resistance to dinotefuran. Synergism tests showed that piperonyl butoxide (PBO) produced a high synergism of dinotefuran effects in the DY15 and JS15 populations (2.14 and 2.52-fold, respectively). The obvious increase in resistance to dinotefuran in N. lugens indicates that insecticide resistance management strategies are urgently needed to prevent or delay further increase of insecticide resistance in N. lugens.Copyright Â© 2016 Elsevier B.V. All rights reserved.  KEYWORDS:  MeSH Chemical: Guanidines| Imidazoles| Insecticides| Neonicotinoids| Nitro Compounds| Pesticide Synergists| Pyrazoles| Thiadiazines| dinotefuran| buprofezin| imidacloprid| Piperonyl Butoxide| fipronil MeSH: | Animals| China| Guanidines/majr/toxicity| Hemiptera/majr/drug effects| Imidazoles/toxicity| Insecticide Resistance/majr| Insecticides/majr/toxicity| Neonicotinoids| Nitro Compounds/majr/toxicity| Oryza| Pesticide Synergists/toxicity| Piperonyl Butoxide/toxicity| Pyrazoles/toxicity| Thiadiazines/toxicity Other:Cross-resistance|Dinotefuran|P450|Resistance monitoring|Rice planthoppers</t>
  </si>
  <si>
    <t>Biochemical effects of fipronil and its metabolites on lipid peroxidation and enzymatic antioxidant defense in tadpoles (Eupemphix nattereri: Leiuperidae).    ABSTRACT:  Amphibians are very sensitive to environmental change and pollution because they have both aquatic and terrestrial life cycle stages and high skin permeability. Particularly during the larval stages, when these animals are restricted to small, transient ponds, exposure to high concentrations of pesticides is inevitable in agricultural areas. Given that pesticide application increases during the summer, which coincides with the reproductive season and the occurrence of most neotropical tadpoles in their natural environment, strong indications exist that tadpoles are developing in contaminated ponds. Fipronil is one of the primary insecticides used in sugarcane cultivation in Brazil, and little is known about its toxic effects on non-target organisms such as tadpoles. The purpose of this study was to evaluate the effects of fipronil and its metabolites on oxidative stress in Eupemphix nattereri tadpoles after exposure in water and sediment at concentrations of 35, 120 and 180µgkg-1. We assessed the activities of the antioxidant enzymes glutathione S-transferase (GST), glucose 6-phosphate dehydrogenase (G6PDH) and catalase (CAT) and lipid peroxidation (malondialdehyde, MDA). The results showed that fipronil has an inherent capacity to cause oxidative stress in tadpoles, as evidenced by a decrease in CAT activity and an increase in lipid peroxidation levels at all concentrations tested. Fipronil sulfone also produced elevated MDA levels at two of the tested concentrations and increased G6PDH activity in tadpoles exposed to the highest concentration of this metabolite but did not affect MDA levels. Our data showed that fipronil and its degradation products promoted oxidative stress in Eupemphix nattereri tadpoles exposed to environmentally relevant concentrations and could lead to a decrease in the long-term physiological performance of these animals, leading to detrimental effects at the population level.Copyright Â© 2016 Elsevier Inc. All rights reserved.  KEYWORDS:  MeSH Chemical: Amphibian Proteins| Antioxidants| Insecticides| Pyrazoles| Soil Pollutants| Malondialdehyde| Glucosephosphate Dehydrogenase| Catalase| Glutathione Transferase| fipronil sulfone| fipronil MeSH: | Amphibian Proteins/majr/metabolism| Animals| Antioxidants/majr/metabolism| Anura/majr/growth &amp; development/metabolism| Catalase/metabolism| Glucosephosphate Dehydrogenase/metabolism| Glutathione Transferase/metabolism| Insecticides/majr/toxicity| Larva/drug effects/metabolism| Lipid Peroxidation/majr/drug effects| Malondialdehyde/metabolism| Pyrazoles/majr/toxicity| Soil Pollutants/majr/toxicity Other:Amphibians|Fipronil|Oxidative stress|Pesticides|Toxicity</t>
  </si>
  <si>
    <t>Efficacy and duration of action of oral fluralaner and spot-on moxidectin/imidacloprid in cats infested with Lynxacarus radovskyi.    ABSTRACT:  Lynxacarus radovskyi has been observed in cats in Malaysia; previously treatment with fipronil and moxidectin/imidacloprid spot-on has been described.To compare the efficacy of two spot-on treatments of moxidectin/imidacloprid, two weeks apart to a single oral dose of fluralaner against Lynxacarus radovskyi and evaluate time to re-infestation.Thirty cats were assigned to three groups of ten cats each. Group 1 received one 250 mg fluralaner tablet. Group 2 received two doses of moxidectin/imidacloprid spot-on two weeks apart. Group 3 consisted of untreated controls. For each cat, three plucks of about 50 hairs each were collected from three sites (dorsal neck, lateral thigh and perineal/tail region) for a total of nine pluckings every two weeks. Severity of infestation was scored from 0 (no parasite), to 1 (only nonhatched eggs), 2 (both hatched and nonhatched eggs), 3 (&lt;50 mites) and 4 (&gt;50 mites). Efficacy was compared between treatment groups and over time in the same group, and results analysed statistically. Re-infestation was defined as the identification of new eggs or mites on hair pluckings.Moxidectin/imidacloprid spot-on and oral fluralaner achieved 100% eradication within 28 days. No significant difference was observed between groups 1 and 2; re-infestation occurred by Day 56 in both treatment groups.A single dose of oral fluralaner or two moxidectin/imidacloprid spot-on treatments two weeks apart are efficacious in the eradication of L. radovskyi in cats and able to prevent re-infestation for at least 42 days post-treatment.© 2016 ESVD and ACVD.  KEYWORDS:  MeSH Chemical: A1443 compound| Acaricides| Drug Combinations| Imidazoles| Isoxazoles| Macrolides| Neonicotinoids| Nitro Compounds| imidacloprid| moxidectin MeSH: | Acaricides/administration &amp; dosage/therapeutic use| Administration, Oral| Administration, Topical| Animals| Cat Diseases/majr/drug therapy/parasitology| Cats| Drug Combinations| Female| Hair/parasitology| Imidazoles/majr/administration &amp; dosage/therapeutic use| Isoxazoles/majr/administration &amp; dosage/therapeutic use| Macrolides/majr/administration &amp; dosage/therapeutic use| Male| Mite Infestations/majr/drug therapy/veterinary| Neonicotinoids| Nitro Compounds/majr/administration &amp; dosage/therapeutic use</t>
  </si>
  <si>
    <t>Diverse neurotoxicants target the differentiation of embryonic neural stem cells into neuronal and glial phenotypes.    ABSTRACT:  The large number of compounds that needs to be tested for developmental neurotoxicity drives the need to establish in vitro models to evaluate specific neurotoxic endpoints. We used neural stem cells derived from rat neuroepithelium on embryonic day 14 to evaluate the impact of diverse toxicants on their ability to differentiate into glia and neurons: a glucocorticoid (dexamethasone), organophosphate insecticides (chlorpyrifos, diazinon, parathion), insecticides targeting the GABAA receptor (dieldrin, fipronil), heavy metals (Ni2+, Ag+), nicotine and tobacco smoke extract. We found three broad groupings of effects. One diverse set of compounds, dexamethasone, the organophosphate pesticides, Ni2+ and nicotine, suppressed expression of the glial phenotype while having little or no effect on the neuronal phenotype. The second pattern was restricted to the pesticides acting on GABAA receptors. These compounds promoted the glial phenotype and suppressed the neuronal phenotype. Notably, the actions of compounds eliciting either of these differentiation patterns were clearly unrelated to deficits in cell numbers: dexamethasone, dieldrin and fipronil all reduced cell numbers, whereas organophosphates and Ni2+ had no effect. The third pattern, shared by Ag+ and tobacco smoke extract, clearly delineated cytotoxicity, characterized by major cell loss with suppression of differentiation into both glial and neuronal phenotypes; but here again, there was some selectivity in that glia were suppressed more than neurons. Our results, from this survey with diverse compounds, point to convergence of neurotoxicant effects on a specific "decision node" that controls the emergence of neurons and glia from neural stem cells.Copyright Â© 2016 Elsevier Ireland Ltd. All rights reserved.  KEYWORDS:  MeSH Chemical: Insecticides| Neurotoxins| Receptors, GABA-A| Tobacco Smoke Pollution| Nicotine| Nickel| Dexamethasone MeSH: | Animals| Cell Differentiation/majr/drug effects| Dexamethasone/toxicity| Embryonic Stem Cells/majr/cytology/drug effects| Female| Insecticides/toxicity| Neural Stem Cells/majr/drug effects/pathology| Neuroglia/majr/drug effects/pathology| Neurons/majr/drug effects/pathology| Neurotoxicity Syndromes/majr/pathology| Neurotoxins/majr/toxicity| Nickel/toxicity| Nicotine/toxicity| Pregnancy| Primary Cell Culture| Rats| Receptors, GABA-A/drug effects| Tobacco Smoke Pollution/adverse effects Other:Dexamethasone|Insecticides|Metals|Neural stem cells|Nicotine|Tobacco smoke</t>
  </si>
  <si>
    <t>Passage of fiproles and imidacloprid from urban pest control uses through wastewater treatment plants in northern California, USA.    ABSTRACT:  Urban pest control insecticides-specifically fipronil and its 4 major degradates (fipronil sulfone, sulfide, desulfinyl, and amide), as well as imidacloprid-were monitored during drought conditions in 8 San Francisco Bay (San Francisco, CA, USA) wastewater treatment plants (WWTPs). In influent and effluent, ubiquitous detections were obtained in units of ng/L for fipronil (13-88 ng/L), fipronil sulfone (1-28 ng/L), fipronil sulfide (1-5 ng/L), and imidacloprid (58-306 ng/L). Partitioning was also investigated; in influent, 100% of imidacloprid and 62 ± 9% of total fiproles (fipronil and degradates) were present in the dissolved state, with the balance being bound to filter-removable particulates. Targeted insecticides persisted during wastewater treatment, regardless of treatment technology utilized (imidacloprid: 93 ± 17%; total fiproles: 65 ± 11% remaining), with partitioning into sludge (3.7-151.1 μg/kg dry wt as fipronil) accounting for minor losses of total fiproles entering WWTPs. The load of total fiproles was fairly consistent across the facilities but fiprole speciation varied. This first regional study on fiprole and imidacloprid occurrences in raw and treated California sewage revealed ubiquity and marked persistence to conventional treatment of both phenylpyrazole and neonicotinoid compounds. Flea and tick control agents for pets are identified as potential sources of pesticides in sewage meriting further investigation and inclusion in chemical-specific risk assessments. Environ Toxicol Chem 2017;36:1473-1482. © 2016 SETAC.© 2016 SETAC.  KEYWORDS:  MeSH Chemical: Imidazoles| Neonicotinoids| Nitro Compounds| Pesticides| Pyrazoles| Sewage| Water Pollutants, Chemical| imidacloprid| fipronil MeSH: | California| Chromatography, High Pressure Liquid| Imidazoles/majr/analysis/metabolism/standards| Neonicotinoids| Nitro Compounds/majr/analysis/metabolism/standards| Pesticides/majr/analysis/metabolism/standards| Pyrazoles/majr/analysis/metabolism/standards| Quality Control| Sewage/majr/chemistry| Tandem Mass Spectrometry/standards| United States| Waste Disposal, Fluid| Water Pollutants, Chemical/majr/analysis/metabolism/standards Other:Persistant organic pollutants (POPs)|Fate and transport|Insecticide|Pesticides|Water quality</t>
  </si>
  <si>
    <t>Evaluation of Commercial Agrochemicals as New Tools for Malaria Vector Control.    ABSTRACT:  Malaria is a vector-borne and life-threatening disease caused by parasites that are transmitted to people through the bites of infected female Anopheles mosquitoes. The vector control insecticide market represents a small fraction of the crop protection market and is estimated to be valued at up to $500 million at the active ingredient level. Insecticide resistance towards the current WHOPES-approved products urgently requires the development of new tools to protect communities against the transmission of malaria. The evaluation of commercial products for malaria vector control is a viable and cost effective strategy to identify new malaria vector control products. Several examples of such spin-offs from crop protection insecticides are already evidencing the success of this strategy, namely pirimiphos-methyl for indoor residual sprays and spinosad, diflubenzuron, novaluron, and pyriproxifen for mosquito larvae control, a supplementary technology for control of malaria vectors. In our study the adulticidal activities of 81 insecticides representing 23 insecticidal modes of action classes, 34 fungicides from 6 fungicidal mode of action classes and 15 herbicides from 2 herbicidal modes of action classes were tested in a newly developed screening system. WHOPES approved insecticides for malaria vector control consistently caused 80-100% mortality of adult Anopheles stephensi at application rates between 0.2 and 20 mg active ingradient (AI) litre-1. Chlorfenapyr, fipronil, carbosulfan and endosulfan showed the expected good activity. Four new insecticides and three fungicides with promising activity against adult mosquitoes were identified, namely the insecticides acetamiprid, thiamethoxam, thiocyclam and metaflumizone and the fungicides diflumetorin, picoxystrobin, and fluazinam. Some of these compounds certainly deserve to be further evaluated for malaria vector control. This is the first report describing good activity of commercial fungicides against malaria vectors.  KEYWORDS:  MeSH Chemical: Agrochemicals| Fungicides, Industrial| Herbicides| Insecticides MeSH: | Agrochemicals/majr/pharmacology| Animals| Fungicides, Industrial/pharmacology| Herbicides/pharmacology| Insect Vectors/majr| Insecticides/pharmacology| Malaria/majr/prevention &amp; control| Mosquito Control/majr/methods</t>
  </si>
  <si>
    <t>Soil organic matter content effects on dermal pesticide bioconcentration in American toads (Bufo americanus).    ABSTRACT:  Pesticides have been implicated as a major factor in global amphibian declines and may pose great risk to terrestrial phase amphibians moving to and from breeding ponds on agricultural landscapes. Dermal uptake from soil is known to occur in amphibians, but predicting pesticide availability and bioconcentration across soil types is not well understood. The present study was designed to compare uptake of 5 current-use pesticides (imidacloprid, atrazine, triadimefon, fipronil, and pendimethalin) in American toads (Bufo americanus) from exposure on soils with significant organic matter content differences (14.1% = high organic matter and 3.1% = low organic matter). We placed toads on high- or low-organic matter soil after applying individual current-use pesticides on the soil surface for an 8-h exposure duration. Whole body tissue homogenates and soils were extracted and analyzed using liquid chromatography-mass spectrometry to determine pesticide tissue and soil concentration, as well as bioconcentration factor in toads. Tissue concentrations were greater on the low-organic matter soil than the high-organic matter soil across all pesticides (average ± standard error; 1.23 ± 0.35 ppm and 0.78 ± 0.23 ppm, respectively), and bioconcentration was significantly higher for toads on the low-organic matter soil (analysis of covariance p = 0.002). Soil organic matter is known to play a significant role in the mobility of pesticides and bioavailability to living organisms. Agricultural soils typically have relatively lower organic matter content and serve as a functional habitat for amphibians. The potential for pesticide accumulation in amphibians moving throughout agricultural landscapes may be greater and should be considered in conservation and policy efforts. Environ Toxicol Chem 2016;35:2734-2741. © 2016 SETAC.© 2016 SETAC.  KEYWORDS:  MeSH Chemical: Humic Substances| Pesticides| Soil| Soil Pollutants MeSH: | Agriculture| Animals| Biological Availability| Bufonidae| Ecosystem| Environmental Exposure/analysis| Humic Substances/majr/analysis| Pesticides/majr/analysis/metabolism| Skin/majr/metabolism| Skin Absorption/majr/drug effects| Soil/majr/chemistry| Soil Pollutants/majr/analysis/metabolism| United States Other:Amphibian|Organic matter|Pesticide|Soil</t>
  </si>
  <si>
    <t>Metal organic frameworks (MOFs) for magnetic solid-phase extraction of pyrazole/pyrrole pesticides in environmental water samples followed by HPLC-DAD determination.    ABSTRACT:  Magnetic metal-organic frameworks (MOFs, [MIL-101]) were prepared and used as magnetic solid-phase extraction (MSPE) adsorbents for preconcentration of four kinds of pyrazole/pyrrole pesticides (flusilazole, fipronil, chlorfenapyr, and fenpyroximate) in environmental water samples, followed by high-performance liquid chromatography-diode-array detector (HPLC-DAD) determination. Several variables affecting MSPE efficiency were systematically investigated, including amount of MIL-101, extraction time, sample pH, salt concentration, type of desorption solvent and desorption number of times. Under optimized conditions, excellent linearity was achieved in the range of 5.0-200.0μg/L for flusilazole and fipronil, and 2.0-200.0μg/L for chlorfenapyr and fenpyroximate, with correlation coefficients r&gt;0.9911. Limits of detection and quantification were 0.3-1.5μg/L and 1.0-5.0μg/L, respectively. The intra-day and inter-day precision (relative standard deviation, n=6, %) at three spiked levels were 1.1-5.4% and 3.9-7.8% in terms of peak area, respectively. The method recoveries at three fortified concentration levels ranged from 81.8% to 107.5% for reservoir water samples, 81.0-99.5% for river water samples, and 80.2-106.5% for seawater samples. The developed MOFs based MSPE coupled with HPLC method proved to be a convenient, rapid and eco-friendly alternative to the sensitive determination of pyrazole/pyrrole pesticides with high repeatability and excellent practical applicability.Copyright © 2016 Elsevier B.V. All rights reserved.  KEYWORDS:  MeSH Chemical: Coordination Complexes| MIL-101| Metal-Organic Frameworks| Pesticides| Pyrazoles| Pyrroles| Water Pollutants, Chemical| Chromium| Silicon Dioxide| Ferrosoferric Oxide MeSH: | Chromatography, High Pressure Liquid| Chromium/majr/chemistry| Coordination Complexes/majr/chemistry| Ferrosoferric Oxide/chemistry| Fresh Water/analysis| Magnetic Phenomena| Metal-Organic Frameworks/majr/chemistry| Pesticides/majr/analysis/chemistry| Pyrazoles/majr/analysis/chemistry| Pyrroles/majr/analysis/chemistry| Seawater/analysis| Silicon Dioxide/chemistry| Solid Phase Extraction| Water Pollutants, Chemical/majr/analysis/chemistry Other:Magnetic solid-phase extraction|Metal-organic frameworks (MOFs)|Pyrazole|Pyrrole|Water samples</t>
  </si>
  <si>
    <t>Comparison of ingestion and topical application of insecticides against the common bed bug, Cimex lectularius (Hemiptera: Cimicidae).    ABSTRACT:  The global prevalence of Cimex lectularius infestations has challenged current intervention efforts, as pyrethroid resistance has become ubiquitous, availability of labeled insecticides for bed bugs is limited, and non-chemical treatment options, such as heat, are often unaffordable. We evaluated representative insecticides toward the goal of developing a novel, ingestible liquid bait for hematophagous arthropods.LC50 values were estimated for adult males and first instar nymphs of an insecticide-susceptible strain for abamectin, clothianidin, fipronil and indoxacarb, after ingestion from an artificial feeder. LD50 values were calculated based on the ingested blood volume. Ingested abamectin, clothianidin and fipronil caused rapid mortality in both life stages. Fipronil was ∼43-fold more effective by ingestion than by topical application. Indoxacarb and its bioactive metabolite decarbomethoxylated JW062 (DCJW) were ineffective at causing bed bug mortality even at concentrations as high as 1000 ng mL-1 blood.Fipronil, clothianidin and abamectin have potential for being incorporated into a liquid bait for bed bug control; indoxacarb and DCJW were not effective. Bed bugs are a good candidate for an ingestible liquid bait because systemic formulations generally require less active ingredient than residual sprays, they remain contained and more effectively target hematophagous arthropods. © 2016 Society of Chemical Industry.© 2016 Society of Chemical Industry.  KEYWORDS:  MeSH Chemical: Guanidines| Insecticides| Neonicotinoids| Oxazines| Pyrazoles| Thiazoles| clothianidin| indoxacarb| abamectin| Ivermectin| fipronil MeSH: | Animals| Bedbugs/majr/growth &amp; development| Ectoparasitic Infestations/majr/prevention &amp; control| Guanidines| Insect Control/majr/methods| Insecticides/majr| Ivermectin/analogs &amp; derivatives| Male| Neonicotinoids| Nymph| Oxazines| Pyrazoles| Thiazoles Other:Cimex lectularius|bed bug|liquid bait|mortality|systemic control</t>
  </si>
  <si>
    <t>Safety Evaluation of Parastar® Plus in Dogs and Assessment of Transferable Residue of Fipronil and Cyphenothrin from Dogs to Humans.    ABSTRACT:  Dogs are easily infested with fleas, ticks, and other ectoparasites serving as vectors for transmitting bacterial, viral, and parasitic diseases. Therefore, the use of ectoparasiticides is inevitable and important. The present investigation was undertaken with two specific objectives: one, to evaluate the safety of fipronil and cyphenothrin in dogs after topical application of Parastar® Plus, and two, to determine the transferable residue of these insecticides from dogs to humans. Six healthy, adult dogs (medium length hair, weighing between 20.5 and 27.3 kg) received topical application of Parastar® Plus (2.68 mL; fipronil, 9.8%, and cyphenothrin, 5.2%) on the back between the shoulder blades. At predetermined intervals, dogs were given a full physical exam, and residues of fipronil and cyphenothrin were determined in dog blood and cotton glove extracts using GC/MS. Fipronil and cyphenothrin peaks eluted at 7.453 and 9.913 min, correspondingly, and the compounds were confirmed based on characteristic ions. At no time was fipronil or cyphenothrin residue detected in blood samples. In glove extracts, residues of fipronil and cyphenothrin were maximally present at 24-h posttreatment (43.84 ± 5.69 and 59.26 ± 8.97 ppm, respectively). By 48 h, the residue levels sharply declined (16.89 ± 2.82 and 17.98 ± 2.07 ppm, respectively). The insecticides' residues were detected in insignificant amounts after 1 week (5.69 ± 2.16 and 10.00 ± 1.51 ppm, respectively), and only in trace amounts after 2 weeks. At no time did any dog show side effects, except itching at the site of Parastar® Plus application. The findings suggest that Parastar® Plus was safe for dogs, and transferable residues of fipronil and cyphenothrin were minimal, posing very little or no health concern to pet owners or veterinary personnel. Of course, veterinary personnel, who handle many dogs daily, may require proper protection to avoid cumulative exposure.  KEYWORDS:  Other:cyphenothrin|dogs|ectoparasiticide safety|fipronil|parastar® plus|pyrethroids</t>
  </si>
  <si>
    <t>Identification of glutathione S-transferase genes in Leptinotarsa decemlineata and their expression patterns under stress of three insecticides.    ABSTRACT:  Glutathione S-transferases (GSTs) is a family of multifunctional enzymes that are involved in detoxification of poisonous compounds. In the present paper, the Leptinotarsa decemlineata genome and transcriptome dataset were mined and 30 GST genes were identified. These GSTs belonged to cytosolic (29 genes) and microsomal (1 gene) classes. Among them 3 GSTs (LdGSTe2, LdGSTs4, and LdGSTo3) possessed splice variants. Of the 29 cytosolic LdGSTs, 3, 10, 5, 4, 4, and 1 members were classified as delta, epsilon, omega, sigma, theta, and zeta subclasses respectively, along with 2 unclassified genes. Phylogenetic analysis suggest that epsilon, omega and sigma subclasses appear to undergo species-specific bloom. Moreover, most epsilon, omega and sigma GSTs are tandemly arranged in three chromosome scaffolds. To find GST candidates involving in insecticide detoxification, we tested the mRNA levels of 20 GST transcripts under stress of cyhalothrin, fipronil or endosulfan. Out of them, LdGSTe2a, LdGSTe2b, LdGSTo5 and LdGSTt1 were significantly overexpressed after exposure to each of the three insecticides. Two other genes were respectively upregulated after cyhalothrin (LdGSTe10 and LdGSTu2) or endosulfan (LdGSTd1 and LdGSTu2) treatment. The diversified expression responses to insecticide exposure suggest that the LdGSTs may depend on a functionally complex system to detoxify different classes of insecticides. In addition, our findings provide a base for a better understanding of the evolution of insecticide resistance, and functional research on specific GST genes.Copyright © 2016 Elsevier Inc. All rights reserved.  KEYWORDS:  MeSH Chemical: DNA, Complementary| Insect Proteins| Insecticides| Nitriles| Pyrazoles| Pyrethrins| Glutathione Transferase| Endosulfan| fipronil| cyhalothrin MeSH: | Animals| Coleoptera/majr/drug effects/enzymology/genetics| DNA, Complementary/genetics| Endosulfan/toxicity| Gene Expression Regulation, Enzymologic/majr/drug effects| Glutathione Transferase/majr/genetics| Inactivation, Metabolic/genetics| Insect Proteins/majr/genetics| Insecticides/majr/toxicity| Nitriles/toxicity| Phylogeny| Pyrazoles/toxicity| Pyrethrins/toxicity| Stress, Physiological| Transcriptome Other:Cyhalothrin|Detoxification|Endosulfan|Fipronil|Glutathione S-transferase</t>
  </si>
  <si>
    <t>Multiple resistance to acaricides in field populations of Rhipicephalus microplus from Rio Grande do Sul state, Southern Brazil.    ABSTRACT:  Acaricide resistance is a major obstacle to the control of Rhipicephalus microplus. Historically, the indiscriminate use of chemical compounds has contributed to the selection of populations resistant to different classes of acaricides. Therefore, multiple acaricide resistance is an important threat to the chemical control of the cattle tick. To investigate the occurrence and extent of multiple resistance to acaricides in Southern Brazil we performed larval tests with cypermethrin, chlorpyriphos, amitraz, fipronil and ivermectin on 104 cattle tick field samples from different ranches in Rio Grande do Sul, between the years 2013 and 2015. Adult immersion tests with a commercial formulation mixture of chlorpyriphos and cypermethrin were performed on 75 samples. Four levels of resistance were established according to the mortality of larvae: Level I: mortality between 82% and 95%; Level II: mortality between 57% and 82%; Level III: mortality between 25% and 57%; and Level IV: mortality lower than 25%. Resistance to cypermethrin was detected in 98.08% of the samples evaluated, mostly at resistance level IV. The frequency of samples resistant to amitraz, chlorpyriphos, ivermectin and fipronil was 76.92%, 60.58%, 60.58% and 53.85% respectively. Multiple resistance to three or more compounds was found in 78.85% of the samples. The results obtained in this study are alarming and reveal a new scenario for the challenge of tick control using chemicals. This is an issue of high importance to cattle production systems where this tick is responsible for a high economic impact.Copyright Â© 2016 Elsevier GmbH. All rights reserved.  KEYWORDS:  MeSH Chemical: Acaricides MeSH: | Acaricides/majr/pharmacology| Animals| Biological Assay| Brazil| Insecticide Resistance/majr| Larva/drug effects| Rhipicephalus/majr/drug effects Other:Acaricides|Brazil|Control|Multiple resistance|Rhipicephalus microplus</t>
  </si>
  <si>
    <t>Developmental effects of fipronil on Japanese Medaka (Oryzias latipes) embryos.    ABSTRACT:  Pesticides in urban runoff are a major source of pollutants in aquatic ecosystems. Fipronil, a phenylpyrazole insecticide, found in structural pest control products, turf grass control, and home pet flea medication, has recently increased in use and is commonly detected in urban runoff. However, little is known about the effects of fipronil on aquatic organisms at early developmental stages. Here, we evaluated toxicity of fipronil to embryos of Japanese Medaka (Oryzias latipes, Qurt strain) using a high-throughput 96-well plate toxicity test. Male and female embryos (&lt;6 h post fertilization) were exposed to concentrations of fipronil ranging from 0.1 to 910 μg L-1 for 14 days or until hatching. Embryos were subjected to gross and microscopic examinations of developmental adverse effects as well as transcriptome analysis using RNA-seq. Results indicated a positive dose-response in reduced hatching success, increased gross deformity (tail curvature) at a lowest-observed-effect concentration (LOEC) of 200 μg L-1 and delayed hatching (∼1 day at the highest concentration, LOEC = 600 μg L-1). The transcriptome analysis indicated that fipronil exposure enhanced expression of titin and telethonin, which are responsible for muscle development. It is therefore possible that the formation of a tail curvature is due to asymmetrical overgrowth of muscle. Our results indicate that sub-lethal effects occur in embryonic stages of an aquatic vertebrate following exposure to high concentrations of fipronil, although no adverse effects at the highest published environmentally relevant concentration (6.3 μg L-1) were observed.Published by Elsevier Ltd.  KEYWORDS:  MeSH Chemical: Insecticides| Pyrazoles| Water Pollutants, Chemical| fipronil MeSH: | Animals| Embryo, Nonmammalian/majr/drug effects| Female| Insecticides/majr/toxicity| Male| Oryzias/majr/embryology| Pyrazoles/majr/toxicity| Toxicity Tests| Water Pollutants, Chemical/majr/toxicity Other:Developmental deformity|ELISA|Multi-model inference|RNA-seq</t>
  </si>
  <si>
    <t>Environmental behavior of the chiral insecticide fipronil: Enantioselective toxicity, distribution and transformation in aquatic ecosystem.    ABSTRACT:  The enantioselective environmental behaviors of the chiral insecticide fipronil and its metabolites in lab-scale aquatic ecosystems were studied and the toxicity of fipronil enantiomers and the metabolites to non-target organisms Lemna minor (L. minor) and Anodonta woodiana (A. woodiana) was also investigated in this work. Water-sediment, water-L. minor, water-A. woodiana, and water-sediment-L. minor-A. woodiana ecosystems were set up and exposed to fipronil through a 90-day period. The results showed fipronil could be degraded significantly faster (half-life of 4.6 days) in the complex water-sediment-L. minor-A. woodiana ecosystem. A. woodiana played a crucial role in the dissipation of fipronil, and the microorganisms in the sediment also made great contribution to the degradation of fipronil in aquatic ecosystems. All the three metabolites fipronil desulfinyl, fipronil sulfide and fipronil sulfone were detected in the ecosystems and were more persistent than fipronil. Enantioselective degradation of fipronil was observed with S-fipronil being preferentially degraded in sediment and L. minor, while R-fipronil was metabolized preferentially in A. woodiana. EC50 for L. minor was obtained using 7-day exposure, and for A. woodiana was obtained using 72-h exposure. S-fipronil was more toxic to A. woodiana, while R-fipronil showed higher toxicity to L. minor. Moreover, the three metabolites were found more toxic than fipronil indicating significant environment risks due to their persistence. The present study might have important implications for the risk assessment of fipronil and its metabolites in real aquatic environment.Copyright © 2016 Elsevier Ltd. All rights reserved.  KEYWORDS:  MeSH Chemical: Insecticides MeSH: | Ecosystem/majr| Half-Life| Insecticides/majr Other:Aquatic ecosystem|Enantioselectivity|Fipronil|Metabolites|Toxicity|Transformation</t>
  </si>
  <si>
    <t>Exposure to sub-acute doses of fipronil and buprofezin in combination or alone induces biochemical, hematological, histopathological and genotoxic damage in common carp (Cyprinus carpio L.).    ABSTRACT:  Use of pesticides or insecticides can be highly toxic to aquatic life forms due to leaching and agricultural runoff, rains or flood. Fipronil (FP) is a GABA receptor inhibitor, while buprofezin (BPFN) is an insect growth regulator. Presently, we exposed groups of aquaria acclimated carp fish (Cyprinus carpio) for 96h to sub-lethal concentrations of fipronil (400μgL(-1); 9.15×10(-7)molL(-1)) and buprofezin (BPFN, 100mgL(-1); 1.072×10(-6)molL(-1)) singly or in combination. The extent of damage was assessed at biochemical, hematological, molecular biological and histopathological level. Results obtained in treated fish were compared statistically with those of control non-treated fish and also among treatment groups. Significance level was p&lt;0.05. Compared to control, serum total protein and globulin concentrations decreased significantly (p&lt;0.0001) in fish treated with FP; while albumin concentration remained unaltered with all treatments. Glucose concentration decreased significantly (p&lt;0.002) in fish treated with FP. In contrast, combined FP+BPFN treatment and BPFN treatment caused insignificant elevation of glucose concentration. Hematological assessment demonstrated significant decrease in red blood cell and thrombocyte counts, hemoglobin concentration and hematocrit percent; while white blood cell count showed an increase in all treatment groups (p&lt;0.0001). Blood smears from pesticide treated fish revealed aberrant erythrocyte morphologies which included necrosis, micronuclear formation and hyperchromatosis. DNA laddering assay carried out on whole blood demonstrated excessive smear formation in combined FP+BPFN and BPFN treatment groups but no smear formation was noticeable in FP treated fish. Compared to control, whole blood DNA content increased significantly in the combined FP+BPFN and BPFN treatment groups (p&lt;0.001 and p&lt;0.009). With all treatments histopathological changes observed in the gills were: epithelial uplifting and necrosis of lamellae, lamellar atrophy, disruption of cartilaginous core, fusion and disorganization of lamellae and telangiectasia. In liver these were: karyorrhexis, hepatocellular hypertrophy, nuclear hypertrophy, melanomacrophage aggregates and central vein contraction, while in the kidney: deterioration of glomerulus and dilatation of Bowman's space, dilatation of renal tubules, thyroidisation, altered tubular lumen, nuclear hypertrophy, cellular atrophy, and cellular necrosis were the outcome. Our study revealed that FP and BPFN produce highly toxic effects on fish when given in combination or singly. To our knowledge, this is the first report on toxicity caused by FP and BPFN in single and combined state. Copyright © 2016 Elsevier B.V. All rights reserved.  KEYWORDS:  MeSH Chemical: Blood Glucose| Hemoglobins| Insecticides| Pyrazoles| Thiadiazines| Water Pollutants, Chemical| buprofezin| fipronil MeSH: | Animals| Blood Cell Count| Blood Glucose/analysis| Carps/majr/genetics/metabolism| DNA Damage/majr/drug effects| Erythrocytes/cytology/drug effects| Gills/drug effects/metabolism/pathology| Hematocrit| Hemoglobins/metabolism| Insecticides/majr/chemistry/toxicity| Kidney/drug effects/metabolism/pathology| Liver/drug effects/metabolism/pathology| Pyrazoles/majr/toxicity| Thiadiazines/majr/toxicity| Water Pollutants, Chemical/majr/chemistry/toxicity Other:Buprofezin|Common carp|Fipronil|Fish toxicology|Genotoxicity|Pesticide toxicity</t>
  </si>
  <si>
    <t>Visceral Leishmaniasis on the Indian Subcontinent: Modelling the Dynamic Relationship between Vector Control Schemes and Vector Life Cycles.    ABSTRACT:  Visceral leishmaniasis (VL) is a disease caused by two known vector-borne parasite species (Leishmania donovani, L. infantum), transmitted to man by phlebotomine sand flies (species: Phlebotomus and Lutzomyia), resulting in ≈50,000 human fatalities annually, ≈67% occurring on the Indian subcontinent. Indoor residual spraying is the current method of sand fly control in India, but alternative means of vector control, such as the treatment of livestock with systemic insecticide-based drugs, are being evaluated. We describe an individual-based, stochastic, life-stage-structured model that represents a sand fly vector population within a village in India and simulates the effects of vector control via fipronil-based drugs orally administered to cattle, which target both blood-feeding adults and larvae that feed on host feces.Simulation results indicated efficacy of fipronil-based control schemes in reducing sand fly abundance depended on timing of drug applications relative to seasonality of the sand fly life cycle. Taking into account cost-effectiveness and logistical feasibility, two of the most efficacious treatment schemes reduced population peaks occurring from April through August by ≈90% (applications 3 times per year at 2-month intervals initiated in March) and &gt;95% (applications 6 times per year at 2-month intervals initiated in January) relative to no control, with the cumulative number of sand fly days occurring April-August reduced by ≈83% and ≈97%, respectively, and more specifically during the summer months of peak human exposure (June-August) by ≈85% and ≈97%, respectively.Our model should prove useful in a priori evaluation of the efficacy of fipronil-based drugs in controlling leishmaniasis on the Indian subcontinent and beyond.  KEYWORDS:  MeSH Chemical: Insecticides| Pyrazoles| fipronil MeSH: | Adult| Animals| Cattle| Cattle Diseases/drug therapy/parasitology/prevention &amp; control| Communicable Disease Control/majr/economics/methods/statistics &amp; numerical data| Computer Simulation| Humans| India/epidemiology| Insect Vectors/majr/drug effects/growth &amp; development/parasitology| Insecticides/majr/administration &amp; dosage| Leishmania donovani/drug effects| Leishmaniasis/majr/drug therapy/prevention &amp; control/veterinary| Leishmaniasis, Visceral/majr/epidemiology/parasitology/prevention &amp; control| Male| Models, Statistical| Phlebotomus/majr/drug effects/growth &amp; development/parasitology| Pyrazoles/majr/administration &amp; dosage/therapeutic use</t>
  </si>
  <si>
    <t>Toxicity of 25 synthetic insecticides to the field population of Culex quinquefasciatus Say.    ABSTRACT:  The Culex quinquefaciatus Say, commonly known as the southern house mosquito, is well known for biting nuisance and vectoring of some fatal diseases. Synthetic chemicals have been relied upon as the major control measure to control mosquitoes. Therefore, we have evaluated 21 insecticides belonging to different chemical classes for their toxicity to C. quinquefaciatus females. Chlorfenapyr was the most toxic adulticide among all the tested insecticides. Among pyrethroids, deltamethrin was the least toxic adulticide, and all other have same toxicity. In case of organophosphates, the chlorpyrifos was the most toxic insecticide. Neonicotinoids such as acetamiprid, nitenpyram, and clothianidin have similar toxicity based on overlapping of 95 % confidence intervals (CI) and were more toxic when compared with the imidacloprid. The spinetoram was more toxic as compared with the spinosad (based on non-overlapping 95 % Cl). In case of ketoenoles, spirotetrament was more toxic as compared with the spiromesifen. Emamectin benzoate was the most toxic insecticide when compared with fipronil and indoxacarb. We also have tested four insect growth regulators (IGRS) including lufenuron, methoxyfenozide, pyriproxyfen, and cyromazine as larvicides. The lufenuron and pyriproxyfen have similar toxicity based upon their overlapping 95 % CI and were more toxic as compared with the methoxyfenozide and cyromazine. The methoxyfenozide was the moderately toxic among all the tested IGRS, and cyromazine was the least toxic among all the tested IGRS. These results will prove helpful in effectuating an effective integrated vector management program for C. quinquefaciatus.  KEYWORDS:  MeSH Chemical: Hydrazines| Imidazoles| Insecticides| Juvenile Hormones| Neonicotinoids| Nitriles| Nitro Compounds| Pyrethrins| Pyridines| decamethrin| nitenpyram| imidacloprid| pyriproxyfen| acetamiprid| methoxyfenozide| chlorfenapyr MeSH: | Animals| Culex/majr/drug effects| Female| Hydrazines| Imidazoles| Insecticides/majr/chemical synthesis| Juvenile Hormones/pharmacology| Neonicotinoids| Nitriles| Nitro Compounds| Pyrethrins/pharmacology| Pyridines Other:Adulticides|Chemical control|Larvicides|Synthetic insecticides|Vector management</t>
  </si>
  <si>
    <t>Electrospun and functionalized PVDF/PAN nanocatalyst-loaded composite for dechlorination and photodegradation of pesticides in contaminated water.    ABSTRACT:  A novel approach for the electrospinning and functionalization of nanocatalyst-loaded polyvinylidene fluoride/polyacrylonitrile (PVDF/PAN) composite grafted with acrylic acid (AA; which form polyacrylic acid (PAA) brush) and decorated with silver (Ag/PAN/PVDF-g-PAA-TiO2/Fe-Pd) designed for the dechlorination and photodegradation of pesticides was carried out. PAN was used both as a nitrogen dopant as well as a co-polymer. Smooth nanofibers were obtained by electrospinning a solution of 12:2 wt.% PVDF/PAN blend using dimethylformamide (DMF) as solvent. The nanofibers were grafted with AA by free-radical polymerization using 2,2'azobis(2-methylpropionitrile) (AIBN) as initiator. Both bimetallic iron-palladium (Fe-Pd) and titania (TiO2) nanoparticles (NP) were anchored on the grafted nanofibers via the carboxylate groups by in situ and ex situ synthesis. The Fe-Pd and nitrogen-doped TiO2 nanoparticles were subsequently used for dechlorination and oxidation of target pollutants (dieldrin, chlorpyrifos, diuron, and fipronil) to benign products. Structural and chemical characterizations of the composites were done using various techniques. These include surface area and porosity analyzer (ASAP) using the technique by Brunner Emmett Teller (BET), Fourier transform infrared (FTIR), X-ray diffraction (XRD), scanning electron microscopy (SEM), and transmission electron microscope (TEM) analyses were done. After dechlorination, the transformation products (TPs) for dieldrin, chlorpyrifos, diuron, and fipronil were obtained and identified using two-dimensional gas chromatography (time-of-flight) with a mass spectrometer detector (GCxGC-TOFMS). Analysis of total organic carbon (TOC) was carried out and used to extrapolate percentage mineralization. Experimental results showed that dechlorination efficiencies of 96, 93, 96, and 90 % for 1, 2, 2, and 3 h treatment period were respectively achieved for 5 ppm solutions of dieldrin, chlorpyrifos, diuron, and fipronil. The dechlorination of dieldrin, diuron, and fipronil follows first-order kinetics while that of chlorpyrifos followed pseudo-first order. Mineralization performance of 34 to 45 % were recorded when Fe-Pd was used, however upon electrospinning, doping, and grafting (Ag/PAN/PVDF-g-PAA-TiO2/Fe-Pd composite); it significantly increased to 99.9999 %. This composite reveals great potential for dechlorination and mineralization of pesticides in contaminated water.  KEYWORDS:  MeSH Chemical: Acrylic Resins| Pesticides| Polyvinyls| Water Pollutants, Chemical| titanium dioxide| polyvinylidene fluoride| polyacrylonitrile| Palladium| Titanium| Iron MeSH: | Acrylic Resins/majr/chemistry| Catalysis| Halogenation| Iron/chemistry| Light| Microscopy, Electron, Scanning| Microscopy, Electron, Transmission| Models, Theoretical| Nanocomposites/majr/chemistry| Nanofibers/majr/chemistry| Palladium/chemistry| Pesticides/majr/analysis/radiation effects| Photolysis| Polyvinyls/majr/chemistry| Surface Properties| Titanium/chemistry| Water Pollutants, Chemical/majr/analysis/radiation effects| Water Purification/majr/methods| X-Ray Diffraction Other:Composite|Dechlorination|Electrospinning|Nanofibers|Pesticides|Photodegradation</t>
  </si>
  <si>
    <t>Comparison of fipronil sources in North Carolina surface water and identification of a novel fipronil transformation product in recycled wastewater.    ABSTRACT:  Fipronil is a phenylpyrazole insecticide that is widely used in residential and agricultural settings to control ants, roaches, termites, and other pests. Fipronil and its transformation products have been found in a variety of environmental matrices, but the source[s] which makes the greatest contribution to fipronil in surface water has yet to be determined. A sampling effort designed to prioritize known fipronil inputs (golf courses, residential areas, biosolids application sites and wastewater facilities) was conducted in North Carolina to learn more about the origins of fipronil in surface water. High resolution mass spectrometry (HRMS) analysis indicated that fipronil and its known derivatives were routinely present in all samples, but concentrations were substantially elevated near wastewater treatment plant outfalls (range 10-500ng/L combined), suggesting that they predominate as environmental sources. Corresponding recycled wastewater samples, which were treated with NaOCl for disinfection, showed disappearance of fipronil and all known degradates. HRMS and nuclear magnetic resonance (NMR) analysis techniques were used to determine that all fipronil-related compounds are oxidized to a previously unidentified fipronil sulfone chloramine species in recycled wastewater. The implications of the presence of a new fipronil-related compound in recycled wastewater need to be considered. Published by Elsevier B.V.  KEYWORDS:  MeSH Chemical: Insecticides| Pyrazoles| Waste Water| Water Pollutants, Chemical| fipronil MeSH: | Conservation of Water Resources| Environmental Monitoring| Insecticides/majr/analysis/chemistry| Magnetic Resonance Spectroscopy| Mass Spectrometry| North Carolina| Pyrazoles/majr/analysis/chemistry| Recycling| Waste Water/majr/analysis| Water Pollutants, Chemical/majr/analysis/chemistry Other:Fipronil|High resolution mass spectrometry|Source evaluation|Transformation|Wastewater|Water reuse</t>
  </si>
  <si>
    <t>Memory impairment due to fipronil pesticide exposure occurs at the GABAA receptor level, in rats.    ABSTRACT:  Fipronil (F) a pesticide considered of second generation cause various toxic effects in target and non-target organisms including humans in which provoke neurotoxicity, having the antagonism of gamma-amino butyric acid (GABA) as their main mechanism for toxic action. GABAergic system has been involved in processes related to the memory formation and consolidation. The present work studied the importance of GABA to the mechanisms involved in the very early development of fipronil-induced memory impairment in rats. Memory behavior was assessed using new object recognition task (ORT) and eight radial arm maze task (8-RAM) to study effects on cognitive and spatial memory. Locomotor behavior was assessed using open field task (OF). The dose of fipronil utilized was studied through a pilot experiment. The GABA antagonist picrotoxin (P) was used to enhance fipronil effects on GABAergic system. Fipronil or picrotoxin decrease memory studied in ORT and 8-RAM tasks. Additionally, F and P co-exposure enhanced effects on memory compared to controls, F, and P, suggesting strongly a GABAergic effect. Weight gain modulation and fipronil in blood were utilized as animal's intoxication indicators. In conclusion, here we report that second-generation pesticides, such as fipronil, can have toxic interactions with the CNS of mammals and lead to memory impairment by modulating the GABAergic system.Copyright © 2016 Elsevier Inc. All rights reserved.  KEYWORDS:  MeSH Chemical: GABA Antagonists| Pesticides| Pyrazoles| Receptors, GABA-A| Picrotoxin| fipronil MeSH: | Animals| Disease Models, Animal| Dose-Response Relationship, Drug| GABA Antagonists/pharmacology| Male| Maze Learning/drug effects/physiology| Memory Disorders/majr/chemically induced/metabolism| Memory, Long-Term/drug effects/physiology| Memory, Short-Term/drug effects/physiology| Motor Activity/drug effects/physiology| Pesticides/majr/toxicity| Picrotoxin/pharmacology| Pilot Projects| Pyrazoles/majr/toxicity| Random Allocation| Rats, Wistar| Receptors, GABA-A/majr/metabolism| Recognition, Psychology/drug effects/physiology| Spatial Memory/drug effects/physiology| Weight Gain/drug effects Other:GABA|fipronil|memory behavior|pesticide|picrotoxin</t>
  </si>
  <si>
    <t>Fipronil-induced genotoxicity and DNA damage in vivo: Protective effect of vitamin E.    ABSTRACT:  Fipronil, an insecticide of the phenylpyrazole class has been classified as a carcinogen by United States Environmental Protection Agency, yet very limited information is available about its genotoxic effects. Adult male and female animals were gavaged with various doses of fipronil (2.5, 12.5, and 25 mg/kg body weight (bw)) to evaluate micronucleus test (mice), chromosome aberration (CA), and comet assay (rats), respectively. Cyclophosphamide (40 mg/kg bw; intraperitoneal) was used as positive control. Another group of animals were pretreated with vitamin E orally (400 mg/kg bw) for 5 days prior to administration of fipronil (12.5 mg/kg). Fipronil exposure in both male and female mice caused significant increase in the frequency of micronuclei (MN) in polychromatic erythrocytes. Similarly, structural CAs in bone marrow cells and DNA damage in the lymphocytes was found to be significantly higher in the male and female rats exposed to fipronil as compared to their respective controls. The average degree of protection (male and female animals combined together) shown by pretreatment of vitamin E against fipronil-induced genotoxicity was 63.28%: CAs; 47.91%: MN formation; and 74.70%: DNA damage. Findings of this study demonstrate genotoxic nature of fipronil regardless of gender effect and documents protective role of vitamin E.  KEYWORDS:  MeSH Chemical: Antiparasitic Agents| Insecticides| Protective Agents| Pyrazoles| Vitamins| Vitamin E| fipronil MeSH: | Animals| Antiparasitic Agents/majr/toxicity| Bone Marrow Cells/drug effects| Comet Assay| DNA Damage| Female| Insecticides/majr/toxicity| Lymphocytes/drug effects| Male| Mice| Micronuclei, Chromosome-Defective/chemically induced| Micronucleus Tests| Protective Agents/majr/pharmacology| Pyrazoles/majr/toxicity| Rats| Rats, Sprague-Dawley| Vitamin E/majr/pharmacology| Vitamins/majr/pharmacology Other:chromosome aberrations|comet assay|fipronil|micronucleus test|rats and mice|vitamin E</t>
  </si>
  <si>
    <t>Progressive loss of nigrostriatal dopaminergic neurons induced by inflammatory responses to fipronil.    ABSTRACT:  Inflammatory responses are involved in mechanisms of neuronal cell damage in the pathogenesis of neurodegenerative diseases such as Parkinson's disease (PD). We investigated the mechanisms whereby inflammatory responses contribute to loss of dopaminergic neurons in fipronil (FPN)-treated rats. After stereotaxic injection of FPN in the substantia nigra (SN), the number of tyrosine hydroxylase (TH)-positive neurons and the levels of TH expression in the SN decreased at 7days, and a significant decrease was observed at 14days with a subsequent reduction in striatal TH expression. Decreases in dopamine (DA) levels, however, began at 3days post-injection, preceding the changes in TH expression. In contrast, glial fibrillary acidic protein (GFAP) expression was significantly increased at 3days and persisted for up to 14days post-lesion; these changes in GFAP expression appeared to be inversely correlated with TH expression. Furthermore, we found that FPN administration induced an inflammatory response characterized by increased levels of inducible NO synthase (iNOS), cyclooxygenase-2 (COX-2), and tumor necrosis factor-α (TNF-α), which was mediated by activated microglia following infusion of FPN unilaterally into the SN. Intranigral injection of FPN underwent an inflammatory response with a resultant ongoing loss of dopaminergic neurons, indicating that pesticides may have important implication for the study of PD. Crown Copyright © 2016. Published by Elsevier Ireland Ltd. All rights reserved.  KEYWORDS:  MeSH Chemical: Biomarkers| Glial Fibrillary Acidic Protein| Nerve Tissue Proteins| Pesticides| Pyrazoles| Tumor Necrosis Factor-alpha| Nitric Oxide Synthase Type II| Nos2 protein, rat| Tyrosine 3-Monooxygenase| Cyclooxygenase 2| Ptgs2 protein, rat| fipronil| Dopamine MeSH: | Animals| Biomarkers/metabolism| Cyclooxygenase 2/chemistry/metabolism| Disease Progression| Dopamine/chemistry/metabolism| Dopaminergic Neurons/majr/drug effects/immunology/metabolism/pathology| Encephalitis/majr/etiology| Glial Fibrillary Acidic Protein/agonists/metabolism| Injections, Intraventricular| Male| Nerve Tissue Proteins/agonists/antagonists &amp; inhibitors/metabolism| Neurotoxicity Syndromes/majr/immunology/metabolism/pathology/physiopathology| Nitric Oxide Synthase Type II/chemistry/metabolism| Pesticides/majr/toxicity| Pyrazoles/majr/administration &amp; dosage/toxicity| Random Allocation| Rats, Sprague-Dawley| Stereotaxic Techniques| Striatonigral Degeneration/majr/etiology| Substantia Nigra/majr/drug effects/immunology/metabolism/pathology| Tumor Necrosis Factor-alpha/agonists/metabolism| Tyrosine 3-Monooxygenase/antagonists &amp; inhibitors/metabolism Other:Cyclooxygenase-2|Dopaminergic neuron|Fipronil|Inducible NO synthase|Inflammation</t>
  </si>
  <si>
    <t>Expression pattern and pharmacological characterisation of two novel alternative splice variants of the glutamate-gated chloride channel in the small brown planthopper Laodelphax striatellus.    ABSTRACT:  Glutamate-gated chloride channels (GluCl) mediate fast inhibitory neurotransmission in invertebrate nervous systems. Although only one GluCl gene was presented in insects, it showed diverse alternative splicing that was speculated could affect channel function and pharmacology.In this study, we isolated GluCl cDNAs from adults of the small brown planthopper (SBPH) Laodelphax striatellus and showed that six L. striatellus GluCl variants (LsGluCl-AS, LsGluCl-BS, LsGluCl-CS, LsGluCl-AL, LsGluCl-BL, LsGluCl-CL) were present in the SBPH. The expression patterns of six variants differed among developmental stages (egg, first- to fifth-instar nymphs, male and female adults) and among the body parts (head, thorax, abdomen, leg) of the female adult SBPH. All the transcripts were abundant in the head of the adult. When expressed in African clawed frog, Xenopus laevis, oocytes, the two functional variants (LsGluCl-AS, LsGluCl-AL) had similar EC50 and IC50 values for L-glutamate and channel blockers picrotoxinin and fipronil.This study represents a comprehensive molecular, expression and pharmacological characterisation of GluCl in the SBPH. These findings should be useful in providing more opportunities to discover novel insect control chemicals. © 2016 Society of Chemical Industry.© 2016 Society of Chemical Industry.  KEYWORDS:  MeSH Chemical: Chloride Channels| DNA, Complementary| GABA-A Receptor Antagonists| Insect Proteins| Insecticides| Pyrazoles| glutamate-gated chloride channels| Picrotoxin| Glutamic Acid| picrotoxinin| fipronil MeSH: | Alternative Splicing| Amino Acid Sequence| Animals| Base Sequence| Chloride Channels/majr/chemistry/genetics/metabolism| Cloning, Molecular| DNA, Complementary/genetics/metabolism| Female| GABA-A Receptor Antagonists/majr/pharmacology| Glutamic Acid/metabolism| Hemiptera/majr/drug effects/genetics/growth &amp; development/metabolism| Insect Proteins/majr/chemistry/genetics/metabolism| Insecticides/majr/pharmacology| Lethal Dose 50| Male| Nymph/drug effects/genetics/growth &amp; development/metabolism| Picrotoxin/analogs &amp; derivatives/pharmacology| Pyrazoles/pharmacology| Sequence Alignment Other:alternative splicing|fipronil|glutamate-gated chloride channel|ivermectin|small brown planthopper</t>
  </si>
  <si>
    <t>miRNA-216 and miRNA-499 target cyb561d2 in zebrafish in response to fipronil exposure.    ABSTRACT:  MicroRNA (miRNA) can regulate the expression of its target gene by mediating mRNA cleavage or by translational repression at a post-transcriptional level. Usually, one miRNA may regulate many genes as its targets, while one gene may also be targeted by many miRNAs. We previously demonstrated that cyb561d2, whose protein product is involved in cell defense, and chemical stress, is targeted by miR-155 in adult zebrafish (Danio rerio) when exposed to fipronil (5-amino-1-[2,6-dichloro-4-(trifluoromethyl) phenyl]-4-[(trifluoromethyl) sulphinyl]-1H-pyrazole-3-carbonitrile). Microcosm Targets prediction showed that the cyb561d2 gene is also highly possibly targeted by miR-194a, miR-216b, miR-429, and miR-499. These interactions need to be further validated experimentally. In this study, we evaluated the effects of fipronil on miR-194a, miR-216b, miR-429, miR-499 and cyb561d2 in zebrafish and investigated whether these four miRNAs could regulate the expression of cyb561d2 in both mRNA and protein levels. The expression of cyb561d2 was upregulated in both mRNA and protein level in a dose-dependent manner upon stimulation of fipronil, and miR-216b and miR-499 were downregulated concurrently, whereas there was no significant changes were observed in the expression level of miR-194a and miR-429. The dual luciferase report assay demonstrated that miR-216b and miR-499 interacted with cyb561d2 3'-untranslated regions (3'-UTR), miR-194a and miR-429 did not stimulate degradation of cyb561d2 mRNA. The expression of cyb561d2 was reduced in both mRNA and protein level when ZF4 cells were transfected with miR-499 mimic, whereas expression level of both mRNA and protein was increased when endogenous miR-499 was inhibited by transfection with miR-499 inhibitor. Likewise, the mRNA and protein level of cyb561d2 was affected by treatment with the mimics and the inhibitor of miR-216b. In contrast, when ZF4 cells were transfected with a mimic of miR-194a or miR-429, the expression of cyb561d2 mRNA was not significantly changed. As a result, cyb561d2 is targeted by miR-155, miR-216b and miR-499 upon fipronil exposure, and miR-194a and miR-429 can not target cyb561d2. The expression pattern of these 3 miRNAs presents novel fipronil responses that could be used as a toxicological biomarker. Copyright © 2016 Elsevier B.V. All rights reserved.  KEYWORDS:  MeSH Chemical: Antiparasitic Agents| Cytochrome b Group| Insecticides| Membrane Proteins| MicroRNAs| Pyrazoles| RNA, Messenger| Tumor Suppressor Proteins| Zebrafish Proteins| fipronil MeSH: | Animals| Antiparasitic Agents/toxicity| Cell Line| Cytochrome b Group/majr/genetics/metabolism| HEK293 Cells| Humans| Insecticides/toxicity| Membrane Proteins/genetics/metabolism| MicroRNAs/majr/genetics| Pyrazoles/majr/toxicity| RNA, Messenger/metabolism| Tumor Suppressor Proteins/genetics/metabolism| Zebrafish/majr/genetics/metabolism| Zebrafish Proteins/majr/genetics/metabolism Other:Fipronil|MicroRNA|Toxicity|Zebrafish|cyb561d2|miR-155|miR-216b|miR-499</t>
  </si>
  <si>
    <t>Comparison of pollutant concentrations from weekly discrete versus composite samples for residential dry-weather runoff.    ABSTRACT:  As urbanization has increased, so has degradation of urban streams. Urban water quality monitoring has focused on storm runoff sampling, but in arid climates, dry-weather runoff is a significant contributor of pollutants to aquatic systems. The majority of dry-weather runoff studies sample a small window of the entire dry-season. For this study constituent concentrations were compared using two sampling protocols. The first protocol repeatedly collected samples on the same day of the week at the same time of day. The second protocol collected samples during two week-long intensive sampling events consisting of sample collection every hour for 24 h for seven consecutive days. The two protocols were compared to determine if sampling at the same time of the week was representative of the entire week. For nitrate, total phosphorous, fipronil, permethrin, total organic carbon, and total suspended solids, sampling at the same time was not representative of the weekly mean; however, variability was observed between sites and constituents. For those constituent concentrations with significant differences seen between the two protocols, load adjustment factors (LAF) were determined, using a ratio of treatment means, and employed to adjust dry-season load estimates. Future work should include determining if LAF values can be used at similar sites excluded from the study or for similar constituents from the current sampling sites. Copyright © 2016. Published by Elsevier Ltd.  KEYWORDS:  MeSH Chemical: Nitrates| Pyrazoles| Water Pollutants, Chemical| Phosphorus| Permethrin| Carbon| fipronil MeSH: | California| Carbon/analysis| Environmental Monitoring/majr/methods| Nitrates/analysis| Permethrin/analysis| Phosphorus/analysis| Pyrazoles/analysis| Rain| Seasons| Urbanization| Water Movements| Water Pollutants, Chemical/majr/analysis| Weather Other:Dry-weather|Pesticides|Residential|Runoff|Urban</t>
  </si>
  <si>
    <t>Evaluation and comparison of a flumethrin-imidacloprid collar and repeated monthly treatments of fipronil/(s)-methoprene to control flea, Ctenocephalides f. felis, infestations on cats for eight months.    ABSTRACT:  This controlled laboratory study was designed to evaluate the efficacy of the 10 % imidacloprid/4.5 % flumethrin collar (Seresto®, Bayer Animal Health) against fleas (Ctenocephalides f. felis) on cats, when compared to fipronil (9.8 %w/w)/(s)-methoprene (11.8 % w/w) topical spot-on formulation (Frontline® Plus for Cats and Kittens, Merial).Thirty cats were randomized into three groups of ten animals based on pre-treatment flea counts: Group 1: imidacloprid/flumethrin collar; Group 2: fipronil/(s)-methoprene topical spot-on and Group 3: non-treated controls. The imidacloprid/flumethrin collars were applied one time on Day 0, while the fipronil/(s)-methoprene spot-on was administered every 30 days from Day 0 through Day 210. Cats were infested with 100 fleas on study days 0, 7, 14, 29, 59, 89, 119, 149, 179, 209 and 239. All flea counts were conducted by combing to remove fleas on post-treatment days 2, 8, 15, 30, 60, 90, 120, 150, 180, 210 and 240.The efficacy of the imidacloprid/flumethrin collar ranged from 98.2 to 100 % for eight months. The efficacy of fipronil/(s)-methoprene spot-on ranged from 68.2 to 99.9 %. Efficacy was &lt; 85 % for fipronil/(s)-methoprene on Days 90, 150 and 210. The flea counts in both treatment groups were significantly fewer than those in the non-treated control group at every post-treatment study day (P &lt; 0.0001). In addition, there were significantly fewer fleas in the imidacloprid/flumethrin collar group when compared to the fipronil/(s)-methoprene group on Days 90, 150 and 210 (P &lt; 0.0001).This study demonstrated that the imidacloprid/flumethrin collar (Seresto®, Bayer Animal Health) maintained excellent ( &gt; 98.2 %) efficacy against fleas on cats for the entire 8 month study. Monthly applications of fipronil/(s)-methoprene (Frontline® Plus for Cats and Kittens, Merial) generally had high, but variable (68.2 to 99.9 %) efficacy over the course of the eight month study. Based on the very high residual efficacy achieved by the imidacloprid/flumethrin collar in this study, veterinarians should expect that this collar will control and eliminate existing flea infestations on cats and in their in-home premises as long as every flea infested host is treated.  KEYWORDS:  MeSH Chemical: Imidazoles| Insecticides| Neonicotinoids| Nitro Compounds| Pyrazoles| Pyrethrins| flumethrin| imidacloprid| Methoprene| fipronil MeSH: | Animals| Cat Diseases/majr/prevention &amp; control| Cats| Ctenocephalides/majr/drug effects| Drug Therapy, Combination| Female| Flea Infestations/majr/prevention &amp; control/veterinary| Imidazoles/administration &amp; dosage| Insecticides/majr/administration &amp; dosage| Male| Methoprene/administration &amp; dosage| Neonicotinoids| Nitro Compounds/administration &amp; dosage| Pyrazoles/administration &amp; dosage| Pyrethrins/administration &amp; dosage Other:(S)-methoprene|Cat|Cat flea|Collar|Ctenocephalides f. felis|Feline|Fipronil|Flumethrin|Imidacloprid</t>
  </si>
  <si>
    <t>Storm-event-transport of urban-use pesticides to streams likely impairs invertebrate assemblages.    ABSTRACT:  Insecticide use in urban areas results in the detection of these compounds in streams following stormwater runoff at concentrations likely to cause toxicity for stream invertebrates. In this 2013 study, stormwater runoff and streambed sediments were analyzed for 91 pesticides dissolved in water and 118 pesticides on sediment. Detections included 33 pesticides, including insecticides, fungicides, herbicides, degradates, and a synergist. Patterns in pesticide occurrence reveal transport of dissolved and sediment-bound pesticides, including pyrethroids, from upland areas through stormwater outfalls to receiving streams. Nearly all streams contained at least one insecticide at levels exceeding an aquatic-life benchmark, most often for bifenthrin and (or) fipronil. Multiple U.S. EPA benchmark or criterion exceedances occurred in 40 % of urban streams sampled. Bed sediment concentrations of bifenthrin were highly correlated (p &lt; 0.001) with benthic invertebrate assemblages. Non-insects and tolerant invertebrates such as amphipods, flatworms, nematodes, and oligochaetes dominated streams with relatively high concentrations of bifenthrin in bed sediments, whereas insects, sensitive invertebrates, and mayflies were much more abundant at sites with no or low bifenthrin concentrations. The abundance of sensitive invertebrates, % EPT, and select mayfly taxa were strongly negatively correlated with organic-carbon normalized bifenthrin concentrations in streambed sediments. Our findings from western Clackamas County, Oregon (USA), expand upon previous research demonstrating the transport of pesticides from urban landscapes and linking impaired benthic invertebrate assemblages in urban streams with exposure to pyrethroid insecticides.  KEYWORDS:  MeSH Chemical: Pesticides| Pyrethrins| Water Pollutants, Chemical MeSH: | Animals| Cities| Environmental Monitoring/methods| Geologic Sediments/majr/analysis| Invertebrates/majr| Oregon| Pesticides/majr/analysis| Pyrethrins/analysis| Rain| Rivers| Water Pollutants, Chemical/majr/analysis Other:Benthic invertebrates|Bifenthrin|Fipronil|Pesticides|Source|Transport|Urban streams</t>
  </si>
  <si>
    <t>Perinatal exposure to insecticide fipronil: effects on the reproductive system in male rats.    ABSTRACT:  Fipronil is an insecticide widely used in agriculture, veterinary medicine and public health that has recently been listed as a potential endocrine disrupter. In the present study we evaluated the effects of perinatal exposure to fipronil during the period of sexual brain differentiation and its later repercussions on reproductive parameters in male rats. Pregnant rats were exposed (via gavage) to fipronil (0.03, 0.3 or 3mgkg-1) from Gestational Day 15 until Postnatal Day 7. Fipronil exposure did not compromise the onset of puberty. In adulthood, there was no effect on organ weight or sperm production. Furthermore, there were no adverse effects on the number of Sertoli cells per seminiferous tubule, testicular and epididymal histomorphometry or histopathology or expression patterns of androgen receptor in the testis. Similarly, no changes were observed in the sexual behaviour or hormone levels. However, in rats exposed to fipronil, changes in sperm motility were observed, with a decrease in motile spermatozoa and an increase in non-mobile spermatozoa, which can compromise sperm quality in these rats. Perinatal exposure to fipronil has long-term effects on sperm parameters, and the epididymis can be a target organ. Additional studies should be undertaken to identify the mechanisms by which fipronil affects sperm motility.  KEYWORDS:  MeSH Chemical: Endocrine Disruptors| Insecticides| Pyrazoles| fipronil MeSH: | Administration, Oral| Animals| Asthenozoospermia/majr/chemically induced/pathology| Cell Shape/drug effects| Dose-Response Relationship, Drug| Endocrine Disruptors/majr/administration &amp; dosage/toxicity| Epididymis/majr/drug effects/pathology| Female| Fetal Development/drug effects| Insecticides/majr/administration &amp; dosage/toxicity| Lactation/majr| Male| Maternal Exposure/majr/adverse effects| Neurogenesis/drug effects| Organ Size/drug effects| Pregnancy| Pyrazoles/majr/administration &amp; dosage/toxicity| Rats, Wistar| Seminiferous Tubules/drug effects/pathology| Sperm Motility/drug effects| Spermatogenesis/drug effects| Testis/drug effects/pathology</t>
  </si>
  <si>
    <t>Parasitic zoonoses associated with dogs and cats: a survey of Portuguese pet owners' awareness and deworming practices.    ABSTRACT:  Parasitic diseases of companion animals comprise a group of globally distributed and rapidly spreading illnesses that are caused by a wide range of arthropods, helminths and protozoa. In addition to their veterinary importance, many of these parasites can also affect the human population, due to their zoonotic potential. The aim of the present work was to evaluate the knowledge of Portuguese pet owners regarding the zoonotic potential of parasites that dogs and cats can harbour, most common drugs, frequency of use and reasons for endo- and ectoparasite control.Seventy hundred and fifty multiple-choice questionnaires designed to obtain data knowledge about the meaning of zoonosis, knowledge about parasitic diseases and perception regarding their zoonotic potential, as well as the drugs, frequency and reason for deworming their animals were delivered to dog and/or cat owners from non-rural (i.e. urban or semi-urban) and rural parishes who attended veterinary medical centres from continental Portugal.A total of 536 (71.5 %) questionnaires were retrieved. Two hundred and ninety five (56.5 %) responders had heard of zoonosis/zoonoses, but only 184 (35.2 %) knew their meaning. Tick fever, mange, leishmaniosis and ascaridiosis/roundworms were the parasitic diseases from pets most frequently identified. The number of owners who recognized the different parasitoses, who stated to have heard about zoonoses and who were aware of the potential transmission of parasites from animals to humans was significantly higher in those with intermediate (i.e. ≥9 and ≤ 12 years of schooling) and/or higher academic degree (i.e. licentiate, master's and/or doctorate degrees). The combinations of febantel-pyrantel-praziquantel (23.5 %) and milbemycin-praziquantel (34.5 %) were the most widely endoparasitic drugs used in dogs and in cats, respectively. The most common ectoparasiticide used in dogs was a combination of imidacloprid-permethrin (33.4 %), while in cats it was imidacloprid (26.3 %) followed by fipronil (25.4 %). The most used treatment schedule against internal and external parasites in dogs and cats was an administration every three months and the main reason to do it was as a prophylactic purpose.The majority of Portuguese owners that attended veterinarian clinics use endoparasiticides and ectoparasiticides in/on their pets as a prophylactic measure, although in many cases not in the correct schedule of treatment. In addition, most of them are not aware of the possible transmission of parasites from their dogs and cats to themselves, a fact which highlights the important role of veterinarians in the continuous implementation of effective control measures to reduce the risk of parasitic infections in both humans and companion animals.  KEYWORDS:  MeSH: | Adolescent| Adult| Aged| Animals| Cat Diseases/majr/parasitology/transmission| Cats| Dog Diseases/majr/parasitology/transmission| Dogs| Female| Health Knowledge, Attitudes, Practice/majr| Humans| Male| Middle Aged| Parasites/majr/physiology| Parasitic Diseases/majr/parasitology/transmission| Pets| Portugal| Surveys and Questionnaires| Young Adult| Zoonoses/majr/parasitology Other:Cats|Dogs|Ectoparasites|Endoparasites|Owner awareness|Portugal|Zoonoses</t>
  </si>
  <si>
    <t>Bioswales reduce contaminants associated with toxicity in urban storm water.    ABSTRACT:  Contamination and toxicity associated with urban storm water runoff are a growing concern because of the potential impacts on receiving systems. California water regulators are mandating implementation of green infrastructure as part of new urban development projects to treat storm water and increase infiltration. Parking lot bioswales are low impact development practices that promote filtering of runoff through plants and soil. Studies have demonstrated that bioswales reduce concentrations of suspended sediments, metals, and hydrocarbons. There have been no published studies evaluating how well these structures treat current-use pesticides, and studies have largely ignored whether bioswales reduce toxicity in surface water. Three storms were monitored at 3 commercial and residential sites, and reductions of contaminants and associated toxicity were quantified. Toxicity testing showed that the majority of untreated storm water samples were toxic to amphipods (Hyalella azteca) and midges (Chironomus dilutus), and toxicity was reduced by the bioswales. No samples were toxic to daphnids (Ceriodaphnia dubia) or fish (Pimephales promelas). Contaminants were significantly reduced by the bioswales, including suspended solids (81% reduction), metals (81% reduction), hydrocarbons (82% reduction), and pyrethroid pesticides (74% reduction). The single exception was the phenypyrazole pesticide fipronil, which showed inconsistent treatment. The results demonstrate these systems effectively treat contaminated storm water associated with surface water toxicity but suggest that modifications of their construction may be required to treat some contaminant classes. Environ Toxicol Chem 2016;35:3124-3134. © 2016 SETAC.© 2016 SETAC.  KEYWORDS:  MeSH Chemical: Hydrocarbons| Metals| Pesticides| Pyrazoles| Pyrethrins| Soil| Water Pollutants, Chemical| fipronil MeSH: | Amphipoda/majr/drug effects| Animals| California| Chironomidae/majr/drug effects| Cladocera/drug effects| Cyprinidae/metabolism| Environmental Monitoring| Hydrocarbons/analysis/toxicity| Lethal Dose 50| Metals/analysis/toxicity| Pesticides/analysis/chemistry/toxicity| Pyrazoles/analysis/toxicity| Pyrethrins/analysis/toxicity| Soil/chemistry| Toxicity Tests| Water Pollutants, Chemical/majr/analysis/chemistry/toxicity Other:Bioswale|Metals|Pesticides|Storm water|Toxicity</t>
  </si>
  <si>
    <t>Differential Gene Expression Analysis of the Epacromius coerulipes (Orthoptera: Acrididae) Transcriptome.    ABSTRACT:  Epacromius coerulipes (Ivanov) is one of the most widely distributed locusts. To date, the main methods to kill locusts still rely on chemical controls, which can result in the selection of locusts with resistance to chemical pesticides. Butene-fipronil is a new pesticide that was discovered by the structural modification of fipronil. This pesticide has been used to control various agricultural pests and has become an important pesticide product to control pests that exhibit resistance to other pesticides, including locusts. To extend its useful half-life, studies of the initiation and progression of resistance to this pesticide are needed. Herein, two E. coerulipes strains, a pesticide-sensitive (PS) and a pesticide-resistant (PR) strain, were chosen to undergo de novo assembly by paired-end transcriptome Illumina sequencing. Overall, 63,033 unigenes were detected; the average gene length was 772 bp and the N50 was 1,589 bp. Among these unigenes, ∼ 25,132 (39.87% of the total) could be identified as known proteins in bioinformatic databases from national centers. A comparison of the PR and PS strains revealed that 2,568 genes were differentially expressed, including 1,646 and 922 genes that were up- and down-regulated, respectively. According to the Gene Ontology (GO) database, among biological processes the metabolic process group was the largest group (6,900 genes, 22.47%) and contained a high frequency of differentially expressed genes (544 genes, 27.54%). According to the Clusters of Orthologous Groups (COG) categories, 28 genes, representing 2.98% of all genes, belonged to the group of genes involved in the biosynthesis, transportation, and catabolism of secondary metabolites. The differentially expressed genes that we identified are involved in 50 metabolic pathways. Among these pathways, the metabolism pathway was the most represented. After enrichment analysis of differential gene expression pathways, six pathways--ribosome; starch, and sucrose metabolism; ascorbate and aldarate metabolism; drug metabolism-cytochrome P450; metabolism of xenobiotics by cytochrome P450; and glutathione metabolism--showed a high degree of enrichment. Among these pathways, drug metabolism-cytochrome P450, metabolism of xenobiotics by cytochrome P450, and glutathione metabolism have been associated with pesticide metabolism. Furthermore, 316 unigenes in the E. coerulipes transcriptome encode detoxifying enzymes and 76 unigenes encode target proteins of pesticides. Among these genes, 23 genes that encode detoxifying enzymes in the resistance group were found to be up-regulated. The transcriptome sequencing results of E. coerulipes established a genomics database of E. coerulipes for the first time. This study also establishes a molecular basis for gene function analysis of E. coerulipes Moreover, it provides a theoretical resource for mechanistic studies on pesticide resistance through the screening and investigation of resistance genes.© The Author 2016. Published by Oxford University Press on behalf of the Entomological Society of America.  KEYWORDS:  MeSH Chemical: 1-(2,6-dichloro-alpha,alpha,alpha-trifluoro-p-tolyl)-5-(2-methylamino)-4-(trifluoromethylsulfinyl)pyrazole-3-carbonitrile| Hydrocarbons, Halogenated| Insecticides| Pyrazoles MeSH: | Animals| Female| Gene Expression Profiling| Genes, Insect/genetics| Grasshoppers/majr/genetics/metabolism| Hydrocarbons, Halogenated| Insecticide Resistance/genetics| Insecticides| Larva/genetics/metabolism| Pyrazoles| Transcriptome/majr/genetics Other:Epacromius coerulipes (Ivanov)|differential gene expression analysis|pesticide resistance|transcriptome</t>
  </si>
  <si>
    <t>Multi-biomarker responses as indication of contaminant effects in Gambusia affinis from impacted rivers by municipal effluents.    ABSTRACT:  This study investigated toxic effects in mosquitofish from two urban rivers of South China impacted by municipal effluents by using multiple biomarkers including fish morphology, biochemical indicators and transcriptional responses, and explored potential cause-effect relationship with a list of chemicals (metals, polycyclic aromatic hydrocarbons (PAHs) and pesticides). The results showed significant alterations in metallothionein (MT) protein and mRNA expression in mosquitofish collected from the two rivers and a strong association between MT protein and mRNA expression levels and heavy metals in the river water. Both ethoxyresorufin-O-deethylase (EROD) activity and cytochromes P450 1A (CYP1A) mRNA expression were significantly enhanced in mosquitofish at most sampling sites. There existed a strong correlation between EROD activity and CYP1A mRNA expression levels, but no clear correlations between these responses and PAHs in the river water possibly because of the presence of many other agonists of the aryl hydrocarbon receptor in the two rivers. Significant acetylcholinesterase (AChE) inhibition was observed in mosquitofish brain samples. The pesticides in the two rivers showed an influence on the AChE activity, which was also found to be significantly negatively correlated to fipronil concentrations. Moreover, the result also indicates that metals and pesticides present in the two rivers might cause the observed estrogenic and androgenic effects in mosquitofish. The findings from this study clearly showed morphological, biochemical and transcriptional responses in mosquitofish due to chemical contamination of the two urban rivers. This multi-biomarker approach using mosquitofish can be applied to evaluate contamination of riverine environments. Copyright © 2016 Elsevier B.V. All rights reserved.  KEYWORDS:  MeSH Chemical: Environmental Biomarkers| Waste Water| Water Pollutants, Chemical MeSH: | Animals| China| Cyprinodontiformes/majr/metabolism| Environmental Biomarkers/drug effects| Female| Male| Rivers/chemistry| Toxicity Tests| Waste Water/majr/chemistry| Water Pollutants, Chemical/majr/metabolism Other:Biomarker|Chemicals|Metals|Mosquitofish|Pesticides|Toxic effects</t>
  </si>
  <si>
    <t>Laboratory and Field Evaluation of Zyrox Fly Granular Bait Against Asian and German Cockroaches (Dictyoptera: Blattellidae).    ABSTRACT:  The Asian cockroach (Blattella asahinai Mizukubo) was introduced to Florida in 1986 and has since spread throughout the Southeastern United States. Blattella asahinai is a peridomestic pest and high population densities in residential areas can become a nuisance, especially when adults fly into homes. Few studies to date have been conducted on Asian cockroach control, and we evaluated the efficacy of Zyrox Fly Granular Bait and Maxforce Complete Granular Insect Bait against this species in the laboratory compared with the closely related German cockroach (Blattella germanica (L.)). In no-choice and two-choice assays with both species, Zyrox bait and Maxforce bait achieved nearly 100% mortality within two and five days, respectively. We also tested Zyrox bait against B. asahinai in an invasive field population in North Carolina at the label rate (2 g/m(2)) and at approximately three times the label rate (6.9 g/m(2)), and found that broadcast applications at both rates reduced populations by an average of 64 and 92%, respectively, for 35 d after the initial application. Zyrox Fly Bait appears to be effective against the Asian and German cockroaches, and could be another tool in an integrated pest management program, if its label could be extended or the active ingredient (cyantraniliprole) formulated into a cockroach bait.© The Authors 2016. Published by Oxford University Press on behalf of Entomological Society of America. All rights reserved. For Permissions, please email: journals.permissions@oup.com.  KEYWORDS:  MeSH Chemical: Insecticides| Pyrazoles| ortho-Aminobenzoates| cyantraniliprole| fipronil MeSH: | Animals| Blattellidae/majr| Insect Control/majr| Insecticides/majr| North Carolina| Pyrazoles/majr| Species Specificity| ortho-Aminobenzoates/majr Other:Blattella asahinai|Blattella germanica|Maxforce Complete Granular Insect Bait|Zyrox Fly Granular Bait|cyantraniliprole</t>
  </si>
  <si>
    <t>Distribution of pesticides in dust particles in urban environments.    ABSTRACT:  In regions with a mild climate, pesticides are often used around homes for pest control. Recent monitoring studies have linked pesticide use in residential areas to aquatic toxicity in urban surface water ecosystems, and suggested dust particles on paved surfaces as an important source of pesticides. To test the hypothesis that dust on hard surfaces is a significant source of pesticides, we evaluated spatial and temporal patterns of current-use insecticides in Southern California, and further explored their distribution as a function of particle sizes. Pyrethroid insecticides were detected in dust from the driveway, curb gutter and street at 53.5-94.8%, with median concentrations of 1-46 ng g(-1). Pyrethroid residues were uniformly distributed in areas adjacent to a house, suggesting significant redistribution. The total levels of pyrethroids in dust significantly (p &lt; 0.01) decreased from October to February, suggesting rainfalls as a major mechanism to move pesticide residues offsite. Fipronil as well as its degradation products, were detected at 50.6-75.5%, and spatial and temporal patterns of fipronil residues suggested rapid transformations of fipronil to its biologically active intermediates. Moreover, pyrethroids were found to be enriched in fine particles that have a higher mobility in runoff than coarse particles. Results from this study highlight the widespread occurrence of pesticides in outdoor dust around homes and the potential contribution to downstream surface water contamination via rain-induced runoff. Copyright © 2016 Elsevier Ltd. All rights reserved.  KEYWORDS:  MeSH Chemical: Dust| Insecticides| Pesticide Residues| Pyrazoles| Pyrethrins| Water Pollutants, Chemical| fipronil MeSH: | California| Dust/majr| Ecosystem| Environmental Monitoring| Housing| Insecticides/majr/analysis| Pesticide Residues/analysis| Pyrazoles/analysis| Pyrethrins/majr/analysis| Rain/chemistry| Urban Population| Water Pollutants, Chemical/majr/analysis Other:Dust|Fipronil|Pyrethroids|Transport|Urban</t>
  </si>
  <si>
    <t>Fipronil promotes adipogenesis via AMPKα-mediated pathway in 3T3-L1 adipocytes.    ABSTRACT:  Emerging evidence suggests that organochlorine, organophosphorus and neonicotinoid insecticide exposure may be linked to the development of obesity and type 2 diabetes. However, there is no knowledge of the potential influence of fipronil, which belongs to the phenylpyrazole chemical family, on obesity. Thus, the goal of this study was to determine the role of fipronil in adipogenesis using 3T3-L1 adipocytes. Fipronil treatment, at 10 μM, increased fat accumulation in 3T3-L1 adipocytes as well as promoted key regulators of adipocyte differentiation (CCAAT/enhancer-binding protein α and peroxisome proliferator-activated receptor gamma-γ), and key regulators of lipogenesis (acetyl-CoA carboxylase and fatty acid synthase). The activation of AMPKα with 5-aminoimidazole-4-carboxamide ribonucleotide (AICAR) abolished effects of fipronil on increased adipogenesis. These results suggest that fipronil alters adipogenesis and results in increased lipid accumulation through a AMPKα-mediated pathway. Copyright © 2016 Elsevier Ltd. All rights reserved.  KEYWORDS:  MeSH Chemical: CCAAT-Enhancer-Binding Protein-alpha| Insecticides| PPAR gamma| Pyrazoles| RNA, Messenger| Ribonucleotides| Triglycerides| Aminoimidazole Carboxamide| AMP-Activated Protein Kinases| Acetyl-CoA Carboxylase| AICA ribonucleotide| fipronil MeSH: | 3T3-L1 Cells| AMP-Activated Protein Kinases/majr/genetics/metabolism| Acetyl-CoA Carboxylase/genetics/metabolism| Adipocytes/majr/cytology/drug effects/metabolism| Adipogenesis/majr/drug effects/physiology| Aminoimidazole Carboxamide/analogs &amp; derivatives/metabolism| Animals| CCAAT-Enhancer-Binding Protein-alpha/genetics/metabolism| Cell Differentiation/majr/drug effects| Cells, Cultured| Gene Expression Regulation/drug effects| Immunoblotting| Insecticides/pharmacology| Mice| PPAR gamma/genetics/metabolism| Pyrazoles/majr/pharmacology| RNA, Messenger/genetics| Real-Time Polymerase Chain Reaction| Reverse Transcriptase Polymerase Chain Reaction| Ribonucleotides/genetics/metabolism| Signal Transduction/drug effects| Triglycerides/majr/metabolism Other:AMPKα|Adipogenesis|Fipronil|Lipid metabolism|Phenylpyrazole</t>
  </si>
  <si>
    <t>Methoxyfenozide resistance of the housefly, Musca domestica L. (Diptera: Muscidae): cross-resistance patterns, stability and associated fitness costs.    ABSTRACT:  The housefly, Musca domestica L. (Diptera: Muscidae), is an insect pest of public health and veterinary importance with the ability to develop resistance to insecticides. Methoxyfenozide, an ecdysone agonist, is a biorational insecticide used for the management of various insect pests, including houseflies. To design an effective resistance management strategy, life history traits based on laboratory observations were established for methoxyfenozide-resistant (MXY-SEL), unselected counterpart (UNSEL) and reciprocal cross-strains of housefly.The MXY-SEL strain developed a resistance ratio of 160.99 after 30 generations of selection with methoxyfenozide by compared with the UNSEL strain. The MXY-SEL strain showed very low cross-resistance to cyromazine, fipronil and chlorpyrifos and no cross-resistance to spinosad and bifenthrin when compared with the Methoxy-Field population. Resistance to methoxyfenozide, cyromazine, fipronil, spinosad, chlorpyrifos and bifenthrin was unstable in the MXY-SEL strain. The MXY-SEL strain had a reduced relative fitness (0.31), with lower hatchability, a lower number of next-generation larvae, a lower intrinsic rate of natural increase and a lower biotic potential compared with the UNSEL strain.The disadvantageous life history traits of the MXY-SEL strain suggest that development of resistance to methoxyfenozide has considerable fitness costs for this strain. Moreover, the unstable resistance to the tested chemicals provides useful information for preserving the efficacy of these chemicals. © 2016 Society of Chemical Industry.© 2016 Society of Chemical Industry.  KEYWORDS:  MeSH Chemical: Hydrazines| Insecticides| Juvenile Hormones| methoxyfenozide MeSH: | Animals| Houseflies/majr/drug effects| Hydrazines/majr| Insect Control/methods| Insecticide Resistance/majr| Insecticides/majr| Juvenile Hormones/majr Other:biotic potential|intrinsic rate of natural increase|relative fitness|resistance management</t>
  </si>
  <si>
    <t>Glycinergic-Fipronil Uptake Is Mediated by an Amino Acid Carrier System and Induces the Expression of Amino Acid Transporter Genes in Ricinus communis Seedlings.    ABSTRACT:  Phloem-mobile insecticides are efficient for piercing and sucking insect control. Introduction of sugar or amino acid groups to the parent compound can improve the phloem mobility of insecticides, so a glycinergic-fipronil conjugate (GlyF), 2-(3-(3-cyano-1-(2,6-dichloro-4-(trifluoromethyl)phenyl)-4-((trifluoromethyl)sulfinyl)-1H-pyrazole-5-yl)ureido) acetic acid, was designed and synthesized. Although the "Kleier model" predicted that this conjugate is not phloem mobile, GlyF can be continually detected during a 5 h collection of Ricinus communis phloem sap. Furthermore, an R. communis seedling cotyledon disk uptake experiment demonstrates that the uptake of GlyF is sensitive to pH, carbonyl cyanide m-chlorophenylhydrazone (CCCP), temperature, and p-chloromercuribenzenesulfonic acid (pCMBS) and is likely mediated by amino acid carrier system. To explore the roles of amino acid transporters (AATs) in GlyF uptake, a total of 62 AAT genes were identified from the R. communis genome in silico. Phylogenetic analysis revealed that AATs in R. communis were organized into the ATF (amino acid transporter) and APC (amino acid, polyaminem and choline transporter) superfamilies, with five subfamilies in ATF and two in APC. Furthermore, the expression profiles of 20 abundantly expressed AATs (cycle threshold (Ct) values &lt;27) were analyzed at 1, 3, and 6 h after GlyF treatment by RT-qPCR. The results demonstrated that expression levels of four AAT genes, RcLHT6, RcANT15, RcProT2, and RcCAT2, were induced by the GlyF treatment in R. communis seedlings. On the basis of the observation that the expression profile of the four candidate genes is similar to the time course observation for GlyF foliar disk uptake, it is suggested that those four genes are possible candidates involved in the uptake of GlyF. These results contribute to a better understanding of the mechanism of GlyF uptake as well as phloem loading from a molecular biology perspective and facilitate functional characterization of candidate AAT genes in future studies.  KEYWORDS:  MeSH Chemical: Amino Acid Transport Systems| Pyrazoles| fipronil| Glycine MeSH: | Amino Acid Transport Systems/majr/metabolism| Genes, Plant| Glycine/majr/metabolism| Membrane Potentials| Phylogeny| Pyrazoles/majr/metabolism| Ricinus/majr/genetics/growth &amp; development/metabolism Other:Ricinus communis|amino acid transporter|fipronil|glycinergic|uptake</t>
  </si>
  <si>
    <t>Impact of Environmental Chemicals on the Transcriptome of Primary Human Hepatocytes: Potential for Health Effects.    ABSTRACT:  New paradigms for human health risk assessment of environmental chemicals emphasize the use of molecular methods and human-derived cell lines. In this study, we examined the effects of the insect repellent DEET (N,N-diethyl-m-toluamide) and the phenylpyrazole insecticide fipronil (fluocyanobenpyrazole) on transcript levels in primary human hepatocytes. These chemicals were tested individually and as a mixture. RNA-Seq showed that 100 μM DEET significantly increased transcript levels (α = 0.05) for 108 genes and lowered transcript levels for 64 genes and fipronil at 10 μM increased the levels of 2246 transcripts and decreased the levels for 1428 transcripts. Fipronil was 21-times more effective than DEET in eliciting changes, even though the treatment concentration was 10-fold lower for fipronil versus DEET. The mixture of DEET and fipronil produced a more than additive effect (levels increased for 3017 transcripts and decreased for 2087 transcripts). The transcripts affected for all chemical treatments were classified by GO analysis and mapped to chromosomes. The overall treatment responses, specific pathways, and individual transcripts affected were discussed at different levels of fold-change. Changes found in transcript levels in response to treatments will require further research to understand their importance in overall cellular, organ, and organismic function. © 2016 Wiley Periodicals, Inc.  KEYWORDS:  MeSH Chemical: Drug Combinations| Insect Repellents| Insecticides| Pyrazoles| DEET| fipronil MeSH: | Chromosome Mapping| DEET/majr/toxicity| Drug Combinations| Genome, Human| Hepatocytes/majr/cytology/drug effects/metabolism| Humans| Insect Repellents/majr/toxicity| Insecticides/majr/toxicity| Molecular Sequence Annotation| Primary Cell Culture| Pyrazoles/majr/toxicity| Sequence Analysis, RNA| Transcriptome/majr/drug effects Other:DEET|Endocrine System|Fipronil|Gene expression|Human hepatocytes|P450|RNA-Seq</t>
  </si>
  <si>
    <t>In utero and lactational exposure to fipronil in female rats: Pregnancy outcomes and sexual development.    ABSTRACT:  Fipronil, a phenylpyrazole insecticide, is used in agriculture, veterinary medicine, and public health. Because this insecticide is considered a potential endocrine disruptor, the aim of this study was to examine the influence of perinatal exposure to fipronil on neonatal female reproductive system development. Pregnant rats were exposed (via gavage) daily to fipronil (0.03, 0.3, or 3 mg/kg) from gestational day 15 to day 7 after birth, and effects on the reproductive functions assessed on postnatal day (PND) 22. No signs of maternal toxicity were observed during daily treatment with fipronil. Perinatal exposure to the highest dose of fipronil (3 mg/kg) delayed the age of vaginal opening (VO) and first estrus without markedly affecting the anogenital distance (AGD). Further, exposure to 0.3 mg/kg fipronil produced a significantly shorter estrus cycle and reduced number of cycles during the period of evaluation. However, the other reproductive parameters analyzed, including fertility, hormone levels, sexual behavior, and histology of ovaries and uterus, displayed no marked alterations. In this experimental model, fipronil interfered with development of neonatal female reproductive system as evidenced by delay in VO and estrus cycle alterations without apparent significant effects on fertility. Further studies are needed to identify the mechanisms of action associated with the observed female reproductive system changes.  KEYWORDS:  MeSH Chemical: Gonadal Steroid Hormones| Insecticides| Pyrazoles| fipronil MeSH: | Animals| Estrus/drug effects| Female| Fertility/drug effects| Gonadal Steroid Hormones/blood| Insecticides/majr/toxicity| Lactation| Male| Ovary/anatomy &amp; histology/drug effects/growth &amp; development| Pregnancy| Pregnancy Outcome/majr| Prenatal Exposure Delayed Effects/majr/chemically induced/pathology| Pyrazoles/majr/toxicity| Rats| Rats, Wistar| Sexual Behavior, Animal/drug effects| Sexual Development/majr/drug effects| Uterus/anatomy &amp; histology/drug effects/growth &amp; development| Vagina/growth &amp; development</t>
  </si>
  <si>
    <t>Fipronil sulfone induced higher cytotoxicity than fipronil in SH-SY5Y cells: Protection by antioxidants.    ABSTRACT:  Fipronil is a broad spectrum insecticide from the phenyl pyrazole family, which targets GABA receptor. Limited information is available about the metabolite fipronil sulfone cytotoxic actions. This study examined in vitro neurotoxicity of fipronil and fipronil sulfone and evaluated Trolox (vitamin E analog) (0.3, 1μM), N-acetyl-cysteine (0.5, 1mM), melatonin (0.1, 1μM) and Tempol (superoxide dismutase analog) (0.3, 0.5mM) protective role in SH-SY5Y cells. MTT and LDH assays were carried out to assess the cytotoxicity of fipronil and fipronil sulfone at 3-100μM concentrations. Fipronil sulfone was more toxic than fipronil. Tempol showed the best neuroprotectant profile against fipronil (50 and 150μM) and fipronil sulfone (3 and 10μM) reaching control levels. Fipronil (100μM) and fipronil sulfone (3μM) treatments induced a 4.7- and 5-fold increases in lipid peroxides measured as malondialdehyde (MDA) and a 2.2- and 2.0-fold increases in the levels of nitric oxide (NO). These results suggest that oxidative stress observed may be one of the major mechanisms of fipronil-induced neurotoxicity and it may be attributed in part to fipronil disposition and metabolism. Our results led us postulate that metabolite fipronil sulfone might be responsible for the fipronil-induced toxicity rather than fipronil itself. Copyright © 2016 Elsevier Ireland Ltd. All rights reserved.  KEYWORDS:  MeSH Chemical: Antioxidants| Insecticides| Neuroprotective Agents| Pyrazoles| Nitric Oxide| Malondialdehyde| fipronil sulfone| fipronil MeSH: | Antioxidants/majr/pharmacology| Cell Line, Tumor| Cell Survival/drug effects| Cytoprotection| Dose-Response Relationship, Drug| Humans| Inhibitory Concentration 50| Insecticides/majr/toxicity| Lipid Peroxidation/drug effects| Malondialdehyde/metabolism| Neurons/majr/drug effects/metabolism/pathology| Neuroprotective Agents/majr/pharmacology| Nitric Oxide/metabolism| Oxidative Stress/majr/drug effects| Pyrazoles/majr/toxicity Other:Antioxidants|Fipronil|Fipronil sulfone metabolite|Neurotoxicity|Oxidative stress|SH-SY5Y cells</t>
  </si>
  <si>
    <t>Effect of diphenyl diselenide diet supplementation on oxidative stress biomarkers in two species of freshwater fish exposed to the insecticide fipronil.    ABSTRACT:  The ability of diphenyl diselenide [(PhSe)2] to attenuate oxidative damage was evaluated in the liver, gills, brain, and muscle of carp (Cyprinus carpio) and silver catfish (Rhamdia quelen) experimentally exposed to fipronil (FPN). Initially, the fish were fed a diet without (PhSe)2 or a diet containing 3.0 mg/kg of (PhSe)2 for 60 days. After the 60-day period, the fish were exposed to 0.65 µg/L of FPN for 192 h. The results showed that carp exposed to FPN and not fed with (PhSe)2 exhibited acetylcholinesterase (AChE) inhibition in brain and muscle, and increased thiobarbituric acid-reactive substance (TBARS) in liver, gills, and brain. Furthermore, FPN decreased nonprotein thiols (NPSH) and δ-aminolevulinate dehydratase (δ-ALA-D) in carp liver and gills, and increased plasma glucose and protein levels. In silver catfish, FPN inhibited AChE and increased TBARS levels in muscle. In addition, glutathione S-transferase (GST) decreased in liver and muscle, and plasma glucose was increased. (PhSe)2 reversed some of these effects. It prevented the increase in TBARS levels in liver, gills, and brain in carp and in silver catfish muscle, and reversed the increase in plasma glucose levels in both species. Additionally, (PhSe)2 increased the NPSH levels in carp and silver catfish that had decreased in response to FPN exposure. However, (PhSe)2 was not effective in reversing the AChE inhibition in brain and muscle or the δ-ALA-D decrease in carp liver. Thus, (PhSe)2 protects tissues of both species of fish, mainly by preventing or counteracting the effects of FPN, on TBARS levels, antioxidants, and present anti-hyperglycemic property.  KEYWORDS:  MeSH Chemical: Benzene Derivatives| Biomarkers| Fish Proteins| Insecticides| Organoselenium Compounds| Pyrazoles| Sulfhydryl Compounds| Thiobarbituric Acid Reactive Substances| diphenyldiselenide| Aminolevulinic Acid| Glutathione Transferase| Acetylcholinesterase| Ascorbic Acid| fipronil MeSH: | Acetylcholinesterase/metabolism| Aminolevulinic Acid/metabolism| Animals| Ascorbic Acid/metabolism| Benzene Derivatives/majr/pharmacology| Biomarkers/metabolism| Brain/drug effects/metabolism| Carps/majr/metabolism| Catfishes/majr/metabolism| Dietary Supplements/majr| Fish Proteins/metabolism| Fresh Water| Gills/drug effects/metabolism| Glutathione Transferase/metabolism| Insecticides/majr/toxicity| Liver/drug effects/metabolism| Muscles/drug effects/metabolism| Organoselenium Compounds/majr/pharmacology| Oxidative Stress/drug effects| Pyrazoles/majr/toxicity| Sulfhydryl Compounds/metabolism| Thiobarbituric Acid Reactive Substances/metabolism Other:Antioxidant|Fish|Oxidative stress|Pesticide|Selenium</t>
  </si>
  <si>
    <t>Efficacy of a topical combination of fipronil, (S)-methoprene, eprinomectin and praziquantel (Broadline(®)) against naturally acquired infections with cestodes of the genus Joyeuxiella in cats.    ABSTRACT:  Cats are host to dipylidiid cestodes of the genera Diplopylidium, Dipylidium and Joyeuxiella. Broadline(®), a topical broad-spectrum combination parasiticide containing fipronil (8.3 % w/v), (S)-methoprene (10 % w/v), eprinomectin (0.4 % w/v) and the cestocide praziquantel (8.3 % w/v), has previously been shown to be efficacious against Dipylidium caninum and Diplopylidium spp. in cats. To evaluate its efficacy against Joyeuxiella species, a blinded clinical efficacy study was conducted according to GCP. All cats had evidence for naturally acquired dipylidiid cestode infection as confirmed by pre-treatment examination. Cats were allocated randomly to two groups of 13 cats each based on bodyweight: Control (untreated) and Broadline(®) at 0.12 mL/kg bodyweight administered once topically. Based on the comparison of helminth counts in the treated and untreated cats seven days post treatment, Broadline(®) demonstrated &gt;99 % efficacy (p &lt; 0.01) against mature J. fuhrmanni and J. pasqualei, with 11 and 13 of the untreated cats harbouring 1 to 102 or 2 to 95 cestodes, respectively. In addition, parasite counts indicated 95.9 % efficacy (p = 0.006) against the rictularoid nematode Pterygodermatites cahirensis.  KEYWORDS:  MeSH Chemical: Anticestodal Agents| Pyrazoles| Praziquantel| Ivermectin| eprinomectin| Methoprene| fipronil MeSH: | Animals| Anticestodal Agents/majr/administration &amp; dosage/therapeutic use| Cat Diseases/majr/drug therapy/parasitology| Cats| Cestoda| Cestode Infections/majr/drug therapy/veterinary| Drug Therapy, Combination| Female| Ivermectin/majr/administration &amp; dosage/analogs &amp; derivatives/therapeutic use| Male| Methoprene/majr/administration &amp; dosage/therapeutic use| Praziquantel/majr/administration &amp; dosage/therapeutic use| Pyrazoles/majr/administration &amp; dosage/therapeutic use Other:Cat|Joyeuxiella|Praziquantel|Pterygodermatites|Topical application</t>
  </si>
  <si>
    <t>Coupling coagulation, flocculation and decantation with photo-Fenton process for treatment of industrial wastewater containing fipronil: Biodegradability and toxicity assessment.    ABSTRACT:  This work reports the treatment of wastewater containing the insecticide fipronil, integrating coagulation, flocculation and decantation in the photo-Fenton process. Under the best concentration of the coagulant - Fe(3+) (56 mg L(-1)), the suspended solids and total fipronil concentrations decreased respectively from 7000 and 20.9 mg L(-1) to 590 and 2.2 mg L(-1), but without reduction in dissolved organic carbon - DOC (1760 mg C L(-1)) and acute toxicity to Artemia salina (100%). Subsequently, the photo-Fenton process was applied as alternative of pre- or complete treatment, taking into account toxicity and biodegradability (given by biochemical oxygen demand after five days - BOD5/chemical oxygen demand - COD ratio) assessment. The best DOC and COD removal were reached with 60 and 6723 mg L(-1) of Fe(2+) and H2O2, respectively. Under these conditions, after 60 min of irradiation, 57% of DOC and 74% of COD were removed, with a decrease in acute toxicity to A. salina from 100% to 13% and an increase in the BOD5/COD ratio from 0.052 to 1.0. With these parameters, the integration of coagulation/flocculation/decantation and photo-Fenton processes may be an alternative to the pre- or complete treatment of wastewater containing fipronil.Copyright © 2016 Elsevier Ltd. All rights reserved.  KEYWORDS:  MeSH Chemical: Fenton's reagent| Pyrazoles| Waste Water| Water Pollutants, Chemical| Hydrogen Peroxide| Iron| fipronil MeSH: | Animals| Artemia/drug effects| Biodegradation, Environmental| Biological Oxygen Demand Analysis| Flocculation| Hydrogen Peroxide/majr/chemistry| Iron/majr/chemistry| Oxidation-Reduction| Pyrazoles/majr/analysis/toxicity| Toxicity Tests, Acute| Waste Disposal, Fluid/majr/methods| Waste Water/majr/chemistry| Water Pollutants, Chemical/majr/analysis/toxicity| Water Purification/majr/methods Other:Advanced oxidation process|Degradation|Effluent|Environmental impact|Insecticide|Wastewater treatment</t>
  </si>
  <si>
    <t>Fipronil induces lung inflammation in vivo and cell death in vitro.    ABSTRACT:  Fipronil is an insecticide that acts at the gamma-aminobutyric acid receptor and glutamate-gated chloride channels in the central nervous systems of target organisms. The use of fipronil is increasing across the globe. Presently, very little data exist on the potential impact of exposure to fipronil on the lungs.We studied effects of intranasal (N = 8) and oral (N = 8) treatment with fipronil (10 mg/kg) on lungs of mice. Control mice were given groundnut oil orally (N = 7) or ethanol intranasally (N = 7) as these were the vehicles for respective treatments.Hematoxylin-eosin stained lung sections showed normal histology in the control lungs compared to the thickened alveolar septa, disruption of the airways epithelium and damage to vascular endothelium in the intranasal and the oral groups. Mice exposed to fipronil either orally or intranasally showed increased von Willebrand factor staining in the endothelium and septal capillaries. Compared to the control mice, TLR4 expression in airway epithelium was increased in mice treated intranasally but not orally with fipronil. Oral fipronil reduced TLR9 staining in the airway epithelium but intranasal exposure caused intense staining in the alveolar septa and airway epithelium. There were higher numbers of TLR4 positive cells in alveolar septa in lungs of mice treated intranasally (P = 0.010) compared to the respective control and orally treated mice but no significant differences between treatments for TLR9 positive stained cells (P = 0.226). The U937 macrophage cells exposed to fipronil at concentrations of 0.29 μm to 5.72 μm/ml over 3- or 24-hour showed significant increase in cell death at higher concentrations of fipronil (P &lt; 0.0001). Western blots revealed no effect of fipronil on TLR4 (P = 0.49) or TLR9 (P = 0.94) expression on macrophage cell line.While both oral or intranasal fipronil treatments induced signs of lung inflammation, the number TLR4-positive septal cells was increased only following intranasal treatment. Fipronil causes macrophage cell death without altering TLR4 and TLR9 expression in vitro.  KEYWORDS:  Other:Lung Inflammation|Macrophage|Pesticides|TLR4|TLR9</t>
  </si>
  <si>
    <t>Injectable fipronil for cattle: Plasma disposition and efficacy against Rhipicephalus microplus.    ABSTRACT:  Fipronil is a phenylpyrazole class insecticide. It is widely used as an insecticide in agriculture and in the control of ectoparasites in veterinary medicine. The application of fipronil in an injectable form (subcutaneously) becomes an innovation, since there is no commercially available preparation containing fipronil herein. The present study aimed at fipronil usage, applied subcutaneously in cattle, to control Rhipicephalus microplus. The assessing criteria used in the research have been the construction of the plasma concentration curve and efficacy studies. A method using High Performance Liquid Chromatograph with ultraviolet detection was developed for determination of fipronil in bovine plasma samples, providing a fast and simple process with good reproducibility and low limit of quantification. The validation of the analytical method showed linearity, selectivity, precision, accuracy, sensitivity and stability, thus proving it as suitable for routine analysis. This method showed to be an important investigative tool in the analysis of fipronil plasma concentration in cattle. Fipronil administered via subcutaneous in bovine reached the systemic circulation (Cmax=378.06±137.44 ng/mL), was quickly absorbed (t(max)=10±0.87 h), and its elimination occurred slowly (t(1/2)=12 days), while maintaining quantifiable blood plasma levels (23.79±12.16 ng/mL) for up to 21 days after the treatment with a 1 mg/kg dosage. The in vivo efficacy tests proved that fipronil applied subcutaneously in a single dose of 1 mg/kg in cattle exhibited a mean efficacy of 82.41% against R. microplus. The potential of subcutaneous injection as an alternative treatment route in cattle encourage the development of an injectable formulation of fipronil.Copyright © 2016 Elsevier B.V. All rights reserved.  KEYWORDS:  MeSH Chemical: Acaricides| Pyrazoles| fipronil MeSH: | Acaricides/administration &amp; dosage/blood/pharmacokinetics| Animals| Blood Chemical Analysis/majr/veterinary| Cattle| Cattle Diseases/majr/drug therapy| Chromatography, High Pressure Liquid| Injections, Subcutaneous/veterinary| Male| Pyrazoles/majr/administration &amp; dosage/blood/pharmacokinetics| Random Allocation| Rhipicephalus| Tick Infestations/majr/drug therapy| Treatment Outcome Other:Phenylpyrazole|Subcutaneous administration|Tick</t>
  </si>
  <si>
    <t>Efficacy and safety of a novel oral isoxazoline, sarolaner (Simparica™) in the treatment of naturally occurring flea and tick infestations in dogs presented as veterinary patients in Europe.    ABSTRACT:  Two randomised, blinded, multi-centered field studies were conducted in Europe to demonstrate the efficacy and safety of three monthly oral doses of sarolaner (Simparica™, Zoetis) administered at a minimum dosage of 2.0mg/kg (range 2-4mg/kg) against natural flea or tick infestation of dogs presented as veterinary patients. In the flea study, the improvement in clinical signs associated with flea allergy dermatitis (FAD) was also investigated. The palatability of the sarolaner chewable tablet formulation was evaluated in both studies. Spinosad (Comfortis(®) Chewable Tablets, Elanco) and fipronil (Frontline(®) Spot on, Merial) were used as positive controls in the flea and tick study, respectively. Treatments were administered on Days 0, 30 and 60. Efficacy was calculated based on the mean percent reduction of live parasite counts on post-treatment days 14, 30, 60 and 90 versus the pre-treatment count on Day 0. Non-inferiority of sarolaner to the control products was assessed at each time-point using a margin of 15% at the one-sided 0.025 significance level. Dogs were enrolled in a 2:1 ratio (sarolaner:comparator); 285 flea- and 181 tick-infested dogs were assessed for efficacy and safety, and 137 and 48 dogs were assessed for safety only, in the flea and tick study, respectively. There were no treatment-related adverse events. Efficacy against fleas was 98.8%, 99.4%, &gt;99.9% and &gt;99.9% in the sarolaner-treated group and 98.9%, 93.7%, 96.8% and 95.1% in the spinosad-treated group on Days 14, 30, 60 and 90, respectively. Sarolaner was non-inferior to spinosad at all time-points and was superior on Day 30. For the 42 dogs identified as having FAD at enrolment, the clinical signs of FAD improved in all dogs and the incidence was markedly reduced by the end of the study. Efficacy against ticks was 97.4%, 97.6%, 99.8% and 100% in the sarolaner-treated group and 94.1%, 88.5%, 89.9% and 98.1% in the fipronil-treated group on Days 14, 30, 60 and 90, respectively. Sarolaner was non-inferior to fipronil at all time-points, and was superior on Days 30 and 60. Sarolaner tablets were voluntarily and fully consumed within one minute in 93% of the 1280 occasions offered. Sarolaner administered orally at monthly intervals at a minimum dosage of 2 mg/kg was safe and highly effective against natural infestations of fleas and ticks on dogs. In addition, clinical signs FAD improved in dogs treated with sarolaner, and the flavored, chewable tablets were highly palatable. Copyright © 2016 The Authors. Published by Elsevier B.V. All rights reserved.  KEYWORDS:  MeSH Chemical: Insecticides| Isoxazoles MeSH: | Administration, Oral| Animals| Dog Diseases/majr/drug therapy| Dogs| Europe| Flea Infestations/majr/drug therapy/veterinary| Insecticides/administration &amp; dosage| Isoxazoles/majr/administration &amp; dosage| Siphonaptera| Tick Infestations/majr/drug therapy/veterinary| Ticks| Treatment Outcome Other:Efficacy|Field study|Flea|Palatability|Sarolaner|Tick</t>
  </si>
  <si>
    <t>Cloning and Expression of Multiple Cytochrome P450 Genes: Induction by Fipronil in Workers of the Red Imported Fire Ant (Solenopsis invicta Buren).    ABSTRACT:  Both exogenous and endogenous compounds can induce the expression of cytochrome P450 genes. The insect cytochrome P450 genes related to insecticide resistance are likely to be expressed as the "first line of defense" when challenged with insecticides. In this study, four cytochrome P450 genes, SinvCYP6B1, SinvCYP6A1, SinvCYP4C1, and SinvCYP4G15, were firstly isolated from workers of the red imported fire ant (Solenopsis invicta) through rapid amplification of cDNA ends (RACE) and sequenced. The fipronil induction profiles of the four cytochrome P450 genes and the two previously isolated CYP4AB1 and CYP4AB2 were characterized in workers. The results revealed that the expression of SinvCYP6B1, SinvCYP6A1, CYP4AB2, and SinvCYP4G15, increased 1.4-fold and 1.3-fold more than those of acetone control, respectively, after 24 h exposure to fipronil at concentrations of 0.25 μg mL-1 (median lethal dose) and 0.56 μg mL-1 (90% lethal dose), while no significant induction of the expression of CYP4AB1 and SinvCYP4C1 was detected. Among these genes, SinvCYP6B1 was the most significantly induced, and its maximum expression was 3.6-fold higher than that in acetone control. These results might suggest that multiple cytochrome P450 genes are co-up-regulated in workers of the fire ant through induction mechanism when challenged with fipronil. These findings indicated that cytochrome P450 genes play an important role in the detoxification of insecticides and provide a theoretical basis for the mechanisms of insecticide metabolism in the fire ant.  KEYWORDS:  MeSH Chemical: DNA, Complementary| Pyrazoles| Cytochrome P-450 Enzyme System| fipronil MeSH: | Amino Acid Sequence| Animals| Ants/majr/genetics| Cloning, Molecular| Cytochrome P-450 Enzyme System/majr/genetics| DNA, Complementary| Gene Expression Regulation, Enzymologic/majr/drug effects| Molecular Sequence Data| Phylogeny| Pyrazoles/majr/pharmacology| Sequence Homology, Amino Acid</t>
  </si>
  <si>
    <t>Fipronil application on rice paddy fields reduces densities of common skimmer and scarlet skimmer.    ABSTRACT:  Several reports suggested that rice seedling nursery-box application of some systemic insecticides (neonicotinoids and fipronil) is the cause of the decline in dragonfly species noted since the 1990s in Japan. We conducted paddy mesocosm experiments to investigate the effect of the systemic insecticides clothianidin, fipronil and chlorantraniliprole on rice paddy field biological communities. Concentrations of all insecticides in the paddy water were reduced to the limit of detection within 3 months after application. However, residuals of these insecticides in the paddy soil were detected throughout the experimental period. Plankton species were affected by clothianidin and chlorantraniliprole right after the applications, but they recovered after the concentrations decreased. On the other hand, the effects of fipronil treatment, especially on Odonata, were larger than those of any other treatment. The number of adult dragonflies completing eclosion was severely decreased in the fipronil treatment. These results suggest that the accumulation of these insecticides in paddy soil reduces biodiversity by eliminating dragonfly nymphs, which occupy a high trophic level in paddy fields.  KEYWORDS:  MeSH Chemical: Guanidines| Insecticides| Neonicotinoids| Pyrazoles| Thiazoles| ortho-Aminobenzoates| clothianidin| chlorantranilipole| fipronil MeSH: | Amphibians/growth &amp; development| Animals| Body Size/drug effects| Crustacea/drug effects/growth &amp; development| Ecosystem/majr| Environmental Monitoring/methods| Female| Guanidines/pharmacology| Insecta/growth &amp; development| Insecticides/pharmacology| Male| Neonicotinoids| Nymph/drug effects/growth &amp; development| Odonata/majr/classification/growth &amp; development| Oligochaeta/drug effects/growth &amp; development| Oryza/majr/growth &amp; development| Oryzias/growth &amp; development| Plankton/classification/drug effects/growth &amp; development| Pyrazoles/majr/pharmacology| Seasons| Thiazoles/pharmacology| Time Factors| ortho-Aminobenzoates/pharmacology</t>
  </si>
  <si>
    <t>Evaluation of the effectiveness of a novel oral formulation of sarolaner (Simparica™) for the treatment and control of fleas on dogs.    ABSTRACT:  The efficacy of a single oral dose of a novel isoxazoline, sarolaner (Simparica™, Zoetis), for the treatment and control of flea infestations on dogs was confirmed in five laboratory studies. The studies were conducted using adult purpose-bred Beagles and/or mixed breed dogs. All animals were individually identified and housed, and were allocated randomly to treatment with either placebo or sarolaner (eight to 10 per group) based on pretreatment parasite counts. Three studies used cat flea (Ctenocephalides felis felis) strains recently isolated from the field from the US, EU, or Australia; in the fourth study a laboratory strain (KS1) with documented tolerance to a number of insecticides such as fipronil, imidacloprid, and permethrin was used. In the fifth study, dogs were infested with dog fleas, Ctenocephalides canis. Dogs were treated orally on Day 0 with a placebo or a sarolaner tablet providing a minimum dose of 2mg/kg. Dogs were infested with approximately 100 unfed, adult fleas prior to treatment and at weekly intervals post-treatment. Comb counts were conducted to determine the numbers of viable fleas at 24h after treatment and after each subsequent infestation. Efficacy against C. felis and C. canis was 99.8-100% from treatment through Day 35. In all five studies, elimination of existing infestations was achieved within 24h after dosing, with only a single live C. felis found on one dog on Day 1. Similarly, control of flea challenges was achieved within 24h after infestation throughout the 35day study periods, with only single live C. felis found on two dogs on Day 28 in one study, and on a single dog on Day 35 in another study. There were no adverse reactions to treatment with sarolaner. These studies confirmed that a single oral dose of sarolaner at 2mg/kg provided highly effective treatment of existing C. felis infestations and persistent control of C. felis on dogs for 35days after treatment. Efficacy equivalent to that seen with C. felis was confirmed against C. canis and a known insecticide-tolerant strain of C. felis. Copyright © 2016 The Authors. Published by Elsevier B.V. All rights reserved.  KEYWORDS:  MeSH Chemical: Insecticides| Isoxazoles MeSH: | Administration, Oral| Animals| Dog Diseases/majr/drug therapy/prevention &amp; control| Dogs| Drug Compounding/majr/standards/veterinary| Female| Flea Infestations/majr/drug therapy/prevention &amp; control/veterinary| Insecticides/administration &amp; dosage/standards| Isoxazoles/majr/administration &amp; dosage/standards| Male| Treatment Outcome Other:Ctenocephalides canis|Ctenocephalides felis felis|Dog|Dose confirmation|Flea|Isoxazoline|KS1|Oral|Sarolaner</t>
  </si>
  <si>
    <t>Taxonomic applicability of inflammatory cytokines in adverse outcome pathway (AOP) development.    ABSTRACT:  Cytokines, low-molecular-weight messenger proteins that act as intercellular immunomodulatory signals, have become a mainstream preclinical marker for assessing the systemic inflammatory response to external stressors. The challenge is to quantitate from healthy subjects cytokine levels that are below or at baseline and relate those dynamic and complex cytokine signatures of exposures with the inflammatory and repair pathways. Thus, highly sensitive, specific, and precise analytical and statistical methods are critically important. Investigators at the U.S. Environmental Protection Agency (EPA) have implemented advanced technologies and developed statistics for evaluating panels of inflammatory cytokines in human blood, exhaled breath condensate, urine samples, and murine biological media. Advanced multiplex, bead-based, and automated analytical platforms provided sufficient sensitivity, precision, and accuracy over the traditional enzyme-linked immunosorbent assay (ELISA). Thus, baseline cytokine levels can be quantified from healthy human subjects and animals and compared to an in vivo exposure response from an environmental chemical. Specifically, patterns of cytokine responses in humans exposed to environmental levels of ozone and diesel exhaust, and in rodents exposed to selected pesticides (such as fipronil and carbaryl), were used as case studies to generally assess the taxonomic applicability of cytokine responses. The findings in this study may aid in the application of measureable cytokine markers in future adverse outcome pathway (AOP)-based toxicity testing. Data from human and animal studies were coalesced and the possibility of using cytokines as key events (KE) to bridge species responses to external stressors in an AOP-based framework was explored.  KEYWORDS:  MeSH Chemical: Air Pollutants| Biomarkers| Cytokines| Insecticides| Pyrazoles| Vehicle Emissions| Ozone| fipronil| Carbaryl MeSH: | Air Pollutants/majr/toxicity| Animals| Biomarkers/blood/metabolism/urine| Carbaryl/toxicity| Cytokines/majr/blood/immunology/metabolism/urine| Female| High-Throughput Screening Assays/majr/instrumentation/methods| Humans| Insecticides/majr/toxicity| Male| Mice| Ozone/toxicity| Pyrazoles/toxicity| Toxicity Tests/majr/instrumentation/methods| Vehicle Emissions/toxicity</t>
  </si>
  <si>
    <t>Chronic toxicity and physiological changes induced in the honey bee by the exposure to fipronil and Bacillus thuringiensis spores alone or combined.    ABSTRACT:  In the agricultural environment, honey bees may be exposed to combinations of pesticides. Until now, the effects of these combinations on honey bee health have been poorly investigated. In this study, we assessed the impacts of biological and chemical insecticides, combining low dietary concentrations of Bacillus thuringiensis (Bt) spores (100 and 1000µg/L) with the chemical insecticide fipronil (1µg/L). In order to assess the possible effects of Cry toxins, the Bt kurstaki strain (Btk) was compared with a Bt strain devoid of toxin-encoding plasmids (Bt Cry(-)). The oral exposure to fipronil and Bt spores from both strains for 10 days did not elicit significant effects on the feeding behavior and survival after 25 days. Local and systemic physiological effects were investigated by measuring the activities of enzymes involved in the intermediary and detoxication metabolisms at two sampling dates (day 10 and day 20). Attention was focused on head and midgut glutathione-S-transferase (GST), midgut alkaline phosphatase (ALP), abdomen glyceraldehyde-3-phosphate dehydrogenase (GAPD) and glucose-6-phosphate dehydrogenase (G6PD). We found that Bt Cry(-) and Btk spores induced physiological modifications by differentially modulating enzyme activities. Fipronil influenced the enzyme activities differently at days 10 and 20 and, when combined with Bt spores, elicited modulations of some spore-induced physiological responses. These results show that an apparent absence of toxicity may hide physiological disruptions that could be potentially damaging for the bees, especially in the case of combined exposures to other environmental stressors. Copyright © 2016 Elsevier Inc. All rights reserved.  KEYWORDS:  MeSH Chemical: Antiparasitic Agents| Bacterial Toxins| Insecticides| Pesticides| Pyrazoles| Glucosephosphate Dehydrogenase| fipronil MeSH: | Agriculture| Animals| Antiparasitic Agents/majr/toxicity| Bacillus thuringiensis/majr/physiology| Bacterial Toxins/majr/toxicity| Bees/majr/microbiology/physiology| Environmental Exposure/adverse effects| Glucosephosphate Dehydrogenase/metabolism| Insecticides/majr/toxicity| Pest Control, Biological/methods| Pesticides/metabolism| Pyrazoles/majr/toxicity| Spores, Bacterial Other:Bacillus thuringiensis|Fipronil|Honey bees|Physiological modulations</t>
  </si>
  <si>
    <t>Bioaccumulation of Legacy and Emerging Organochlorine Contaminants in Lumbriculus variegatus.    ABSTRACT:  Freshwater sediment-dwelling Lumbriculus variegatus is known to serve as a vector for the transfer of contaminants from sediments to higher trophic level organisms, but limited data exist on the bioaccumulation of chemicals associated with sediments containing high total organic carbon (TOC). In the current study, sediments from the north shore area of Lake Apopka (Florida, USA), containing very high TOC [39 % (w/w)], were spiked with four chemicals-p,p'-dichlorordiphenyldichloroethylene (p,p'-DDE), dieldrin, fipronil, and triclosan-individually or in a mixture of the four and then used for bioaccumulation studies. Tissue concentrations of chemicals in L. variegatus were measured at 2, 7, 14, 21, and 28 days of exposure, and the bioaccumulation potential was evaluated using biosediment accumulation factors [BSAF (goc/glipid)]. Increase in total body burdens of all four chemicals in L. variegatus was rapid at day 2 and reached a steady-state level after 7 days in both single and mixture experiments. Tissue concentrations of fipronil peaked after 2 days and then decreased by 70 % in sediment experiments suggesting that in addition to the degradation of fipronil that occurred in the sediment, L. variegatus may also be able to metabolize fipronil. The calculated 28-day BSAF values varied among the chemicals and increased in the order fipronil (1.1) &lt; triclosan (1.4) &lt; dieldrin (21.8) &lt; p,p'-DDE (49.8) in correspondence with the increasing degree of their hydrophobicity. The relatively high BSAF values for p,p'-DDE and dieldrin probably resulted from lower-than-expected sorption of chemicals to sediment organic matter either due to the nature of the plant-derived organic matter, as a result of the relatively short equilibration time among the various compartments, or due to ingestion of sediment particles by the worms.  KEYWORDS:  MeSH Chemical: Hydrocarbons, Chlorinated| Soil Pollutants MeSH: | Animals| Environmental Monitoring| Hydrocarbons, Chlorinated/majr/metabolism| Oligochaeta/majr/metabolism| Soil Pollutants/majr/metabolism</t>
  </si>
  <si>
    <t>Knock-down and speed of kill of a combination of fipronil and permethrin for the prevention of Ctenocephalides felis flea infestation in dogs.    ABSTRACT:  A topical combination of fipronil + permethrin (Frontline Tri-Act/Frontect, Merial) has recently been developed to control fleas, ticks, mosquitoes, sandflies and stable flies on dogs. Two studies were conducted to assess its speed of kill and knock-down effect on Ctenocephalides felis fleas. The combination was compared to either fipronil alone or to a combination of permethrin, dinotefuran, and pyriproxyfen,In each study, 18 dogs were randomly allocated to one of three groups: (Group 1: untreated dog; Group 2: treated once on D0 with the combination of fipronil and permethrin; Group 3: treated once on D0 either with fipronil alone (study 1) or with a combination of permethrin, dinetofuran and pyriproxyfen (study 2)). Each dog was infested with 100 unfed adult C. felis fleas on Days 2 (study 2), 7, 14, 21 and 28. Fleas were collected from dogs at 1 h and 12 h post- infestations (PI) (study 1) or at 2 h and 6 h PI (study 2) to assess efficacy and from collection pans underneath cages 1 h (study 1) or 5 min (study 2) PI to assess knock-down effect.All treated dogs had significantly (p ≤ 0.01) lower flea counts than untreated dogs at every time point in both studies. For a whole month, a significant knock-down effect against infesting fleas is obtained in five minutes PI with the combination of permethrin and fipronil. Complete efficacy (&gt;95%) was achieved in 1 h (study 1) or 2 h (study 2) PI for 14 days and by 6 h PI for all challenges conducted throughout the month. Efficacy remains &gt;85% at 2 h PI for the whole month. A significantly higher efficacy of the fipronil + permethrin combination compared to other treatments was demonstrated at the earliest time points for the month (1 h knock-down effect and insecticidal efficacy compared to fipronil alone; 5 min knock-down effect compared to the combination of permethrin + dinetofuran + pyriproxyfen).The rapid flea knock-down effect and speed of kill demonstrated by the spot on combination of fipronil + permethrin provide a reliable strategy against flea infestations in dogs.  KEYWORDS:  MeSH Chemical: Insecticides| Pyrazoles| Permethrin| fipronil MeSH: | Animals| Chemoprevention/majr/methods| Ctenocephalides/majr/drug effects/physiology| Dog Diseases/majr/parasitology/prevention &amp; control| Dogs| Drug Therapy, Combination/methods| Flea Infestations/majr/parasitology/prevention &amp; control| Insecticides/majr/administration &amp; dosage| Permethrin/majr/administration &amp; dosage| Pyrazoles/majr/administration &amp; dosage| Survival Analysis| Time Factors</t>
  </si>
  <si>
    <t>Multi-residue method for the determination of pesticides and pesticide metabolites in honeybees by liquid and gas chromatography coupled with tandem mass spectrometry--Honeybee poisoning incidents.    ABSTRACT:  A method for the determination of 200 pesticides and pesticide metabolites in honeybee samples has been developed and validated. Almost 98% of compounds included in this method are approved to use within European Union, as active substances of plant protection products or veterinary medicinal products used by beekeepers to control mites Varroa destructor in hives. Many significant metabolites, like metabolites of imidacloprid, thiacloprid, fipronil, methiocarb and amitraz, are also possible to detect. The sample preparation was based on the buffered QuEChERS method. Samples of bees were extracted with acetonitrile containing 1% acetic acid and then subjected to clean-up by dispersive solid phase extraction (dSPE) using a new Z-Sep+ sorbent and PSA. The majority of pesticides, including neonicotionoids and their metabolites, were analyzed by liquid chromatography tandem mass spectrometry (LC-MS/MS) but some of pesticides, especially pyrethroid insecticides, were analyzed by gas chromatography tandem mass spectrometry (GC-MS/MS). The procedure was validated according to the Guidance document SANCO/12571/2013 at four concentration levels: 1, 5, 10 and 100 ng/g bees and verified in the international proficiency test. The analysis of bee samples spiked at the limit of quantification (LOQ) showed about 98% mean recovery value (trueness) and 97% of analytes showed recovery in the required range of 70-120% and RSDr (precision) below 20%. Linearity and matrix effects were also established. The LOQs of pesticides were in the range of 1-100 ng/g. The developed method allows determination of insecticides at concentrations of 10 ng/g or less, except abamectin and tebufenozide. LOQ values are lower than the median lethal doses LD50 for bees. The method was used to investigate more than 70 honeybee poisoning incidents. Data about detected pesticides and their metabolites are included.Copyright © 2016 Elsevier B.V. All rights reserved.  KEYWORDS:  MeSH Chemical: Acetonitriles| Pesticide Residues| Pesticides| acetonitrile MeSH: | Acetonitriles/chemistry| Animals| Bees/majr/chemistry| Chromatography, Gas/majr| Environmental Monitoring/majr/methods| Gas Chromatography-Mass Spectrometry/majr| Pesticide Residues/majr/analysis| Pesticides/majr/analysis| Solid Phase Extraction| Tandem Mass Spectrometry/majr Other:GC–MS/MS|Honeybees|LC–MS/MS|Pesticide residue analysis|QuEChERS</t>
  </si>
  <si>
    <t>Multimedia screening of contaminants of emerging concern (CECS) in coastal urban watersheds in southern California (USA).    ABSTRACT:  To examine the occurrence and fate of contaminants of emerging concern (CECs) and inform future monitoring of CECs in coastal urban waterways, water, sediment, and fish tissue samples were collected and analyzed for a broad suite of pharmaceuticals and personal care products (PPCPs), commercial and/or household chemicals, current use pesticides, and hormones in an effluent-dominated river and multiple embayments in southern California (USA). In the Santa Clara River, which receives treated wastewater from several facilities, aqueous phase CECs were detectable at stations nearest discharges from municipal wastewater treatment plants but were attenuated downstream. Sucralose and the chlorinated phosphate flame retardants tris(1-chloro-2-propyl) phosphate (TCPP), tris(1,3-dichloro-2-propyl) phosphate (TDCPP), and tris(2-chloroethyl) phosphate (TCEP) were most abundant in water, with maximum concentrations of 35 μg/L, 3.3 μg/L, 1.4 μg/L, and 0.81 μg/L, respectively. Triclocarban, an antimicrobial agent in use for decades, was more prevalent in water than triclosan or nonylphenol. Maximum concentrations of bifenthrin, permethrin, polybrominated diphenyl ethers (PBDEs), and degradates of fipronil exceeded CEC-specific monitoring trigger levels recently established for freshwater and estuarine sediments by factors of 10 to 1000, respectively. Maximum fish tissue concentrations of PBDEs varied widely (370 ng/g and 7.0 ng/g for the Santa Clara River and coastal embayments, respectively), with most species exhibiting concentrations at the lower end of this range. These results suggest that continued monitoring of pyrethroids, PBDEs, and degradates of fipronil in sediment is warranted in these systems. In contrast, aqueous pharmaceutical concentrations in the Santa Clara River were not close to exceeding current monitoring trigger levels, suggesting a lower priority for targeted monitoring in this medium. Environ Toxicol Chem 2016;35:1986-1994. © 2016 SETAC.© 2016 SETAC.  KEYWORDS:  MeSH Chemical: Flame Retardants| Halogenated Diphenyl Ethers| Pesticides| Pharmaceutical Preparations| Waste Water| Water Pollutants, Chemical MeSH: | Animals| California| Environmental Monitoring/majr/methods| Flame Retardants/analysis| Halogenated Diphenyl Ethers/analysis| Pesticides/analysis| Pharmaceutical Preparations/analysis| Rivers/majr/chemistry| Urbanization/majr| Waste Water/chemistry| Water Pollutants, Chemical/majr/analysis Other:Contaminants of emerging concern|Pharmaceuticals|Polybrominated diphenyl ethers|Pyrethroids|Water quality</t>
  </si>
  <si>
    <t>The Optic Lobes Regulate Circadian Rhythms of Olfactory Learning and Memory in the Cockroach.    ABSTRACT:  The cockroach, Leucophaea maderae, can be trained in an associative olfactory memory task by either classical or operant conditioning. When trained by classical conditioning, memory formation is regulated by a circadian clock, but once the memory is formed, it can be recalled at any circadian time. In contrast, when trained via operant conditioning, animals can learn the task at any circadian phase, but the ability to recall the long-term memory is tied to the phase of training. The optic lobes of the cockroach contain a circadian clock that drives circadian rhythms of locomotor activity, mating behavior, sensitivity of the compound eye to light, and the sensitivity of olfactory receptors in the antennae. To evaluate the role of the optic lobes in regulating learning and memory processes, the authors examined the effects of surgical ablation of the optic lobes on memory formation in classical conditioning and memory recall following operant conditioning. The effect of optic lobe ablation was to "rescue" the deficit in memory acquisition at a time the animals normally cannot learn and "rescue" the animal's ability to recall a memory formed by operant conditioning at a phase where memory was not normally expressed. The results suggested that the optic lobe pacemaker regulates these processes through inhibition at "inappropriate" times of day. As a pharmacological test of this hypothesis, the authors showed that injections of fipronil, an antagonist of GABA and glutamate-activated chloride channels, had the same effects as optic lobe ablation on memory formation and recall. The data suggest that the optic lobes contain the circadian clock(s) that regulate learning and memory processes via inhibition of neural processes in the brain. © 2015 The Author(s).  KEYWORDS:  MeSH Chemical: Pyrazoles| fipronil MeSH: | Animals| Circadian Clocks/majr/physiology| Circadian Rhythm/majr| Cockroaches/majr/anatomy &amp; histology/physiology| Conditioning, Classical| Conditioning, Operant| Learning/majr/drug effects| Light| Mental Recall/majr/drug effects| Olfactory Receptor Neurons/physiology| Optic Lobe, Nonmammalian/majr/physiology/surgery| Pyrazoles/pharmacology| Smell Other:biological clock|circadian rhythms|cockroach|learning and memory|olfaction</t>
  </si>
  <si>
    <t>Insecticide resistance and diminished secondary kill performance of bait formulations against German cockroaches (Dictyoptera: Blattellidae).    ABSTRACT:  Bait formulations are considered to be the most effective method for reducing German cockroach (Blattella germanica) infestations. An important property of some bait formulations is secondary kill, whereby active ingredient (AI) is translocated in insect-produced residues throughout the cockroach population, especially affecting relatively sedentary early-instar nymphs.B. germanica was collected from a location where baits containing hydramethylnon, fipronil or indoxacarb had become ineffective, and these AIs were topically applied to adult males. Results revealed the first evidence for hydramethylnon resistance, moderate resistance to fipronil and extremely high resistance to indoxacarb. Insecticide residues excreted by field-collected males that had ingested commercial baits effectively killed nymphs of an insecticide-susceptible laboratory strain of B. germanica but failed to kill most nymphs of the field-collected strain.We report three novel findings: (1) the first evidence for hydramethylnon resistance in any insect; (2) extremely high levels of indoxacarb resistance in a field population; (3) reduced secondary mortality in an insecticide-resistant field-collected strain of B. germanica. We suggest that, while secondary mortality is considered to be advantageous in cockroach interventions, the ingestion of sublethal doses of AI by nymphs may select for high insecticide resistance by increasing the frequency of AI resistance alleles within the population. © 2015 Society of Chemical Industry.© 2015 Society of Chemical Industry.  KEYWORDS:  MeSH Chemical: Insecticides| Oxazines| Pyrazoles| Pyrimidinones| indoxacarb| hydramethylnon| fipronil MeSH: | Animals| Blattellidae/majr/growth &amp; development| Insect Control/majr/methods| Insecticide Resistance/majr| Insecticides/majr| Male| Nymph| Oxazines/majr| Pyrazoles/majr| Pyrimidinones/majr Other:Blattella germanica|bait|fipronil|hydramethylnon|indoxacarb|insecticide resistance|secondary kill</t>
  </si>
  <si>
    <t>A Locomotor Deficit Induced by Sublethal Doses of Pyrethroid and Neonicotinoid Insecticides in the Honeybee Apis mellifera.    ABSTRACT:  The toxicity of pesticides used in agriculture towards non-targeted organisms and especially pollinators has recently drawn the attention from a broad scientific community. Increased honeybee mortality observed worldwide certainly contributes to this interest. The potential role of several neurotoxic insecticides in triggering or potentiating honeybee mortality was considered, in particular phenylpyrazoles and neonicotinoids, given that they are widely used and highly toxic for insects. Along with their ability to kill insects at lethal doses, they can compromise survival at sublethal doses by producing subtle deleterious effects. In this study, we compared the bee's locomotor ability, which is crucial for many tasks within the hive (e.g. cleaning brood cells, feeding larvae…), before and after an acute sublethal exposure to one insecticide belonging to the two insecticide classes, fipronil and thiamethoxam. Additionally, we examined the locomotor ability after exposure to pyrethroids, an older chemical insecticide class still widely used and known to be highly toxic to bees as well. Our study focused on young bees (day 1 after emergence) since (i) few studies are available on locomotion at this stage and (ii) in recent years, pesticides have been reported to accumulate in different hive matrices, where young bees undergo their early development. At sublethal doses (SLD48h, i.e. causing no mortality at 48 h), three pyrethroids, namely cypermethrin (2.5 ng/bee), tetramethrin (70 ng/bee), tau-fluvalinate (33 ng/bee) and the neonicotinoid thiamethoxam (3.8 ng/bee) caused a locomotor deficit in honeybees. While the SLD48h of fipronil (a phenylpyrazole, 0.5 ng/bee) had no measurable effect on locomotion, we observed high mortality several days after exposure, an effect that was not observed with the other insecticides. Although locomotor deficits observed in the sublethal range of pyrethroids and thiamethoxam would suggest deleterious effects in the field, the case of fipronil demonstrates that toxicity evaluation requires information on multiple endpoints (e.g. long term survival) to fully address pesticides risks for honeybees. Pyrethroid-induced locomotor deficits are discussed in light of recent advances regarding their mode of action on honeybee ion channels and current structure-function studies.  KEYWORDS:  MeSH Chemical: Insecticides| Neonicotinoids| Nitriles| Nitro Compounds| Oxazines| Pyrazoles| Pyrethrins| Thiazoles| neonicotinoid nitroguanidine| cypermethrin| fluvalinate| Thiamethoxam| Guanidine| fipronil| tetramethrin MeSH: | Animals| Bees/metabolism| Guanidine/majr/analogs &amp; derivatives/toxicity| Insecticides/majr/toxicity| Lethal Dose 50| Motor Activity/majr/drug effects| Neonicotinoids| Nitriles/toxicity| Nitro Compounds/toxicity| Oxazines/toxicity| Pyrazoles/toxicity| Pyrethrins/majr/toxicity| Thiamethoxam| Thiazoles/toxicity</t>
  </si>
  <si>
    <t>A novel combination of fipronil and permethrin (Frontline Tri-Act®/Frontect®) reduces risk of transmission of Babesia canis by Dermacentor reticulatus and of Ehrlichia canis by Rhipicephalus sanguineus ticks to dogs.    ABSTRACT:  The ability of Frontline Tri-Act®/Frontect®, a topical ectoparasiticide containing fipronil and permethrin for dogs, to prevent the transmission of Babesia canis as well as Ehrlichia canis was evaluated by infesting dogs with infected vector ticks.For the Babesia canis study, 16 dogs were randomly allocated to two groups. Eight dogs were treated on day 0 with a topical spot-on formulation containing 6.76 % w/v fipronil plus 50.48 % w/v permethrin and eight dogs served as the untreated control group. Dermacentor reticulatus ticks, with a B. canis infection rate ranging between 2 and 10 %, were placed onto dogs on days 7, 14, 21 and 28. In situ tick counts were performed on Days 9, 16 and 23. Ticks were counted and removed on Day 30. Infection of the dogs with B. canis was monitored by rectal temperature readings, clinical examinations and blood smears as well as PCR and IFA (indirect fluorescent antibody assay). For the Ehrlichia canis study, another 16 dogs were allocated to two groups. Eight dogs were treated with the fipronil and permethrin combination on days 0 and 28 and eight dogs served as untreated controls. Rhipicephalus sanguineus ticks, carrying an infection rate of 13 % for E. canis, were released in the sleeping kennels of the dogs on days 7, 14, 21, 28, 35, 42, 49 and 56. Ticks were counted in situ on the dogs on a weekly basis. All ticks were removed and counted on the final assessment day 58. Infection of the dogs with E. canis was monitored by rectal temperature, clinical examinations, and testing of blood samples by PCR, IFA and platelet counts.B. canis was transmitted by D. reticulatus ticks to all eight untreated control dogs and to one treated dog, which was confirmed by blood smears, PCR and IFA. E.canis was transmitted by R. sanguineus ticks to all eight untreated control dogs. Two of the dogs in the treated group were found positive based on PCR and/or IFA.Frontline Tri-Act®/Frontect® significantly lowered the risk for dogs to acquire a B. canis infection by 87.5 % over a challenge period of 28 days. The risk for dogs to acquire E. canis was reduced by 75 % over a period of 56 days.  KEYWORDS:  MeSH Chemical: Drug Combinations| Insecticides| Pyrazoles| Permethrin| fipronil MeSH: | Animals| Babesia/isolation &amp; purification| Babesiosis/majr/prevention &amp; control/transmission| Dermacentor/drug effects/parasitology| Disease Transmission, Infectious/prevention &amp; control| Dog Diseases/majr/drug therapy| Dogs| Drug Combinations| Ectoparasitic Infestations/majr/drug therapy/veterinary| Ehrlichia canis/isolation &amp; purification| Ehrlichiosis/majr/prevention &amp; control/transmission| Insecticides/majr/administration &amp; dosage| Permethrin/majr/administration &amp; dosage| Pyrazoles/majr/administration &amp; dosage| Rhipicephalus sanguineus/drug effects/parasitology| Treatment Outcome</t>
  </si>
  <si>
    <t>Using a Lethality Index to Assess Susceptibility of Tribolium confusum and Oryzaephilus surinamensis to Insecticides.    ABSTRACT:  We evaluated knockdown caused by four insecticides: alpha-cypermethrin, chlorfenapyr, pirimiphos-methyl and fipronil against adults of Tribolium confusum Jacquelin Duval, the confused flour beetle and Oryzaephilus surinamensis (L.), the sawtoothed grain beetle. Bioassays were conducted on concrete and metal surfaces. Adults of the tested species were exposed on both surfaces treated with the above insecticides at two doses (low and high). Knockdown assessment was done after 15, 30 and 60 min of adult exposure in the treated surfaces. Also, after 1, 3, 5, 7 and 14 d of exposure, a lethality index was calculated with an equation resulting to values from 0 to 100, where 100 indicated complete mortality and 0 complete survival. We also developed a lethality index by ranking each adult on each surface from 0 to 4, 0: adults moved normally, 1: adults were knocked down, but were able to walk for short intervals, 2: adults were knocked down and unable to walk, but with visible movement of antennae etc., 3: adults were knocked down, with very minimal movement of the tarsi and the antennae and 4: adults were dead (no movement). Knockdown of adults immediately after exposure (15-60 min) was higher for pirimiphos-methyl followed by alpha-cypermethrin, for both dose rates tested and species, but only on the metal surface. The lethality index was nearly 100 for all insecticides after 5d of exposure for O. surinamensis, while for T. confusum the adult lethality index was considerably lower for alpha-cypermethrin, suggesting that that recovery from knockdown occurred. Chlorfenapyr was the only insecticide that was more effective on concrete than on metal, while the reverse was noted for the other three insecticides. These results show that knockdown has different levels, which can be used as indicators of insect mortality or recovery.  KEYWORDS:  MeSH Chemical: Insecticides MeSH: | Animals| Biological Assay| Coleoptera/majr/drug effects| Insecticides/majr/pharmacology| Tribolium/majr/drug effects</t>
  </si>
  <si>
    <t>Comparative Effectiveness of Insecticides for Use Against the House Fly (Diptera: Muscidae): Determination of Resistance Levels on a Malaysian Poultry Farm.    ABSTRACT:  In this study, the toxicology of two commercial larvicides--cyromazine (Neporex 50SP) and ChCy (combination of chlorpyrifos and cypermethrin, Naga 505)--and five commercial adulticides--thiamethoxam (Agita 10WG), cyfluthrin (Responsar WP), lambda-cyhalothrin (Icon 2.8EC), fipronil (Regent 50SC), and imidacloprid (Toxilat 10WP)--was examined against the WHO/VCRU (World Health Organization/ Vector Control Research Unit) susceptible strain and the AYTW (Ayer Tawar) field strain of house fly, Musca domestica L. These pesticides were administered topically, in the diet, or as a dry residue treatment on plywood. Probit analysis using at least five concentrations and the concentration that was lethal to 50% (LC(50)) of the organisms was applied to compare the toxicology and resistance levels of the AYTW population to different insecticides. In the larvicide laboratory study, ChCy was more effective than cyromazine, with a significantly lower LC(50) value when administered topically or in the diet, although the AYTW population was susceptible to both larvicides with a resistance ratio (RR) &lt;10. For the adulticide laboratory study, cyfluthrin and fipronil exhibited the lowest LC50 values of the adulticides, indicating that they are both effective at controlling adult flies, although lambda-cyhalothrin showed moderate resistance (RR = 11.60 by topical application; 12.41 by plywood treatment). Further investigation of ChCy, cyromazine, cyfluthrin, and fipronil under field conditions confirmed that ChCy and cyromazine strikingly reduced larval density, and surprisingly, ChCy also exhibited adulticidal activity, which significantly reduced adult fly numbers compared with the control group. Cyfluthrin and fipronil were also confirmed to be effective, with a significant reduction in adult fly numbers compared with the control group.© The Authors 2015. Published by Oxford University Press on behalf of Entomological Society of America. All rights reserved. For Permissions, please email: journals.permissions@oup.com.  KEYWORDS:  MeSH Chemical: Insecticides MeSH: | Animal Husbandry| Animals| Chickens| Houseflies/majr| Housing, Animal| Insecticide Resistance/majr| Insecticides/majr| Malaysia Other:Musca domestica|diet treatment|resistance level|topical application|toxicology</t>
  </si>
  <si>
    <t>Exposure of native bees foraging in an agricultural landscape to current-use pesticides.    ABSTRACT:  The awareness of insects as pollinators and indicators of environmental quality has grown in recent years, partially in response to declines in honey bee (Apis mellifera) populations. While most pesticide research has focused on honey bees, there has been less work on native bee populations. To determine the exposure of native bees to pesticides, bees were collected from an existing research area in northeastern Colorado in both grasslands (2013-2014) and wheat fields (2014). Traps were deployed bi-monthly during the summer at each land cover type and all bees, regardless of species, were composited as whole samples and analyzed for 136 current-use pesticides and degradates. This reconnaissance approach provides a sampling of all species and represents overall pesticide exposure (internal and external). Nineteen pesticides and degradates were detected in 54 composite samples collected. Compounds detected in &gt;2% of the samples included: insecticides thiamethoxam (46%), bifenthrin (28%), clothianidin (24%), chlorpyrifos (17%), imidacloprid (13%), fipronil desulfinyl (7%; degradate); fungicides azoxystrobin (17%), pyraclostrobin (11%), fluxapyroxad (9%), and propiconazole (9%); herbicides atrazine (19%) and metolachlor (9%). Concentrations ranged from 1 to 310 ng/g for individual pesticides. Pesticides were detected in samples collected from both grasslands and wheat fields; the location of the sample and the surrounding land cover at the 1000 m radius influenced the pesticides detected but because of a small number of temporally comparable samples, correlations between pesticide concentration and land cover were not significant. The results show native bees collected in an agricultural landscape are exposed to multiple pesticides, these results can direct future research on routes/timing of pesticide exposure and the design of future conservation efforts for pollinators.Published by Elsevier B.V.  KEYWORDS:  MeSH Chemical: Environmental Pollutants| Pesticides MeSH: | Agriculture/majr| Animals| Bees/majr/physiology| Colorado| Environmental Exposure/majr/analysis/statistics &amp; numerical data| Environmental Pollutants/majr/analysis| Environmental Pollution| Pesticides/majr/analysis| Pollination Other:Agroecosystems|Crop production|Native bees|Pesticides</t>
  </si>
  <si>
    <t>Dominant Inheritance of Field-Evolved Resistance to Fipronil in Plutella xylostella (Lepidoptera: Plutellidae).    ABSTRACT:  A field-collected strain (HF) of Plutella xylostella (L.) showed 420-fold resistance to fipronil compared with a susceptible laboratory strain (Roth). The HF-R strain, derived from the HF strain by 25 generations of successive selection with fipronil in the laboratory, developed 2,200-fold resistance to fipronil relative to the Roth strain. The F(1) progeny of the reciprocal crosses between HF-R and Roth showed 640-fold (R♀ × S♂) and 1,380-fold (R♂ × S♀) resistance to fipronil, indicating resistance is inherited as an incompletely dominant trait. Analysis of progeny from a backcross (F1♂ × S♀) suggests that resistance is controlled by one major locus. The LC(50) of the R♂ × S♀ cross F(1) progeny is slightly but significantly higher than that of the R♀ × S♂ cross F(1) progeny, suggesting a minor resistance gene on the Z chromosome. Sequence analysis of PxGABARα1 (an Rdl-homologous GABA receptor gene of P. xylostella) from the HF-R strain identified two mutations A282S and A282G (corresponding to the A302S mutation of the Drosophila melanogaster Rdl gene), which have been previously implicated in fipronil resistance in several insect species including P. xylostella. PxGABARα1 was previously mapped to the Z chromosome of P. xylostella. In conclusion, fipronil resistance in the HF-R strain of P. xylostella was incompletely dominant, and controlled by a major autosomal locus and a sex-linked minor gene (PxGABARα1) on the Z chromosome.© The Authors 2015. Published by Oxford University Press on behalf of Entomological Society of America. All rights reserved. For Permissions, please email: journals.permissions@oup.com.  KEYWORDS:  MeSH Chemical: Insecticides| Pyrazoles| fipronil MeSH: | Animals| Female| Heredity/majr| Insecticide Resistance| Insecticides/majr/pharmacology| Larva/drug effects/genetics/growth &amp; development| Male| Moths/majr/drug effects/genetics/growth &amp; development| Pyrazoles/majr/pharmacology Other:GABA receptor|Plutella xylostella|fipronil|inheritance|resistance</t>
  </si>
  <si>
    <t>Resistance to Conventional and New Insecticides in House Flies (Diptera: Muscidae) From Poultry Facilities in Punjab, Pakistan.    ABSTRACT:  House flies, Musca domestica L., are pests of poultry facilities and have the ability to develop resistance against different insecticides. This study was conducted to assess the resistance status of house flies to pyrethroid, organophosphate, and novel chemistry insecticides from poultry facilities in Punjab, Pakistan. Five adult house fly populations were studied for their resistance status to selected conventional and novel chemistry insecticides. For four pyrethroids, the range of resistance ratios was 14-55-fold for cypermethrin, 11-45-fold for bifenthrin, 0.84-4.06-fold for deltamethrin, and 4.42-24-fold for lambda-cyhalothrin when compared with a susceptible population. Very low levels of resistance were found to deltamethrin compared with the other pyrethroids. For the three organophosphate insecticides, the range of resistance ratios was 1.70-16-fold for profenofos, 7.50-60-fold for chlorpyrifos, and 4.37-53-fold for triazophos. Very low levels of resistance were found to profenofos compared with the other insecticides. For five novel chemistry insecticides, the range of resistance ratios was 1.20-16.00-fold for fipronil, 3.73-7.16-fold for spinosad, 3.06-23-fold for indoxacarb, 0.96-5.88-fold for abamectin, and 0.56-3.07-fold for emamectin benzoate. Rotation of insecticides with different modes of action showing no or very low resistance may prevent insecticide resistance in house flies. Regular insecticide resistance monitoring and integrated management plans on poultry farms are required to prevent resistance development, field control failures, and environmental pollution. © The Authors 2015. Published by Oxford University Press on behalf of Entomological Society of America. All rights reserved. For Permissions, please email: journals.permissions@oup.com.  KEYWORDS:  MeSH Chemical: Insecticides| Organophosphates| Pyrethrins MeSH: | Animals| Houseflies/majr| Insecticide Resistance/majr| Insecticides/majr| Organophosphates| Pakistan| Poultry| Pyrethrins Other:Musca domestica|novel chemistry|organophosphate|pyrethroid|resistance</t>
  </si>
  <si>
    <t>Practical Pest Management Strategies to Reduce Pesticide Runoff for Argentine Ant (Hymenoptera: Formicidae) Control.    ABSTRACT:  The purpose of this study was to involve pest management professionals in the design of application techniques and strategies that would be efficacious and also reduce insecticide runoff. Our study involved measuring both the efficacy of treatments for the Argentine ant, Linepithema humile (Mayr), and the concurrent runoff of fipronil and pyrethroids. Two collaborating companies used low-impact protocols for controlling ants while minimizing runoff. Protocol 1 involved bimonthly treatments, while Protocol 2 was monthly. Both protocols involved an initial treatment with a fipronil spray around the foundation. At the garage door-driveway interface, the fipronil application was done as a pin stream for Protocol 1, and as a crack and crevice application in the expansion joint near the garage for Protocol 2. Protocol 1 replaced most pyrethroid sprays with bifenthrin granules placed around bushes and away from the driveway. For the next treatment on day 63, Protocol 1 also included cyfluthrin spray treatments around the house foundation and crack and crevice applications around the edge of the driveway. For the first treatment in Protocol 2, the fipronil spray was supplemented with spot treatments of cyfluthrin. For subsequent Protocol 2 treatments, botanical insecticides were applied. For weeks 1 and 2 posttreatment combined, Protocol 1 had significantly higher reductions in ant numbers compared with Protocol 2. Thereafter there were no significant differences between the protocols. Runoff of bifenthrin from the granules used with Protocol 1 was much lower than in previous trials involving bifenthrin sprays. Day 1 fipronil runoff for Protocol 2 was significantly lower than that for Protocol 1. This difference may be because of the crack and crevice application applied in Protocol 2. Cyfluthrin runoff was minimal for Protocol 2, which involved spot treatments to supplement the fipronil on day 1, or the botanical insecticides for subsequent treatments. Protocol 1 had a large peak of cyfluthrin runoff at day 63 corresponding to their house and driveway treatments.© 2014 Entomological Society of America.  KEYWORDS:  MeSH Chemical: Insecticides| Pesticide Residues MeSH: | Animals| Ants/majr| Insect Control/majr/methods| Insecticides/majr/administration &amp; dosage| Pesticide Residues/majr/analysis Other:Linepithema humile|fipronil|integrated pest management|pyrethroid</t>
  </si>
  <si>
    <t>Repellency and acaricidal efficacy of a new combination of fipronil and permethrin against Ixodes ricinus and Rhipicephalus sanguineus ticks on dogs.    ABSTRACT:  A blinded, controlled laboratory study was conducted to assess the repellency and acaricidal activity of a topical spot on formulation, a combination of fipronil and permethrin, against Ixodes ricinus and Rhipicephalus sanguineus ticks on dogs.A group of 16 adult mixed breed dogs were randomly divided into treatment and control groups based on pre-treatment live tick counts. On Day 0, the topical spot on formulation of fipronil + permethrin (commercialized under the name Frontline Tri-Act®/Frontect®) was administered to dogs in the treatment group at the minimum recommended dose of 0.1 mL/kg, corresponding to 6.76 mg fipronil/kg and 50.48 mg/kg permethrin. Tick infestations were performed with I. ricinus (50 females, 50 males) and R. sanguineus (25 females, 25 males) on each dog on Days 2, 7, 14, 21, and 28. Dogs were sedated prior to exposure and confined to crates for approximately 4 h following tick challenge. Ticks were released next to the sedated dogs and tick counts were performed at 4 h and 24 h after the start of exposure for tick counts and removal.Repellency at 4 h against I. ricinus was 72.6, 96.3, 92.8, 89.0, and 88.7 % on Days 2, 7, 14, 21, and 28, respectively. Repellency was 100 % 24 h after exposures on Days 2, 7, and 14 and 99.6 % after exposures on Days 21 and 28. For R. sanguineus, repellency at 4 h was 78.0, 96.8, 91.5, 88.0, and 56.8 % on Days 2, 7, 14, 21, and 28, respectively. Repellency at 24 h was 98.6, 100, 98.7, 96.1, and 95.1 % for exposures on Days 2, 7, 14, 21, and 28, respectively. For I. ricinus, acaricidal efficacy recorded at 4 h was ≥ 91.1 % during the full month and was ≥ 99.5 % for the full month when counted at 24 h. Acaricidal efficacy against R. sanguineus was ≥ 94.7 % at 4 h from Day 2 to Day 21 and was 71.4 % on Day 28. Acaricidal efficacy at 24 h, was &gt; 97.7 % during the month. Tick counts were statistically significantly reduced in treated dogs at all time-points during the study.A combination of fipronil and permethrin was highly effective at rapidly repelling and killing both I. ricinus and R. sanguineus ticks on dogs for at least 4 weeks, with a significant effect at 4 and 24 h after tick exposure.  KEYWORDS:  MeSH Chemical: Acaricides| Pyrazoles| Permethrin| fipronil MeSH: | Acaricides/majr/pharmacology| Animals| Dog Diseases/majr/drug therapy/parasitology| Dogs| Drug Therapy, Combination| Female| Ixodes/majr/drug effects/physiology| Male| Permethrin/majr/pharmacology| Pyrazoles/majr/pharmacology| Rhipicephalus sanguineus/majr/drug effects/physiology| Tick Control| Tick Infestations/majr/drug therapy/parasitology/veterinary</t>
  </si>
  <si>
    <t>Sorption-desorption of fipronil in some soils, as influenced by ionic strength, pH and temperature.    ABSTRACT:  The sorption-desorpion of fipronil insecticide is influenced by soil properties and variables such as pH, ionic strength, temperature, etc. A better understanding of soil properties and these variables in sorption-desorption processes by quantification of fipronil using liquid chromatography may help to optimise suitable soil management to reduce contamination of surface and groundwaters. In the present investigation, the sorption-desorption of fipronil was studied in some soils at varying concentrations, ionic strengths, temperatures and pH values, and IR specta of fipronil sorbed onto soils were studied.The sorption of fipronil onto soils conformed to the Freundlich isotherm model. The sorption-desorption of fipronil varied with ionic strength in each of the soils. Sorption decreased but desorption increased with temperature. Sorption did not change with increasing pH, but for desorption there was no correlation. The cumulative desorption of fipronil from soil was significantly and inversely related to soil organic carbon content. IR spectra of sorbed fipronil showed the involvement of amino, nitrile, sulfone, chloro and fluoro groups and the pyrazole nucleus of the fipronil molecule.The sorption of fipronil onto soils appeared to be a physical process with the involvement of hydrogen bonding. An increase in soil organic carbon may help to reduce desorption of fipronil. High-temperature regimes are more conducive to the desorption. © 2015 Society of Chemical Industry.© 2015 Society of Chemical Industry.  KEYWORDS:  MeSH Chemical: Insecticides| Pyrazoles| Soil| Soil Pollutants| fipronil MeSH: | Adsorption| Chromatography, High Pressure Liquid| Hydrogen-Ion Concentration| Insecticides/majr/chemistry| Osmolar Concentration| Pyrazoles/majr/chemistry| Soil/majr/chemistry| Soil Pollutants/majr/chemistry| Temperature/majr Other:Freundlich isotherm|IR spectra|fipronil|soils|sorption-desorption</t>
  </si>
  <si>
    <t>Establishing the discriminating concentration for permethrin and fipronil resistance in Rhipicephalus sanguineus (Latreille) (Acari: Ixodidae), the brown dog tick.    ABSTRACT:  Rhipicephalus sanguineus (Latreille), the brown dog tick, is a veterinary canine and urban pest. These ticks have been found to develop resistance and tolerance to the two commonly used acaricides permethrin and fipronil respectively. We have developed a discriminating concentration that can be used for rapid detection of permethrin and fipronil resistance in brown dog tick populations. The availability of a discriminating concentration for the brown dog tick provides an inexpensive and rapid resistance diagnostic technique that can be used to guide tick management plans for companion animals and aid in the selection of environmental treatment options.Establishing the discriminating concentration for permethrin and fipronil in brown dog ticks enables a resistant:susceptible screening. For permethrin the discriminating concentration was set at 0.19%, and for fipronil at 0.15%. Three additional diagnostic concentrations were chosen to evaluate resistance levels when larval tick numbers were available for screening.Future tick submissions from residences and kennel facilities can be subjected to a single chemical concentration to diagnose resistance, which minimizes time, costs and tick rearing requirements and guides effective control plans. With the standardized use of larval ticks, a client-submission quantity of ideally five engorged females would provide sufficient larval numbers to utilize this technique. © 2015 Society of Chemical Industry.© 2015 Society of Chemical Industry.  KEYWORDS:  MeSH Chemical: Acaricides| Pyrazoles| Permethrin| fipronil MeSH: | Acaricides/majr/administration &amp; dosage| Animals| Drug Resistance| Female| Male| Permethrin/majr/administration &amp; dosage| Pyrazoles/majr/administration &amp; dosage| Rhipicephalus sanguineus/majr| Tick Control/methods Other:Rhipicephalus sanguineus|acaricide resistance|diagnostic concentration|fipronil|permethrin</t>
  </si>
  <si>
    <t>Genome wide discovery of long intergenic non-coding RNAs in Diamondback moth (Plutella xylostella) and their expression in insecticide resistant strains.    ABSTRACT:  Long non-coding RNAs (lncRNAs) play important roles in genomic imprinting, cancer, differentiation and regulation of gene expression. Here, we identified 3844 long intergenic ncRNAs (lincRNA) in Plutella xylostella, which is a notorious pest of cruciferous plants that has developed field resistance to all classes of insecticides, including Bacillus thuringiensis (Bt) endotoxins. Further, we found that some of those lincRNAs may potentially serve as precursors for the production of small ncRNAs. We found 280 and 350 lincRNAs that are differentially expressed in Chlorpyrifos and Fipronil resistant larvae. A survey on P. xylostella midgut transcriptome data from Bt-resistant populations revealed 59 altered lincRNA in two resistant strains compared with the susceptible population. We validated the transcript levels of a number of putative lincRNAs in deltamethrin-resistant larvae that were exposed to deltamethrin, which indicated that this group of lincRNAs might be involved in the response to xenobiotics in this insect. To functionally characterize DBM lincRNAs, gene ontology (GO) enrichment of their associated protein-coding genes was extracted and showed over representation of protein, DNA and RNA binding GO terms. The data presented here will facilitate future studies to unravel the function of lincRNAs in insecticide resistance or the response to xenobiotics of eukaryotic cells.  KEYWORDS:  MeSH Chemical: Insecticides| RNA, Long Noncoding MeSH: | Animals| Chromosome Mapping| Computational Biology/methods| Gene Expression Profiling| Gene Expression Regulation/majr/drug effects| Genome, Insect/majr| Genome-Wide Association Study| Genomics/methods| Insecticide Resistance/majr| Insecticides/majr/pharmacology| Larva| Molecular Sequence Annotation| Moths/majr/drug effects/genetics| RNA, Long Noncoding/majr/genetics| Reproducibility of Results| Transcriptome</t>
  </si>
  <si>
    <t>Treatment of livestock with systemic insecticides for control of Anopheles arabiensis in western Kenya.    ABSTRACT:  Despite the implementation of vector control strategies, including insecticide-treated bed nets (ITN) and indoor residual spraying (IRS) in western Kenya, this area still experiences high level of malaria transmission. Novel vector control tools are required which target such vector species, such as Anopheles arabiensis, that feed outdoors and have minimal contact with ITNs and IRS.To address this need, ivermectin, eprinomectin, and fipronil were evaluated in Zebu cattle under semi-field conditions to evaluate the potential of these compounds to reduce the survival of blood feeding An. arabiensis. Over the course of four experiments, lactating cattle received doses of oral ivermectin at 0.1 or 0.2 mg/kg, oral eprinomectin at 0.2 or 0.5 mg/kg, topical eprinomectin at 0.5, 0.75, or 1.5 mg/kg, or oral fipronil at 0.25, 0.5, 1.0, or 1.5 mg/kg. On days 1, 3, 5, 7, 14, and 21 days post-treatment, cattle were exposed to An. arabiensis, and mosquito mortality post-blood feeding was monitored. For the analysis of survival data, the Kaplan-Meier estimator and Mantel-Haenszel test was used to contrast the treatment and control survival functions.All three compounds significantly reduced the survival time of An. arabiensis. Twenty-one days post-treatment, mortality of mosquitoes fed on cattle dosed orally with 0.2 or 0.5 mg/kg eprinomectin, topically with eprinomectin at 0.5 mg/kg, or orally with either 1.0 or 1.5 mg/kg fipronil was still significantly higher than control mortality.These data demonstrate the effectiveness of three insecticidal compounds administered systemically to cattle for controlling the cattle-feeding mosquito An. arabiensis. Eprinomectin and fipronil provided the longest-lasting control. Such endectocidal treatments in cattle are a promising new strategy for control of residual, outdoor malaria transmission and could effectively augment current interventions which target more endophilic vector species.  KEYWORDS:  MeSH Chemical: Insecticides| Pyrazoles| Ivermectin| eprinomectin| fipronil MeSH: | Animals| Anopheles/majr/drug effects| Biological Assay| Cattle| Insect Vectors/majr/drug effects| Insecticides/majr/administration &amp; dosage/pharmacology| Ivermectin/administration &amp; dosage/analogs &amp; derivatives/pharmacology| Kaplan-Meier Estimate| Kenya| Malaria/majr/prevention &amp; control| Mosquito Control/majr/methods| Pyrazoles/administration &amp; dosage/pharmacology</t>
  </si>
  <si>
    <t>Transcriptome Analysis of the Central and Peripheral Nervous Systems of the Spider Cupiennius salei Reveals Multiple Putative Cys-Loop Ligand Gated Ion Channel Subunits and an Acetylcholine Binding Protein.    ABSTRACT:  Invertebrates possess a diverse collection of pentameric Cys-loop ligand gated ion channel (LGIC) receptors whose molecular structures, evolution and relationships to mammalian counterparts have been intensely investigated in several clinically and agriculturally important species. These receptors are targets for a variety of control agents that may also harm beneficial species. However, little is known about Cys-loop receptors in spiders, which are important natural predators of insects. We assembled de novo transcriptomes from the central and peripheral nervous systems of the Central American wandering spider Cupiennius salei, a model species for neurophysiological, behavioral and developmental studies. We found 15 Cys-loop receptor subunits that are expected to form anion or cation permeable channels, plus a putative acetylcholine binding protein (AChBP) that has only previously been reported in molluscs and one annelid. We used phylogenetic and sequence analysis to compare the spider subunits to homologous receptors in other species and predicted the 3D structures of each protein using the I-Tasser server. The quality of homology models improved with increasing sequence identity to the available high-resolution templates. We found that C. salei has orthologous γ-aminobutyric acid (GABA), GluCl, pHCl, HisCl and nAChα LGIC subunits to other arthropods, but some subgroups are specific to arachnids, or only to spiders. C. salei sequences were phylogenetically closest to gene fragments from the social spider, Stegodyphus mimosarum, indicating high conservation within the Araneomorphae suborder of spiders. C. salei sequences had similar ligand binding and transmembrane regions to other invertebrate and vertebrate LGICs. They also had motifs associated with high sensitivity to insecticides and antiparasitic agents such as fipronil, dieldrin and ivermectin. Development of truly selective control agents for pest species will require information about the molecular structure and pharmacology of Cys-loop receptors in beneficial species.  KEYWORDS:  MeSH Chemical: Arthropod Proteins| Carrier Proteins| Ion Channels MeSH: | Animals| Arthropod Proteins/majr/biosynthesis/genetics| Carrier Proteins/majr/biosynthesis/genetics| Ion Channels/majr/biosynthesis/genetics| Peripheral Nervous System/majr/metabolism| Spiders/majr/genetics/metabolism| Transcriptome/majr/physiology</t>
  </si>
  <si>
    <t>Development, validation, and application of a method for the GC-MS analysis of fipronil and three of its degradation products in samples of water, soil, and sediment.    ABSTRACT:  A method for the identification and quantification of pesticide residues in water, soil, and sediment samples has been developed, validated, and applied for the analysis of real samples. The specificity was determined by the retention time and the confirmation and quantification of analyte ions. Linearity was demonstrated over the concentration range of 20 to 120 µg L(-1), and the correlation coefficients varied between 0.979 and 0.996, depending on the analytes. The recovery rates for all analytes in the studied matrix were between 86% and 112%. The intermediate precision and repeatability were determined at three concentration levels (40, 80, and 120 µg L(-1)), with the relative standard deviation for the intermediate precision between 1% and 5.3% and the repeatability varying between 2% and 13.4% for individual analytes. The limits of detection and quantification for fipronil, fipronil sulfide, fipronil-sulfone, and fipronil-desulfinyl were 6.2, 3.0, 6.6, and 4.0 ng L(-1) and 20.4, 9.0, 21.6, and 13.0 ng L(-1), respectively. The method developed was used in water, soil, and sediment samples containing 2.1 mg L(-1) and 1.2% and 5.3% of carbon, respectively. The recovery of pesticides in the environmental matrices varied from 88.26 to 109.63% for the lowest fortification level (40 and 100 µg kg(-1)), from 91.17 to 110.18% for the intermediate level (80 and 200 µg kg(-1)), and from 89.09 to 109.82% for the highest fortification level (120 and 300 µg kg(-1)). The relative standard deviation for the recovery of pesticides was under 15%.  KEYWORDS:  MeSH Chemical: Pesticide Residues| Pyrazoles| Soil| Soil Pollutants| Water Pollutants, Chemical| Water| fipronil sulfone| fipronil MeSH: | Brazil| Gas Chromatography-Mass Spectrometry/majr/methods| Geologic Sediments/analysis| Limit of Detection| Pesticide Residues/analysis| Pyrazoles/majr/analysis| Sensitivity and Specificity| Soil/chemistry| Soil Pollutants/majr/analysis| Water/analysis| Water Pollutants, Chemical/majr/analysis Other:Environmental matrices|SPE|pesticides|pyrazol</t>
  </si>
  <si>
    <t>Behavioral Effects and Tunneling Responses of Eastern Subterranean Termites (Isoptera: Rhinotermitidae) Exposed to Chlorantraniliprole-Treated Soils.    ABSTRACT:  Intrinsic toxicities of chlorantraniliprole, fipronil, and imidacloprid were evaluated with topical applications on worker termites. Worker termites were exposed to substrates treated with formulated chlorantraniliprole to study contact toxicity, tunneling, and postexposure behaviors. The intrinsic toxicities (LD50, ng/termite) of chlorantraniliprole (1.25, 0.96, and 0.44) and fipronil (0.12, 0.11, and 0.13) at 11 d were similar for workers from three termite colonies. Imidacloprid toxicity (LD50) values were highly variable among the workers from three different colonies, values at 11 d ranging from 0.7 to 75 ng/termite. Termite workers exposed to sand and soils treated with chlorantraniliprole at 50 ppm exhibited delayed mortality and, for most of the exposure times, it took &gt;5 d to observe 90-100% mortality in termite workers. Exposure to chlorantraniliprole-treated sand (50 ppm) for as little as 1 min stopped feeding and killed 90-100% of the workers. Tunneling (≈ 2 h) in different soil types treated with chlorantraniliprole at 50 ppm, even those with high organic matter (6.3%) and clay content (30%), caused immediate feeding cessation in worker termites and mortality in the next 7-14 d. Worker termites exposed for 1 and 60 min to sand treated with chlorantraniliprole (50 ppm) were able to walk normally for 4 h after exposure in most cases. Delayed toxicity, increased aggregation, and grooming were observed in exposed termites and discussed in the context of horizontal transfer effects within termite colonies.© 2014 Entomological Society of America.  KEYWORDS:  MeSH Chemical: Imidazoles| Insecticides| Neonicotinoids| Nitro Compounds| Pyrazoles| Soil| ortho-Aminobenzoates| imidacloprid| chlorantranilipole| fipronil MeSH: | Administration, Topical| Animals| Behavior, Animal/drug effects| Dose-Response Relationship, Drug| Imidazoles/majr| Insect Control/majr| Insecticides/majr| Isoptera/majr| Lethal Dose 50| Neonicotinoids| Nitro Compounds/majr| Pyrazoles/majr| Soil/chemistry| ortho-Aminobenzoates/majr Other:Reticulitermes flavipes|aggregation|feeding cessation|lethal dose</t>
  </si>
  <si>
    <t>The neonicotinoid imidacloprid, and the pyrethroid deltamethrin, are antagonists of the insect Rdl GABA receptor.    ABSTRACT:  A mutation in the second transmembrane domain of the GABA receptor subunit, Rdl, is associated with resistance to insecticides such as dieldrin and fipronil. Molecular cloning of Rdl cDNA from a strain of the malaria mosquito, Anopheles gambiae, which is highly resistant to dieldrin revealed this mutation (A296G) as well as another mutation in the third transmembrane domain (T345M). Wild-type, A296G, T345M and A296G + T345M homomultimeric Rdl were expressed in Xenopus laevis oocytes and their sensitivities to fipronil, deltamethrin, 1,1,1-trichloro-2,2-bis(p-chlorophenyl) ethane (DDT), imidacloprid and spinosad were measured using two-electrode voltage-clamp electrophysiology. Spinosad and DDT had no agonist or antagonist actions on Rdl. However, fipronil, deltamethrin and imidacloprid decreased GABA-evoked currents. These antagonistic actions were either reduced or abolished with the A296G and the A296G + T345M mutations while T345M alone appeared to have no significant effect. In conclusion, this study identifies another mutation in the mosquito Rdl that is associated with insecticide resistance. While T345M itself does not affect insecticide sensitivity, it may serve to offset the structural impact of A296G. The present study also highlights Rdl as a potential secondary target for neonicotinoids and pyrethroids. We show for the first time that deltamethrin (a pyrethroid insecticide) and imidacloprid (a neonicotinoid insecticide) act directly on the insect GABA receptor, Rdl. Our findings highlight Rdl as a potential secondary target of pyrethroids and neonicotinoids mutations in which may contribute to resistance to these widely used insecticides.© 2015 International Society for Neurochemistry.  KEYWORDS:  MeSH Chemical: Chloride Channels| Drosophila Proteins| Insecticides| Pyrethrins| Rdl protein, Drosophila| Receptors, GABA-A| glutamate-gated chloride channels| neonicotinoid nitroguanidine| gamma-Aminobutyric Acid| Guanidine MeSH: | Animals| Chloride Channels/metabolism| Culicidae| Dose-Response Relationship, Drug| Drosophila Proteins/majr/genetics/metabolism| Drug Interactions| Electric Stimulation| Gene Expression Regulation/majr/drug effects/genetics| Guanidine/majr/analogs &amp; derivatives/pharmacology| Insecticides/majr/pharmacology| Molecular Sequence Data| Mutagenesis, Site-Directed/methods| Oocytes| Pyrethrins/majr/pharmacology| Receptors, GABA-A/majr/genetics/metabolism| Xenopus laevis/anatomy &amp; histology| gamma-Aminobutyric Acid/pharmacology Other:Anopheles gambiae|GABA receptor|deltamethrin|fipronil|imidacloprid|insecticide resistance</t>
  </si>
  <si>
    <t>Evaluation of genotoxicity using automated detection of γH2AX in metabolically competent HepaRG cells.    ABSTRACT:  The in situ detection of γH2AX was recently reported to be a promising biomarker of genotoxicity. In addition, the human HepaRG hepatoma cells appear to be relevant for investigating hepatic genotoxicity since they express most of drug metabolizing enzymes and a wild type p53. The aim of this study was to determine whether the automated in situ detection of γH2AX positive HepaRG cells could be relevant for evaluation of genotoxicity after single or long-term repeated in vitro exposure compared to micronucleus assay. Metabolically competent HepaRG cells were treated daily with environmental contaminants and genotoxicity was evaluated after 1, 7 and 14 days. Using these cells, we confirmed the genotoxicity of aflatoxin B1 and benzo(a)pyrene and demonstrated that dimethylbenzanthracene, fipronil and endosulfan previously found genotoxic with comet or micronucleus assays also induced γH2AX phosphorylation. Furthermore, we showed that fluoranthene and bisphenol A induced γH2AX while no effect had been previously reported in HepG2 cells. In addition, induction of γH2AX was observed with some compounds only after 7 days, highlighting the importance of studying long-term effects of low doses of contaminants. Together, our data demonstrate that automated γH2AX detection in metabolically competent HepaRG cells is a suitable high-through put genotoxicity screening assay.© The Author 2015. Published by Oxford University Press on behalf of the UK Environmental Mutagen Society. All rights reserved. For permissions, please e-mail: journals.permissions@oup.com.  KEYWORDS:  MeSH Chemical: H2AX protein, human| Histones| Mutagens| Pyrazoles| Benzo(a)pyrene| DNA| Aflatoxin B1| Endosulfan| fipronil MeSH: | Aflatoxin B1/toxicity| Benzo(a)pyrene/toxicity| Cell Line, Tumor/majr| Comet Assay| DNA/drug effects| DNA Damage/majr| Endosulfan/toxicity| Hep G2 Cells| Histones/majr/analysis/metabolism| Humans| Micronucleus Tests| Mutagenicity Tests/majr/methods| Mutagens/majr/toxicity| Phosphorylation| Pyrazoles/toxicity</t>
  </si>
  <si>
    <t>The dissipation of fipronil, chlorpyrifos, fosthiazate and ethoprophos in soils from potato monoculture areas: first evidence for the enhanced biodegradation of fosthiazate.    ABSTRACT:  A limited number of pesticides are available for the control of soil pests in potato. This, together with the monoculture nature of potato cultivation, does not favour chemical rotation, increasing the risk of reduced biological efficacy due to microbial adaptation. The dissipation of three major organophosphates (chlorpyrifos, ethoprophos and fosthiazate) was studied in comparison with fipronil, an insecticide recently introduced in potato cultivation, in 17 soils from potato monoculture areas in Greece to explore the extent of enhanced biodegradation development.The dissipation time of the four pesticides varied in the different soils, with DT50 values of 1.7-30.8 days, 2.7-56 days, 7.0-31.0 days and 24.5-116.5 days for fosthiazate, chlorpyrifos, ethoprophos and fipronil, respectively. A rapid dissipation of ethoprophos and fosthiazate in two soils with previous exposure to these nematicides provided first evidence for the development of enhanced biodegradation. Sterilisation of the given soils inhibited the dissipation of fosthiazate. Additionally, fosthiazate dissipation in the soils increased upon repeated applications.The development of enhanced biodegradation of fosthiazate in soils from potato monoculture regions was verified. This is the first report of enhanced biodegradation for this chemical. Further studies will focus on the isolation of microorganisms responsible for the dissipation of fosthiazate.© 2015 Society of Chemical Industry.  KEYWORDS:  MeSH Chemical: Antinematodal Agents| Insecticides| Organophosphorus Compounds| Organothiophosphorus Compounds| Pyrazoles| Thiazolidines| ethoprophos| fosthiazate| Chlorpyrifos| fipronil MeSH: | Antinematodal Agents/majr/metabolism| Biodegradation, Environmental| Chlorpyrifos/metabolism| Greece| Insecticides/majr/metabolism| Organophosphorus Compounds/metabolism| Organothiophosphorus Compounds/metabolism| Pyrazoles/metabolism| Soil Microbiology/majr| Solanum tuberosum| Thiazolidines/metabolism Other:chlorpyrifos|dissipation|enhanced biodegradation|ethoprophos|fipronil|fosthiazate|potato cultivation</t>
  </si>
  <si>
    <t>Efficacy of a new combination of fipronil and permethrin (Effitix®) against Phlebotomus perniciosus in dogs.    ABSTRACT:  Two controlled clinical trials were carried out to assess the anti-feeding and adulticidal effects of a spot-on combining fipronil and permethrin (Effitix(®), Virbac, Carros, France) against Phlebotomus perniciosus in dogs. The first study (Exp. A) was a dose-determination study in which 3 doses of permethrin (30 mg/kg, 60 mg/kg and 120 mg/kg) were compared. The second study (Exp. B) was an efficacy study using commercial dose of permethrin contained in Effitix(®) (the minimum dose of permethrin applied to dogs was 60 mg/kg). Twenty four and twelve Beagle dogs with equal sensitivity to sandflies were included in Exp. A and in Exp. B, respectively. Dogs were challenged with female sandflies (50 per dogs in Exp. A and 80 in Exp. B) for 60±5 min on Days - 7, 1, 7, 14, 21 and 28 (Day 0 being treatment day). Counts and engorgement determination of dead and alive sandflies were performed after each exposure to treated and untreated dogs. Dead sandflies were also counted 24 h after exposure. In Exp. A, the repellency induced by an administration of 30 mg/kg of permethrin to dogs was above 91% for the first two weeks and then dropped to 82.2, 83.1 and 81.1% on Days 14, 21 and 28, respectively. For dogs receiving 60 mg/kg of permethrin, the repellency was a bit higher with 95.8, 97.6, 92.1, 91.4, and 86.8%, for Days 1, 7, 14, 21 and 28, respectively. The repellency induced by 120 mg/kg of permethrin was significantly higher than that induced by 60 mg/kg of permethrin on Day 14 only. In Exp. B the anti-feeding effect of the spot-on formulation was 94.1, 97.8, 96.3, 90.8 and 87% on Days 1, 7, 14, 21 and 28, respectively. The mortality effect was 98.9, 99.1, 99.8, 97.0 and 89.7% on Days 1, 7, 14, 21 and 28, respectively. At each challenge point, the mortality and anti-feeding effects on sandflies were significantly different between control and treatment group (p&lt;0.05). The results indicate that a monthly administration of this new combination of permethrin and fipronil could be used as an effective sandfly control strategy in dogs and therefore recommended for use in an integrated leishmaniosis prevention program.Copyright © 2015 The Authors. Published by Elsevier B.V. All rights reserved.  KEYWORDS:  MeSH Chemical: Drug Combinations| Insecticides| Pyrazoles| Permethrin| fipronil MeSH: | Administration, Topical| Animals| Dog Diseases/majr/parasitology| Dogs| Dose-Response Relationship, Drug| Drug Combinations| Insecticides/majr/administration &amp; dosage/therapeutic use| Permethrin/majr/administration &amp; dosage/therapeutic use| Phlebotomus| Pyrazoles/majr/administration &amp; dosage/therapeutic use Other:Anti-feeding effect|Dogs|Effitix(®)|Fipronil|Permethrin|Phlebotomus perniciosus</t>
  </si>
  <si>
    <t>Comparative Speed of Kill, Repellent (anti-feeding) and Acaricidal Efficacy of an Imidacloprid/Flumethrin Collar (Seresto®) and a Fipronil/(S)-Methoprene/Eprinomectin/Praziquantel Spot-on (Broadline®) against Ixodes ricinus (Linné, 1758) on Cats.    ABSTRACT:  Speed of kill, repellent (anti-feeding) and acaricidal efficacy of an imidacloprid 10 % (w/w) /flumethrin 4.5 % (w/w) collar (Seresto(®), Bayer) and a spot-on formulation of fipronil 8.3 % (w/v) /(S)-methoprene 10 % (w/v) /eprinomectin 0.4 % (w/v) /praziquantel 8.3 % (w/v) (Broadline(®), Merial) against artificiallyinduced infestations with Ixodes ricinus on cats, were assessed in a parallel group design, randomised, controlled study. Twenty-four cats were included and randomly allocated to treatment groups or a non-treated control group. Starting on Day (D) 7 after treatment until D28, cats were each infested with 50 I. ricinus at weekly intervals. Ticks were counted in situ on the cats at 6, 12 and 24 h and upon removal 48 h after each infestation. Based on arithmetic means, Seresto(®) proved to be 100 % effective against adult I. ricinus at all assessment times (6, 12, 24 and 48 h after infestation) throughout the month-long study. Broadline(®) was 0 % to 16.7 % effective at 6 h, 26.8 % to 50.0 % effective at 12 h, while at 24 h after infestation efficacy peaked at 81.5 % on D15 declining to 31.5 % on D29. Based on the 48 h tick counts, the efficacy of Broadline(®) peaked at 100 % on D16 after treatment and decreased to 83.2 % by D30. The Seresto(®) collar provided significantly faster speed of kill and better persistent acaricidal effectiveness against Ixodes ricinus on cats compared to Broadline(®) spot-on. The additional repellent (anti-feeding) effect of Seresto(®) prevents parasites from taking a blood meal and thereby reduces the risk of vector-borne disease pathogen transmission.  KEYWORDS:  MeSH Chemical: Acaricides| Imidazoles| Neonicotinoids| Nitro Compounds| Pyrazoles| Pyrethrins| flumethrin| imidacloprid| Praziquantel| Ivermectin| eprinomectin| Methoprene| fipronil MeSH: | Acaricides/majr/administration &amp; dosage/pharmacology| Administration, Topical| Animals| Cat Diseases/majr/drug therapy/parasitology| Cats| Feeding Behavior/drug effects| Female| Imidazoles/administration &amp; dosage/therapeutic use| Ivermectin/administration &amp; dosage/analogs &amp; derivatives/therapeutic use| Ixodes/majr/drug effects| Methoprene/administration &amp; dosage/therapeutic use| Neonicotinoids| Nitro Compounds/administration &amp; dosage/therapeutic use| Praziquantel/administration &amp; dosage/therapeutic use| Pyrazoles/administration &amp; dosage/therapeutic use| Pyrethrins/administration &amp; dosage/therapeutic use</t>
  </si>
  <si>
    <t>Fipronil induces CYP isoforms in rats.    ABSTRACT:  The goal of the present study was to evaluate fipronil effects on the activities of drug metabolizing enzymes in rat liver microsomes. Rats were orally treated with fipronil at doses of 1, 5, 10 and 15 mg/kg bw/day for 6 days. Determinations of cytochrome P450 (CYP) enzyme activities were carried out in hepatic microsomes isolated from treated rats. The activities of some members of CYP2E, CYP1A, CYP2A, CYP2B and CYP3A subfamilies significantly increased after fipronil treatment in a dose-dependent manner as compared to control. The major effects were observed in the O-deethylation of ethoxyresorufin and O-demethylation of methoxyresorufin (reflecting CYP1A1/2 activities), in the O-depenthylation of pentoxyresorufin and 16β-hydroxylation of testosterone (reflecting CYP2B1/2 activities), and in the N-demethylation of erythromycin and 6β-hydroxylation of testosterone (reflecting CYP3A1/2 activities). Immunoblot studies revealed that fipronil increased the apoprotein levels of CYP1A1. Our results suggest that fipronil is an inducer of hepatic phase I CYP enzymes, causing an increased potential to interact with a wide range of xenobiotics or endogenous chemicals that are substrates of the CYP1A, CYP2B and CYP3A subfamilies. Further investigations are required to in vivo evaluate the potential of the metabolite fipronil sulfone as an inducer of phase I CYP enzymes.Copyright © 2015 Elsevier Ltd. All rights reserved.  KEYWORDS:  MeSH Chemical: Cytochrome P-450 Enzyme Inducers| Insecticides| Isoenzymes| Pyrazoles| Cytochrome P-450 Enzyme System| fipronil MeSH: | Animals| Cytochrome P-450 Enzyme Inducers/majr/administration &amp; dosage/toxicity| Cytochrome P-450 Enzyme System/majr/biosynthesis| Dose-Response Relationship, Drug| Enzyme Induction/drug effects| Insecticides/majr/administration &amp; dosage/toxicity| Isoenzymes/biosynthesis| Male| Microsomes, Liver/majr/drug effects/enzymology| Pyrazoles/majr/administration &amp; dosage/toxicity| Random Allocation| Rats, Wistar Other:Cytochrome P450 enzymes|Fipronil|Hepatic microsomes|Rats</t>
  </si>
  <si>
    <t>Investigation of pharmaceuticals, personal care products and endocrine disrupting chemicals in a tropical urban catchment and the influence of environmental factors.    ABSTRACT:  Previous studies showed the presence of multiple emerging organic contaminants (EOCs) in urban surface waters of Singapore even though there are no obvious direct wastewater discharges. In this study, we investigated the occurrence and distribution of 17 pharmaceuticals and personal care products (PPCPs) and endocrine disruptive compounds (EDCs) in a tropical urban catchment of Singapore. Monthly samples were collected from a reservoir and its 5 upstream tributaries during a 16-month period. Analysis of samples showed all sites had measurable PPCP and EDC concentrations, with caffeine (33.9-2980 ng/L), salicylic acid (5-838 ng/L), acetaminophen (&lt;4-485.5 ng/L), BPA (&lt;2-919.5 ng/L) and DEET (13-270 ng/L) being the most abundant. Marked differences in concentrations of target analytes between the reservoir and upstream tributaries were observed, and were tentatively attributed to the spatial differences in source inputs, water dilution capacity as well as natural attenuation of EOCs. Significant correlations between EOCs and conductivity, dissolved oxygen, chlorophyll a, turbidity, nutrients and cumulative precipitation were observed. These factors appeared to affect the distribution and attenuation of EOCs, depending on their physicochemical properties. Rainfall also influenced the temporal distribution of caffeine, BPA, triclosan, fipronil and DEET in the reservoir. Ecological risk assessment showed that caffeine, acetaminophen, estrone, BPA, triclosan and fipronil may warrant further survey. In particular, BPA levels exceeded the literature-based Predicted No-Effect Concentration (PNEC) value, highlighting the need for source control and/or water remediation in this urban catchment.Copyright © 2015 Elsevier B.V. All rights reserved.  KEYWORDS:  MeSH Chemical: Cosmetics| Endocrine Disruptors| Pharmaceutical Preparations| Water Pollutants, Chemical MeSH: | Cosmetics/majr/analysis| Endocrine Disruptors/majr/analysis| Environmental Monitoring/majr| Pharmaceutical Preparations/majr/analysis| Singapore| Water Pollutants, Chemical/majr/analysis Other:Endocrine disruptors|Liquid chromatography–tandem mass spectrometry|PPCPs|Risk assessment|Surface water</t>
  </si>
  <si>
    <t>Pesticide Uptake Across the Amphibian Dermis Through Soil and Overspray Exposures.    ABSTRACT:  For terrestrial amphibians, accumulation of pesticides through dermal contact is a primary route of exposure in agricultural landscapes and may be contributing to widespread amphibian declines. To show pesticide transfer across the amphibian dermis at permitted label application rates, our study was designed to measure pesticide body burdens after two simulated exposure scenarios. We compared direct exposures, where amphibians were present when spraying occurred, to indirect exposures, where amphibians were exposed to soils after pesticide application. During summer 2012, we reared barking (Hyla gratiosa) and green treefrogs (H. cinerea) through 60-90 days post-metamorphosis at a United States Environmental Protection Agency research laboratory. We tested exposure for 8 h to five pesticide active ingredients (imidacloprid, atrazine, triadimefon, fipronil, or pendimethalin) in glass aquaria lined with soil in the laboratory. We quantified total pesticide body burden and soil concentrations using liquid chromatography-mass spectrometry. All individuals in both treatments had measurable body burdens at the end of the study. A randomized block design analysis of variance (n = 18) showed that body burdens (p = 0.03) and bioconcentration factors (BCFs) (p = 0.01) were significantly greater in the direct overspray treatment relative to the indirect soil spray treatment for both species and tested pesticides. BCFs ranged from 0.1 to 1.16 and from 0.013 to 0.78 in the direct and indirect treatments, respectively. Our study shows dermal uptake for multiple pesticides from both direct spray and indirect soil exposures and provides empirical support for the degree to which terrestrial phase amphibians have higher body burdens after overspray pesticide exposure.  KEYWORDS:  MeSH Chemical: Pesticides| Soil MeSH: | Agriculture/methods| Amphibians/majr/metabolism| Animals| Dermis| Environmental Exposure/majr/analysis/statistics &amp; numerical data| Environmental Monitoring| Metamorphosis, Biological| Pesticides/majr/metabolism| Risk Assessment| Soil/chemistry</t>
  </si>
  <si>
    <t>Identification of carboxylesterase genes and their expression profiles in the Colorado potato beetle Leptinotarsa decemlineata treated with fipronil and cyhalothrin.    ABSTRACT:  Based on the Leptinotarsa decemlineata transcriptome dataset and the GenBank sequences, 70 novel carboxylesterases and 2 acetylcholinesterases were found. The 72 members belong to a multifunctional carboxylesterase/cholinesterase superfamily (CCE). A phylogenetic tree including the 72 LdCCEs and the CCEs from Tribolium castaneum, Drosophila melanogaster and Apis mellifera revealed that all CCEs fell into three main phylogenetic groups: dietary/detoxification, hormone/semiochemical processing, and neurodevelopmental classes. Numbers of L. decemlineata CCEs in the three classes were 52, 12 and 8, respectively. The dietary/detoxification class includes two clades: coleopteran xenobiotic metabolizing and α-esterase type CCEs. CCEs in the two clades have independently expanded in L. decemlineata. The hormone/semiochemical processing class has three clades: integument CCEs, β- and pheromone CCEs and juvenile hormone CCEs. Integument CCEs in L. decemlineata have also expanded. The neurodevelopmental CCEs are implicated the most ancient class, containing acetylcholinesterase, neuroligin, neurotactin, glutactin, gliotactin and others. Among the 70 novel CCE genes, KM220566, KM220530, KM220576, KM220527 and KM220541 were fipronil-inducible, and KM220578, KM220566, KM220542, KM220564, KM220561, KM220554, KM220527, KM220538 and KM220541 were cyhalothrin-inducible. They were the candidates involving in insecticide detoxification. Moreover, our results also provided a platform to understand the functions and evolution of L. decemlineata CCE genes. Copyright © 2014 Elsevier Inc. All rights reserved.  KEYWORDS:  MeSH Chemical: Insect Proteins| Insecticides| Nitriles| Pyrazoles| Pyrethrins| Carboxylic Ester Hydrolases| Carboxylesterase| fipronil| cyhalothrin MeSH: | Animals| Carboxylesterase/majr/genetics| Carboxylic Ester Hydrolases/genetics| Coleoptera/majr/drug effects/genetics| Gene Expression Regulation, Enzymologic/drug effects| Inactivation, Metabolic/genetics| Insect Proteins/genetics| Insecticides/pharmacology| Molecular Sequence Data| Nitriles/majr/pharmacology| Phylogeny| Pyrazoles/majr/pharmacology| Pyrethrins/majr/pharmacology Other:Carboxylesterase|Cholinesterase|Cyhalothrin|Detoxification|Fipronil</t>
  </si>
  <si>
    <t>Minireview: Mode of action of meta-diamide insecticides.    ABSTRACT:  Meta-diamides [3-benzamido-N-(4-(perfluoropropan-2-yl)phenyl)benzamides] are a distinct class of RDL GABA receptor noncompetitive antagonists showing high insecticidal activity against Spodoptera litura. The mode of action of the meta-diamides was demonstrated to be distinct from that of conventional noncompetitive antagonists (NCAs) such as fipronil, picrotoxin, lindane, dieldrin, and α-endosulfan. It was suggested that meta-diamides act at or near G336 in the M3 region of the Drosophila RDL GABA receptor. Although the site of action of the meta-diamides appears to overlap with that of macrocyclic lactones including avermectins and milbemycins, differential effects of mutations on the actions of the meta-diamides and the macrocyclic lactones were observed. Molecular modeling studies revealed that the meta-diamides may bind to an inter-subunit pocket near G336 in the Drosophila RDL GABA receptor better when in the closed state, which is distinct from the NCA-binding site, which is in a channel formed by M2s. In contrast, the macrocyclic lactones were suggested to bind to an inter-subunit pocket near G336 in the Drosophila RDL GABA receptor when in the open state. Furthermore, mechanisms underlying the high selectivity of meta-diamides are discussed. This minireview highlights the unique features of novel meta-diamide insecticides and demonstrates why meta-diamides are anticipated to become prominent insecticides that are effective against pests resistant to cyclodienes and fipronil. Copyright © 2014 Elsevier Inc. All rights reserved.  KEYWORDS:  MeSH Chemical: GABA Antagonists| Insect Proteins| Insecticides| Lactones| Pyrazoles| Receptors, GABA| Diamide| fipronil MeSH: | Animals| Diamide/majr/pharmacology| GABA Antagonists/majr/pharmacology| Insect Proteins/majr/genetics/metabolism| Insecticides/majr/pharmacology| Lactones/pharmacology| Molecular Docking Simulation| Mutation| Pyrazoles/pharmacology| Receptors, GABA/majr/genetics/metabolism Other:A2′ mutation|Insecticide|Meta-diamide|RDL GABA receptor</t>
  </si>
  <si>
    <t>A multiplexed assay for determination of neurotoxicant effects on spontaneous network activity and viability from microelectrode arrays.    ABSTRACT:  Microelectrode array (MEA) recordings are increasingly being used as an in vitro method to detect and characterize the ability of drugs, chemicals and particles to cause neurotoxicity. While compound effects on spontaneous network activity are easily determined by MEA recordings, compound cytotoxicity is not routinely assessed, particularly within the same network from which recordings are collected. With the advent of higher-throughput 48 and 96 well MEA systems, rapid and simple methods to measure compound effects on cell health are required to facilitate efficient compound screening using MEAs. The present experiments sought to develop a multiplexed approach that allows measurement of network activity and cell health in the same MEA well. Primary cultures from rat cortex were exposed to six different compounds (glyphosate, β-cyfluthrin, domoic acid, tributyltin, lindane and fipronil). Effects of these compounds (0.03-100 μM) on spontaneous network activity (mean firing rate; MFR), cellular metabolic activity (Cell Titer Blue™ (CTB) assay) and lactate dehydrogenase (LDH) release were determined in the same well following a 60-min exposure. Glyphosate elicited no effect on MFR, LDH release or CTB reduction. Tributyltin caused concomitant decreases in MFR and CTB reduction and increases LDH release, while domoic acid and β-cyfluthrin decreased MFR in a concentration-dependent manner without altering either LDH release or CTB reduction. By contrast, lindane and fipronil did not alter LDH release or CTB reduction, but caused biphasic alterations in MFR, with increases in MFR at lower concentrations followed by decreases at higher concentrations. These results demonstrate a simple and rapid method for the simultaneous determination of test compound effects on spontaneous electrical activity and cell health from the same network, and will facilitate rapid screening of compounds for potential neurotoxicity.Published by Elsevier B.V.  KEYWORDS:  MeSH Chemical: Neurotoxins| L-Lactate Dehydrogenase MeSH: | Action Potentials/majr/drug effects| Animals| Animals, Newborn| Cell Survival/drug effects| Cells, Cultured| Cerebellar Cortex/cytology| Dose-Response Relationship, Drug| L-Lactate Dehydrogenase/metabolism| Microelectrodes/majr| Nerve Net/majr/drug effects| Neurons/majr/drug effects| Neurotoxins/majr/pharmacology| Rats Other:Microelectrode array|Multiplexed assay|Screening</t>
  </si>
  <si>
    <t>Different acute toxicity of fipronil baits on invasive Linepithema humile supercolonies and some non-target ground arthropods.    ABSTRACT:  Fipronil is one of the most effective insecticides to control the invasive ant Linepithema humile, but its effectiveness has been assessed without considering the genetic differences among L. humile supercolonies. We hypothesized that the susceptibility of the ant to fipronil might differ among supercolonies. If so, dosage and concentration of fipronil may need to be adjusted for effective eradication of each supercolony. The relative sensitivities of four L. humile supercolonies established in Hyogo (Japan) to fipronil baits were examined based on their acute toxicity (48-h LC(50)). Toxicities of fipronil to seven ground arthropods, including four native ant species, one native isopoda, and two cockroaches were also determined and compared to that of L. humile supercolonies using species sensitivity distributions. Marked differences in susceptibility of fipronil were apparent among the supercolonies (P &lt; 0.008), with the 'Japanese main supercolony' (271 μg L(-1)) being five to ten times more sensitive to fipronil than other colonies (1183-2782 μg L(-1)). Toxicities to non-target species (330-2327 μg L(-1)) were in the same range as that of L. humile, and SSDs between the two species groups were not significantly different (t = -1.389, P = 0.180), suggesting that fipronil's insecticidal activity is practically the same for L. humile as for non-target arthropods. Therefore, if the invasive ant is to be controlled using fipronil, this would also affect the local arthropod biodiversity. Only the 'Japanese main supercolony' can be controlled with appropriate bait dosages of fipronil that would have little impact on the other species.  KEYWORDS:  MeSH Chemical: Insecticides| Pyrazoles| fipronil MeSH: | Animals| Ants/majr/drug effects/genetics| Cockroaches/majr/drug effects| Insecticides/majr/pharmacology/toxicity| Introduced Species| Isopoda/majr/drug effects| Japan| Pyrazoles/majr/pharmacology/toxicity</t>
  </si>
  <si>
    <t>Stormwater-related transport of the insecticides bifenthrin, fipronil, imidacloprid, and chlorpyrifos into a tidal wetland, San Francisco Bay, California.    ABSTRACT:  Suisun Marsh, in northern San Francisco Bay, is the largest brackish marsh in California, and provides critical habitat for many fish species. Storm runoff enters the marsh through many creeks that drain agricultural uplands and the urban areas of Fairfield and Suisun City. Five creeks were sampled throughout a major storm event in February 2014, and analyzed for representatives of several major insecticide classes. Concentrations were greatest in creeks with urban influence, though sampling was done outside of the primary season for agricultural pesticide use. Urban creek waters reached maximum concentrations of 9.9 ng/l bifenthrin, 27.4 ng/l fipronil, 11.9 ng/l fipronil sulfone, 1462 ng/l imidacloprid, and 4.0 ng/l chlorpyrifos. Water samples were tested for toxicity to Hyalella azteca and Chironomus dilutus, and while few samples caused mortality, 70% of the urban creek samples caused paralysis of either or both species. Toxic unit analysis indicated that bifenthrin was likely responsible for effects to H. azteca, and fipronil and its sulfone degradate were responsible for effects to C. dilutus. These results demonstrate the potential for co-occurrence of multiple insecticides in urban runoff, each with the potential for toxicity to particular species, and the value of toxicity monitoring using multiple species. In the channels of Suisun Marsh farther downstream, insecticide concentrations and toxicity diminished as creek waters mixed with brackish waters entering from San Francisco Bay. Only fipronil and its degradates remained measurable at 1-10 ng/l. These concentrations are not known to present a risk based on existing data, but toxicity data for estuarine and marine invertebrates, particularly for fipronil's degradates, are extremely limited.Copyright © 2015 Elsevier B.V. All rights reserved.  KEYWORDS:  MeSH Chemical: Imidazoles| Insecticides| Neonicotinoids| Nitro Compounds| Pyrazoles| Pyrethrins| Water Pollutants, Chemical| imidacloprid| bifenthrin| Chlorpyrifos| fipronil MeSH: | Amphipoda| Animals| Bays/chemistry| Chlorpyrifos/analysis/toxicity| Drainage, Sanitary| Ecosystem| Environmental Monitoring| Imidazoles/analysis/toxicity| Insecticides/majr/analysis/toxicity| Neonicotinoids| Nitro Compounds/analysis/toxicity| Pyrazoles/analysis/toxicity| Pyrethrins/analysis/toxicity| San Francisco| Waste Disposal, Fluid| Water Pollutants, Chemical/majr/analysis/toxicity| Wetlands/majr Other:Chironomus dilutus|Fipronil|Hyalella azteca|Imidacloprid|Pyrethroids|Urban runoff</t>
  </si>
  <si>
    <t>Effect of fipronil on energy metabolism in the perfused rat liver.    ABSTRACT:  Fipronil is an insecticide used to control pests in animals and plants that can causes hepatotoxicity in animals and humans, and it is hepatically metabolized to fipronil sulfone by cytochrome P-450. The present study aimed to characterize the effects of fipronil (10-50μM) on energy metabolism in isolated perfused rat livers. In fed animals, there was increased glucose and lactate release from glycogen catabolism, indicating the stimulation of glycogenolysis and glycolysis. In the livers of fasted animals, fipronil inhibited glucose and urea production from exogenous l-alanine, whereas ammonia and lactate production were increased. In addition, fipronil at 50μM concentration inhibited the oxygen uptake and increased the cytosolic NADH/NAD⁺ ratio under glycolytic conditions. The metabolic alterations were found both in livers from normal or proadifen-pretreated rats revealing that fipronil and its reactive metabolites contributed for the observed activity. The effects on oxygen uptake indicated that the possible mechanism of toxicity of fipronil involves impairment on mitochondrial respiratory activity, and therefore, interference with energy metabolism. The inhibitory effects on oxygen uptake observed at the highest concentration of 50μM was abolished by pretreatment of the rats with proadifen indicating that the metabolites of fipronil, including fipronil sulfone, acted predominantly as inhibitors of respiratory chain. The hepatoxicity of both the parent compound and its reactive metabolites was corroborated by the increase in the activity of lactate dehydrogenase in the effluent perfusate in livers from normal or proadifen-pretreated rats.Copyright © 2015. Published by Elsevier Ireland Ltd.  KEYWORDS:  MeSH Chemical: Chloride Channels| Cytochrome P-450 Enzyme Inhibitors| Insecticides| Membrane Transport Modulators| Pyrazoles| Urea| Proadifen| fipronil MeSH: | Animals| Biotransformation/drug effects| Chemical and Drug Induced Liver Injury/majr/enzymology/metabolism| Chloride Channels/majr/antagonists &amp; inhibitors| Cytochrome P-450 Enzyme Inhibitors/pharmacology| Electron Transport/drug effects| Energy Metabolism/majr/drug effects| Gluconeogenesis/drug effects| Glycogenolysis/drug effects| Glycolysis/drug effects| In Vitro Techniques| Insecticides/majr/metabolism/toxicity| Liver/majr/drug effects/metabolism| Male| Membrane Transport Modulators/majr/metabolism/toxicity| Mitochondria, Liver/drug effects/enzymology| Oxygen Consumption/drug effects| Perfusion| Proadifen/pharmacology| Pyrazoles/majr/metabolism/toxicity| Rats, Wistar| Urea/metabolism Other:Energetic metabolism|Gluconeogenesis|Glycogenolysis|Glycolisis|Insecticides|Urea cycle</t>
  </si>
  <si>
    <t>Liquid chromatography Orbitrap mass spectrometry with simultaneous full scan and tandem MS/MS for highly selective pesticide residue analysis.    ABSTRACT:  This paper describes the application of LC/Q-Orbitrap MS for the analysis of pesticide residues in fruit and vegetable commodities. LC/Q-Orbitrap MS working in full scan simultaneously with a single MS/MS scan was used to analyse 139 pesticide residues in QuEChERS extracts of tomato, pepper, orange and green tea. Full scan data were obtained at a resolution of 70,000 whereas MS/MS data were obtained at a resolution of 17,500. Quantitation and detection was carried out using full scan data while MS/MS data were used only for identification. MS/MS scans did not have a negative influence on quantitation under the applied conditions. Some peak area reproducibility problems were the consequence of the low sensitivity for some compounds (aldicarb, chlorpyriphos methyl, fenitrothion and fipronil) under the applied conditions. The relation between the operational parameters (viz. automatic gain control (AGC) target, maximum injection time (IT), underfill ratio, isolation window and apex trigger) and the number of automatically identified compounds was investigated. Mass error and minimal intensity of selected fragment ions were also studied. Various working modes were compared, such as full scan with single MS/MS scan and full scan with multiple MS/MS scans. In both cases, the number of automatically reported pesticides was the same. However full scan with single MS/MS scan ensured more points per peak in full scan mode and better peak area reproducibility. The evaluation of the identification and quantitation capabilities of the instrument was performed through the analysis of 100 real samples. The samples were also analysed by LC-QqQ MS/MS and the results of both analytical systems were compared. The comparison revealed that the two instruments were consistent with each other. They found the same pesticides and neither false positive nor false negatives were reported. Nevertheless the Q-Orbitrap MS allowed one to work in high resolution mass spectrometry, increasing the selectivity and, in full scan mode, permitting the retrospective analysis of the data feature that cannot be achieved with QqQ.  KEYWORDS:  MeSH Chemical: Pesticide Residues MeSH: | Chromatography, Liquid/majr/methods| Mass Spectrometry/majr/methods| Pesticide Residues/majr/analysis</t>
  </si>
  <si>
    <t>Assessment of resistance risk to lambda-cyhalothrin and cross-resistance to four other insecticides in the house fly, Musca domestica L. (Diptera: Muscidae).    ABSTRACT:  Lambda-cyhalothrin, a sodium channel modulator insecticide, has been used frequently for the control of house flies, Musca domestica L. (Diptera: Muscidae) worldwide, including Pakistan. This experiment was performed to determine the selection and assessment of lambda-cyhalothrin resistance evolution along with four other insecticides. After 26 generations of selection, the lambda-cyhalothrin-selected population developed 445-fold resistance to lambda-cyhalothrin compared to the susceptible population. There was low cross-resistance to bifenthrin and very low cross-resistance to methomyl, imidacloprid, and fipronil in the lambda-cyhalothrin-selected population compared to the field population (G1). Realized heritability (h (2)) of resistance to lambda-cyhalothrin, bifenthrin, methomyl, imidacloprid, and fipronil was 0.07, 0.05, 0.01, 0.08, and 0.08, respectively. The projected rate of resistance development revealed that if 90 % house flies were selected, then a tenfold increase in lethal concentration 50 occurred after 17, 20, 159, 13, and 14 generations for lambda-cyhalothrin (h (2) = 0.07, slope = 2.09), bifenthrin (h (2) = 0.05, slope = 1.73), methomyl (h (2) = 0.01, slope = 2.52), imidacloprid (h (2) = 0.08, slope = 1.89), and fipronil (h (2) = 0.08, slope = 2.03), respectively. The results of our study concluded that the house fly has the potential to develop multiple insecticide resistances following continued selection pressure with lambda-cyhalothrin. This study will be helpful for assisting the development of resistance management strategies.  KEYWORDS:  MeSH Chemical: Imidazoles| Insecticides| Neonicotinoids| Nitriles| Nitro Compounds| Pyrazoles| Pyrethrins| imidacloprid| bifenthrin| fipronil| cyhalothrin MeSH: | Animals| Female| Houseflies/majr/drug effects| Imidazoles/pharmacology| Insecticide Resistance| Insecticides/majr/pharmacology| Male| Neonicotinoids| Nitriles/majr/pharmacology| Nitro Compounds/pharmacology| Pakistan| Pyrazoles/pharmacology| Pyrethrins/majr/pharmacology</t>
  </si>
  <si>
    <t>Meroterpenoid Chrodrimanins Are Selective and Potent Blockers of Insect GABA-Gated Chloride Channels.    ABSTRACT:  Meroterpenoid chrodrimanins, produced from Talaromyces sp. YO-2, are known to paralyze silkworm (Bombyx mori) larvae, but their target is unknown. We have investigated the actions of chrodrimanin B on ligand-gated ion channels of silkworm larval neurons using patch-clamp electrophysiology. Chrodrimanin B had no effect on membrane currents when tested alone at 1 μM. However, it completely blocked the γ-aminobutyric acid (GABA)-induced current and showed less pronounced actions on acetylcholine- and L-glutamate-induced currents, when delivered at 1 μM for 1 min prior to co-application with transmitter GABA. Thus, chrodrimanins were also tested on a wild-type isoform of the B. mori GABA receptor (GABAR) RDL using two-electrode voltage-clamp electrophysiology. Chrodrimanin B attenuated the peak current amplitude of the GABA response of RDL with an IC50 of 1.66 nM. The order of the GABAR-blocking potency of chrodrimanins B &gt; D &gt; A was in accordance with their reported insecticidal potency. Chrodrimanin B had no open channel blocking action when tested at 3 nM on the GABA response of RDL. Co-application with 3 nM chrodrimanin B shifted the GABA concentration response curve to a higher concentration and further increase of chrodrimanin B concentration to 10 nM; it reduced maximum current amplitude of the GABA response, pointing to a high-affinity competitive action and a lower affinity non-competitive action. The A282S;T286V double mutation of RDL, which impairs the actions of fipronil, hardly affected the blocking action of chrodrimanin B, indicating a binding site of chrodrimanin B distinct from that of fipronil. Chrodrimanin B showed approximately 1,000-fold lower blocking action on human α1β2γ2 GABAR compared to RDL and thus is a selective blocker of insect GABARs.  KEYWORDS:  MeSH Chemical: Chloride Channels| GABA Antagonists| Insect Proteins| Insecticides| Polyketides| Pyrazoles| Receptors, GABA| Sesquiterpenes| Terpenes| chrodrimanin B| gamma-Aminobutyric Acid| fipronil MeSH: | Animals| Bombyx/majr| Chloride Channels/majr/antagonists &amp; inhibitors/metabolism| Dose-Response Relationship, Drug| GABA Antagonists/majr/toxicity| Humans| Insect Proteins/antagonists &amp; inhibitors/metabolism| Insecticides/toxicity| Ion Channel Gating/majr/drug effects| Larva/cytology/drug effects| Mutation| Neurons/drug effects/metabolism| Oocytes/metabolism| Polyketides/majr/toxicity| Pyrazoles/pharmacology| Receptors, GABA/genetics/metabolism| Safety| Sesquiterpenes/majr/toxicity| Terpenes/majr/toxicity| Xenopus/genetics| gamma-Aminobutyric Acid/majr/metabolism</t>
  </si>
  <si>
    <t>Efficacy of a fixed combination of permethrin 54.5% and fipronil 6.1% (Effitix) in dogs experimentally infested with Ixodes ricinus.    ABSTRACT:  Ticks are the most important vectors of disease-causing pathogens in domestic animals and are considered to be second worldwide to mosquitoes as vectors of human diseases. In Europe, Ixodes ricinus, the sheep tick, plays an important role as companion animal parasite but is also the primary vector of medically important diseases such as tick-borne encephalitis and Lyme borreliosis. The present study was designed to evaluate the efficacy under laboratory conditions of a new fixed spot-on combination of fipronil and permethrin (Effitix, Virbac) in treating and preventing tick infestations of Ixodes ricinus in dogs.Twelve dogs were included in this randomized, controlled, blinded laboratory study. They were randomly allocated to two groups of six dogs each according to their pre-treatment live attached Ixodes ricinus tick count. On day 0, the dogs from Group 2 were treated with the recommended dose of Effitix, the dogs from Group 1 remained untreated. On days -2, 7, 14, 21, 28 and 35, all dogs were infested with 50 (±4) viable unfed adult Ixodes ricinus (20 ± 2 males, 30 ± 2 females). Ticks were removed and counted at 48 ± 2 hours post product administration or tick infestations.Through the study, the tick attachment rates for the untreated group were greater than 25% demonstrating that adequate levels of infestation were reached on the control dogs. Based on both arithmetic and geometric means (AM and GM), Effitix was deemed to be effective against Ixodes ricinus on days 2, 9, 16, 23, 30 and 37 with a percentage of efficacy of 98%, 100%, 100%, 100%, 93% and 95% respectively (AM). No clinical abnormalities were detected during the study.The study has shown under laboratory conditions, that Effitix is a safe and an effective combination to treat and protect dogs from Ixodes ricinus up to 37 days after administration. The high immediate efficacy of 98% evaluated at 48 hours post-treatment was particularly interesting, meaning that Effitix has a curative effect against ticks (Ixodes ricinus) and provides a rapid control of existing Ixodes ricinus infestation on a dog at the time of treatment.  KEYWORDS:  MeSH Chemical: Drug Combinations| Insecticides| Pyrazoles| Permethrin| fipronil MeSH: | Animals| Dog Diseases/majr/drug therapy/prevention &amp; control| Dogs| Drug Combinations| Insecticides/majr/therapeutic use| Ixodes/majr/drug effects| Permethrin/majr/adverse effects/therapeutic use| Pyrazoles/majr/adverse effects/therapeutic use| Tick Infestations/majr/drug therapy/prevention &amp; control/veterinary| Treatment Outcome</t>
  </si>
  <si>
    <t>Multiparametric characterisation of neuronal network activity for in vitro agrochemical neurotoxicity assessment.    ABSTRACT:  The last few decades have seen the marketing of hundreds of new pesticide products with a forecasted expansion of the global agrochemical industry. As several pesticides directly target nervous tissue as their mechanism of toxicity, alternative methods to routine in vivo animal testing, such as the Multi Electrode Array (MEAs)-based approach, have been proposed as an in vitro tool to perform sensitive, quick and low cost neuro-toxicological screening. Here, we examined the effects of a training set of eleven active substances known to have neuronal or non-neuronal targets, contained in the most commonly used agrochemicals, on the spontaneous electrical activity of cortical neuronal networks grown on MEAs. A multiparametric characterisation of neuronal network firing and bursting was performed with the aim of investigating how this can contribute to the efficient evaluation of in vitro chemical-induced neurotoxicity. The analysis of MFR, MBR, MBD, MISI_B and % Spikes_B parameters identified four different groups of chemicals: one wherein only inhibition is observed (chlorpyrifos, deltamethrin, orysastrobin, dimoxystrobin); a second one in which all parameters, except the MISI_B, are inhibited (carbaryl, quinmerac); a third in which increases at low chemical concentration are followed by decreases at high concentration, with exception of MISI_B that only decreased (fipronil); a fourth in which no effects are observed (paraquat, glyphosate, imidacloprid, mepiquat). The overall results demonstrated that the multiparametric description of the neuronal networks activity makes MEA-based screening platform an accurate and consistent tool for the evaluation of the toxic potential of chemicals. In particular, among the bursting parameters the MISI_B was the best that correlates with potency and may help to better define chemical toxicity when MFR is affected only at relatively high concentration. Copyright © 2015 Elsevier Inc. All rights reserved.  KEYWORDS:  MeSH Chemical: Agrochemicals MeSH: | Action Potentials| Agrochemicals/majr/classification/toxicity| Animals| Cells, Cultured| Cerebral Cortex/majr/drug effects/embryology/physiopathology| Dose-Response Relationship, Drug| Gestational Age| High-Throughput Screening Assays/majr| Humans| Nerve Net/majr/drug effects/physiopathology| Neurotoxicity Syndromes/majr/etiology/physiopathology| Rats, Wistar| Risk Assessment| Signal Processing, Computer-Assisted| Time Factors| Toxicity Tests/majr/methods Other:In vitro neurotoxicity|Micro electrode array|Neuronal bursting behaviour|Pesticides|Spontaneous electrical activity</t>
  </si>
  <si>
    <t>Efficacy of Broadline® spot-on against Aelurostrongylus abstrusus and Troglostrongylus brevior lungworms in naturally infected cats from Italy.    ABSTRACT:  The increasing reports of Aelurostrongylus abstrusus infection and the new information on Troglostrongylus brevior have spurred the interest of the scientific community towards the research of pharmaceutical compounds effective against both pathogens. A novel topical combination of fipronil, (S)-methoprene, eprinomectin and praziquantel (Broadline®, Merial) has been released for the treatment of a variety of feline parasitic infections. The present study reports the efficacy of this spot-on in treating cats naturally infected by feline lungworms. Client owned cats (n=191) were enrolled from three geographical areas of Italy and faecal samples were examined by floatation and Baermann techniques. Twenty-three individuals were positive for L1 of A. abstrusus (n=18) or T. brevior (n=3) or for both species (n=2) and they were topically treated with Broadline®. Seventeen of them were also concomitantly infected by other parasites. Four weeks after treatment, faecal samples were collected and examined to assess the efficacy of a single administration of the product. Based on lungworm larvae counts, the efficacy of the treatment was 90.5% or 100% for A. abstrusus or T. brevior, respectively. Cats released significantly lower amounts of lungworm larvae after treatment compared to pre-treatment (p&lt;0.0001). All but three cats were negative for other nematodes after treatment and all cats recovered from respiratory signs. Results of this study indicate that a single administration of the topical combination fipronil, (S)-methoprene, eprinomectin and praziquantel is effective and safe for the treatment of A. abstrusus and/or T. brevior infections in cats living under field conditions.Copyright © 2015 The Authors. Published by Elsevier B.V. All rights reserved.  KEYWORDS:  MeSH Chemical: Anthelmintics| Antiparasitic Agents| Drug Combinations| Pyrazoles| Praziquantel| Ivermectin| eprinomectin| Methoprene| fipronil MeSH: | Administration, Topical| Animals| Anthelmintics/administration &amp; dosage/pharmacology| Antiparasitic Agents/administration &amp; dosage/pharmacology| Cat Diseases/majr/drug therapy/epidemiology/parasitology| Cats| Drug Combinations| Female| Italy/epidemiology| Ivermectin/majr/administration &amp; dosage/analogs &amp; derivatives/therapeutic use| Male| Metastrongyloidea| Methoprene/majr/administration &amp; dosage/therapeutic use| Praziquantel/majr/administration &amp; dosage/therapeutic use| Pyrazoles/majr/administration &amp; dosage/therapeutic use| Strongylida Infections/majr/drug therapy/epidemiology/veterinary| Treatment Outcome Other:Aelurostrongylus abstrusus|Broadline(®)|Cats|Lungworms|Treatment|Troglostrongylus brevior</t>
  </si>
  <si>
    <t>Knockdown of the ionotropic γ-aminobutyric acid receptor (GABAR) RDL gene decreases fipronil susceptibility of the small brown planthopper, Laodelphax striatellus (Hemiptera: Delphacidae).    ABSTRACT:  Insect γ-aminobutyric acid receptors (GABARs) are important molecular targets of cyclodiene and phenylpyrazole insecticides. Previously GABARs encoding rdl (resistant to dieldrin) genes responsible for dieldrin and fipronil resistance were identified in various economically important insect pests. In this study, we cloned the open reading frame cDNA sequence of rdl gene from fipronil-susceptible and fipronil-resistant strains of Laodelphax striatellus (Lsrdl). Sequence analysis confirmed the presence of a previously identified resistance-conferring mutation. Different alternative splicing variants of Lsrdl were noted. Injection of dsLsrdl reduced the mRNA abundance of Lsrdl by 27-82%, and greatly decreased fipronil-induced mortality of individuals from both susceptible and resistant strains. These data indicate that Lsrdl encodes a functional RDL subunit that mediates susceptibility to fipronil. Additionally, temporal and spatial expression analysis showed that Lsrdl was expressed at higher levels in eggs, fifth-instar nymphs, and female adults than in third-instar and fourth-instar nymphs. Lsrdl was predominantly expressed in the heads of 2-day-old female adults. All these results provide useful background knowledge for better understanding of fipronil resistance related ionotropic GABA receptor rdl gene expressed variants and potential functional differences in insects.© 2015 Wiley Periodicals, Inc.  KEYWORDS:  MeSH Chemical: Insecticides| Pyrazoles| Receptors, GABA| fipronil MeSH: | Alternative Splicing| Animals| Female| Gene Expression Profiling| Gene Knockdown Techniques| Hemiptera/majr/genetics/growth &amp; development/metabolism| Insecticide Resistance| Insecticides/majr| Male| Mutation| Pyrazoles/majr| Receptors, GABA/majr/genetics/metabolism Other:Laodelphax striatellus|RNAi|alternative splice|fipronil|insecticide resistance</t>
  </si>
  <si>
    <t>Meloxicam inhibits fipronil-induced apoptosis via modulation of the oxidative stress and inflammatory response in SH-SY5Y cells.    ABSTRACT:  Oxidative stress and inflammatory responses have been identified as key elements of neuronal cell apoptosis. In this study, we investigated the mechanisms by which inflammatory responses contribute to apoptosis in human neuroblastoma SH-SY5Y cells treated with fipronil (FPN). Based on the cytotoxic mechanism of FPN, we examined the neuroprotective effects of meloxicam against FPN-induced neuronal cell death. Treatment of SH-SY5Y cells with FPN induced apoptosis via activation of caspase-9 and -3, leading to nuclear condensation. In addition, FPN induced oxidative stress and increased expression of cyclooxygenase-2 (COX-2) and tumor necrosis factor-α (TNF-α) via inflammatory stimulation. Pretreatment of cells with meloxicam enhanced the viability of FPN-exposed cells through attenuation of oxidative stress and inflammatory response. FPN activated mitogen activated protein kinase (MAPK) and inhibitors of MAPK abolished FPN-induced COX-2 expression. Meloxicam also attenuated FPN-induced cell death by reducing MAPK-mediated pro-inflammatory factors. Furthermore, we observed both nuclear accumulation of p53 and enhanced levels of cytosolic p53 in a concentration-dependent manner after FPN treatment. Pretreatment of cells with meloxicam blocked the translocation of p53 from the cytosol to the nucleus. Together, these data suggest that meloxicam may exert anti-apoptotic effects against FPN-induced cytotoxicity by both attenuating oxidative stress and inhibiting the inflammatory cascade via inactivation of MAPK and p53 signaling.Copyright © 2015 John Wiley &amp; Sons, Ltd.  KEYWORDS:  MeSH Chemical: Anti-Inflammatory Agents, Non-Steroidal| Antioxidants| Pyrazoles| Reactive Oxygen Species| TP53 protein, human| Thiazines| Thiazoles| Tumor Suppressor Protein p53| fipronil| Meloxicam MeSH: | Anti-Inflammatory Agents, Non-Steroidal/majr/pharmacology| Antioxidants/pharmacology| Apoptosis/majr/drug effects| Cell Line, Tumor| Humans| Inflammation/etiology| MAP Kinase Signaling System| Meloxicam| Mitochondria/drug effects/physiology| Oxidative Stress/majr/drug effects| Pyrazoles/majr/antagonists &amp; inhibitors/pharmacology| Reactive Oxygen Species/metabolism| Thiazines/majr/pharmacology| Thiazoles/majr/pharmacology| Tumor Suppressor Protein p53/physiology Other:anti-inflammatory|antioxidant|cyclooxygenase-2|fipronil|meloxicam|p53</t>
  </si>
  <si>
    <t>Fipronil induced oxidative stress in kidney and brain of mice: protective effect of vitamin E and vitamin C.    ABSTRACT:  Fipronil is a relatively new insecticide of the phenpyrazole group. Fipronil-induced effects on antioxidant system and oxidative stress biomarkers are yet to be studied in vivo. The present study was undertaken to evaluate fipronil-induced alterations in the blood biochemical markers and tissue antioxidant enzymes after oral exposure in mice and to explore possible protective effect of pre-treatment of antioxidant vitamins against these alterations. Mice were divided into eight groups containing control, test and amelioration groups. Mice in the test groups were exposed to different doses of fipronil, i.e., 2.5, 5 and 10 mg/kg bw, respectively for 28 days. Mice in the amelioration groups were treated with vitamin E or vitamin C (each at 100 mg/kg) 2 h prior to high dose (10 mg/kg) of fipronil. Fipronil exposure at three doses caused significant increase in the blood biochemical markers, lipid peroxidation and prominent histopathological alterations; while level of antioxidant enzymes was severely decreased both in kidney and brain tissues. Prior administration of vitamin E or vitamin C in the fipronil exposed mice led to decrease in lipid peroxidation and significant increase in activities of antioxidants, viz., glutathione, total thiol, superoxide dismutase and catalase. Vitamin E and vitamin C administration in fipronil exposed mice also improved histological architecture of the kidney and brain when compared with fipronil alone treated groups. Thus, results of the present study demonstrated that in vivo fipronil exposure induces oxidative stress and pre-treatment with vitamin E or C can protect mice against this oxidative insult.Copyright © 2014 Elsevier Inc. All rights reserved.  KEYWORDS:  MeSH Chemical: Antioxidants| Insecticides| Protective Agents| Pyrazoles| Vitamin E| Ascorbic Acid| fipronil MeSH: | Animals| Antioxidants/pharmacology| Ascorbic Acid/majr/pharmacology| Brain/majr/drug effects/metabolism| Insecticides/majr/toxicity| Kidney/majr/drug effects/metabolism| Lipid Peroxidation/drug effects| Male| Mice| Oxidative Stress/majr/drug effects| Protective Agents/majr/pharmacology| Pyrazoles/majr/toxicity| Vitamin E/majr/pharmacology Other:Fipronil|Histopathology|Kidney and brain|Oxidative stress|Vitamin C|Vitamin E</t>
  </si>
  <si>
    <t>Occurrence and ecological risks from fipronil in aquatic environments located within residential landscapes.    ABSTRACT:  This study investigated the occurrence of fipronil and its metabolites in aquatic environments in residentially-developed landscapes, including five canals and three retention ponds. Fipronil was detected at four of the sites, with concentrations of 0.5-207.3 ng L(-1). Fipronil sulfone and fipronil sulfide were detected at three sampling sites, with concentrations ranging from 0.46 to 57.75 and 0.40-26.92 ng L(-1), respectively. Multiple risk assessment methods were performed to characterize potential ecological risks, including deterministic screening and probabilistic risk assessment techniques. The deterministic method indicated no risk to certain biotic groups (i.e. aquatic plants, fish, molluscs, and algae-moss-fungi), but did indicate risks to larval insects and crustaceans. Results from the probabilistic risk assessment indicated significant ecological risks (acute and chronic) ranging from 0.75 to 58.9% and 3.9-35.0% when organisms were exposed to the maximum and median concentrations detected, respectively. The potentially affected fraction of species (PAF) likely to be acutely impacted ranged from 4.6 to 8.1% (fipronil), 0.2-1.6% (fipronil sulfone), and 1.9-3.1% (fipronil sulfide) in the ponds with frequent detectable concentrations. The PAF likely to be impacted at chronic toxicity levels ranged from 16.5 to 23.8% for fipronil. Joint probability curve analysis indicated that concentrations exceeded the LC50 of the most sensitive 5% of species 8.5-18.8% of the time at two of the sites with the most frequent detections. Using the more conservative NOEC/LOEC values, there was a 75-78% probability that concentrations were high enough to negatively affect the most sensitive 5% of species at the same two sites, indicating significant risks for chronic toxicity. JPCs indicated a ≤2.6% probability of fipronil sulfone exceeding the LC50 concentrations for the most sensitive 5% of species at the same two sites; and a 4.3-6.8% probability of fipronil sulfide exceeding the LC50 concentrations at the same sites. Results indicate that fipronil and its sulfone and sulfide degradation products may present significant risks to aquatic organisms in some residentially-developed areas.Copyright © 2015 Elsevier B.V. All rights reserved.  KEYWORDS:  MeSH Chemical: Insecticides| Pyrazoles| Water Pollutants, Chemical| fipronil MeSH: | Animals| Aquatic Organisms| Crustacea| Ecology| Environmental Monitoring/majr| Fishes| Insecticides/majr/analysis| Pyrazoles/majr/analysis| Risk Assessment| Water Pollutants, Chemical/majr/analysis| Water Pollution, Chemical/statistics &amp; numerical data Other:Fipronil|Fipronil degradation products|Fipronil sulfide|Fipronil sulfone|Pesticide|Residential environment|Risk assessment|Surface water</t>
  </si>
  <si>
    <t>Abamectin induces rapid and reversible hypoactivity within early zebrafish embryos.    ABSTRACT:  During early zebrafish embryogenesis, spontaneous tail contractions represent the first sign of locomotion and result from innervation of primary motoneuron axons to target axial muscles. Based on a high-content screen, we previously demonstrated that exposure of zebrafish embryos to abamectin--an avermectin insecticide--from 5-25 hours post-fertilization (hpf) abolished spontaneous activity in the absence of effects on survival and gross morphology. Therefore, the objective of this study was to begin investigating the mechanism of abamectin-induced hypoactivity in zebrafish. Similar to 384-well plates, static exposure of embryos to abamectin from 5-25 hpf in glass beakers resulted in elimination of activity at low micromolar concentrations. However, abamectin did not affect neurite outgrowth from spinal motoneurons and, compared with exposure from 5-25 hpf, embryos were equally susceptible to abamectin-induced hypoactivity when exposures were initiated at 10 and 23 hpf. Moreover, immersion of abamectin-exposed embryos in clean water resulted in complete recovery of spontaneous activity relative to vehicle controls, suggesting that abamectin reversibly activated ligand-gated chloride channels and inhibited neurotransmission. To test this hypothesis, we pretreated embryos to vehicle or non-toxic concentrations of fipronil or endosulfan--two insecticides that antagonize the γ-aminobutyric acid (GABA) receptor--from 5-23 hpf, and then exposed embryos to vehicle or abamectin from 23-25 hpf. Interestingly, activity levels within abamectin-exposed embryos pretreated with either antagonist were similar to embryos exposed to vehicle alone. Using quantitative PCR and phylogenetic analyses, we then confirmed the presence of GABA receptor α1 and β2 subunits at 5, 10, and 23 hpf, and demonstrated that zebrafish GABA receptor subunits are homologous to mammalian GABA receptor subunits. Overall, our data collectively suggest that abamectin induces rapid and reversible hypoactivity within early zebrafish embryos, an effect that may be mediated through the GABA receptor.Copyright © 2015. Published by Elsevier Inc.  KEYWORDS:  MeSH Chemical: Fish Proteins| Receptors, GABA| abamectin| Ivermectin MeSH: | Animals| Female| Fish Proteins/metabolism| Ivermectin/majr/analogs &amp; derivatives/toxicity| Male| Motor Activity/majr/drug effects| Motor Neurons/drug effects| Neurites/drug effects| Receptors, GABA/metabolism| Spinal Cord/drug effects| Zebrafish/majr/embryology Other:Abamectin|Developmental neurotoxicity|GABA receptor|Zebrafish</t>
  </si>
  <si>
    <t>Enhanced Ga2O3-photocatalyzed and photochemical degradation of the Fipronil insecticide by UVC irradiation in mixed aqueous/organic media under an inert atmosphere.    ABSTRACT:  Agrochemicals such as the insecticide Fipronil that bear fluoro groups are generally fat-soluble and nearly insoluble in water, so that their photodegradation in a heterogeneous aqueous gallium oxide dispersion presents some challenges. This article examined the photodegradation of this insecticide by solubilizing it through the addition of organic solvents (EtOH, MeOH, THF, 1,4-dioxane and ethylene glycol) to an aqueous medium and then subjecting the insecticide to 254 nm UVC radiation under photocatalytically inert (Ga2O3/N2) and air-equilibrated (Ga2O3/O2) conditions, as well as photochemically in the absence of Ga2O3 but also under inert and air-equilibrated conditions. Defluorination, dechlorination, desulfonation and denitridation of Fipronil were examined in mixed aqueous/organic media (10, 25 and 50 vol% in organic solvent). After 3 h of UVC irradiation (50 vol% mixed media) defluorination with Ga2O3/N2 was ∼65% greater than in aqueous media, and ca. 80% greater than the direct photolysis of Fipronil under inert (N2) conditions; under air-equilibrated conditions both Ga2O3-photocatalyzed and photochemical defluorination were significantly lower than in aqueous media. Dechlorination of Fipronil was ∼160% (Ga2O3/N2) and 140% (photochemically, N2) greater than in aqueous media; under air-equilibrated conditions, both photocatalyzed and photochemical formation of Cl(-) ions in mixed media fell rather short relative to aqueous media. The photocatalyzed (Ga2O3/N2) and photochemical (N2) conversion of the sulfur group in Fipronil to SO4(2(-)) ions was ca. 20% and 30% greater, respectively, in mixed media, while under air-equilibrated conditions photocatalyzed desulfonation was nearly twofold less than in the aqueous phase; direct photolysis showed little variations in mixed media. Denitridation of the nitrogens in Fipronil occurred mostly through the formation of ammonia (as NH4(+)) under all conditions with negligible quantities of NO3(-); again mixed media offered enhanced denitridation, particularly under inert N2 conditions. Time-of-flight electrospray (TOF-MS/ESI(-)) mass spectrometry revealed a fairly large number of intermediates formed in the degradation of Fipronil, particularly under photocatalytic conditions. Only a couple of intermediates were identified in the photodegradation and the presence of Ga2O3 enhanced the complexity of an already cumbersome problem owing to the involvement of organic solvents.  KEYWORDS:  MeSH Chemical: Insecticides| Ions| Pyrazoles| Solvents| Sulfates| Water| Ethanol| gallium oxide| Chlorine| Ammonia| Gallium| Nitrogen| fipronil| Oxygen MeSH: | Ammonia/chemistry| Catalysis| Chlorine/chemistry| Ethanol/chemistry| Gallium/majr/chemistry| Insecticides/majr/chemistry/radiation effects| Ions/chemistry| Mass Spectrometry| Molecular Structure| Nitrogen/chemistry| Oxygen/chemistry| Photochemical Processes/majr| Pyrazoles/majr/chemistry/radiation effects| Solvents/chemistry| Sulfates/chemistry| Ultraviolet Rays/majr| Water/chemistry</t>
  </si>
  <si>
    <t>Fipronil induced oxidative stress involves alterations in SOD1 and catalase gene expression in male mice liver: Protection by vitamins E and C.    ABSTRACT:  In the present investigation, hepatic oxidative stress induced by fipronil was evaluated in male mice. We also investigated whether pretreatment with antioxidant vitamins E and C could protect mice against these effects. Several studies conducted in cell lines have shown fipronil as a potent oxidant; however, no information is available regarding its oxidative stress inducing potential in an animal model. Out of 8 mice groups, fipronil was administered to three groups at low, medium, and high dose based on its oral LD50 (2.5, 5, and 10 mg/kg). All three doses of fipronil caused a significant increase in the serum aspartate aminotransferase (AST) and alanine aminotransferase (ALT) level with concomitant increase in the absolute and relative weight of liver. High dose of fipronil caused significant down-regulation in the hepatic mRNA expression of superoxide dismutase 1 (SOD1) and catalase (0.412 ± 0.01 and 0.376 ± 0.05-fold, respectively) as well as an increase in the lipid peroxidation (LPO). Also, decrease in the activity of antioxidant enzymes; SOD, catalase, and glutathione-S-transferase (GST) and the content of nonantioxidant enzymes; glutathione and total thiol were recorded. Histopathological examination of liver revealed dose dependant changes such as severe fatty degeneration and vacuolation leading to hepatocellular necrosis. Prior administration of vitamin E or vitamin C against fipronil high dose caused decrease in lipid peroxidation and increased activity of antioxidant enzymes. Severe reduction observed in functional activities of antioxidant enzymes was aptly substantiated by down-regulation seen in their relative mRNA expression. Thus results of the present study imply that liver is an important target organ for fipronil and similar to in vitro reports, it induces oxidative stress in the mice liver, which in turn could be responsible for its hepatotoxic nature. © 2015 Wiley Periodicals, Inc. Environ Toxicol 31: 1147-1158, 2016. © 2015 Wiley Periodicals, Inc.  KEYWORDS:  MeSH Chemical: Antioxidants| Protective Agents| Pyrazoles| RNA, Messenger| Vitamin E| Catalase| Superoxide Dismutase-1| Glutathione Transferase| Aspartate Aminotransferases| Alanine Transaminase| Glutathione| Ascorbic Acid| fipronil MeSH: | Alanine Transaminase/blood| Animals| Antioxidants/metabolism| Ascorbic Acid/majr/pharmacology| Aspartate Aminotransferases/blood| Body Weight/drug effects| Catalase/genetics/metabolism| Down-Regulation/drug effects| Gene Expression/majr/drug effects| Glutathione/metabolism| Glutathione Transferase/metabolism| Lipid Peroxidation/drug effects| Liver/majr/drug effects/metabolism/pathology| Male| Mice| Oxidative Stress/majr/drug effects| Protective Agents/pharmacology| Pyrazoles/majr/toxicity| RNA, Messenger/metabolism| Superoxide Dismutase-1/genetics/metabolism| Vitamin E/majr/pharmacology Other:fipronil|histopathology|liver|mRNA expression|oxidative stress|vitamin C|vitamin E</t>
  </si>
  <si>
    <t>Molecular features and toxicological properties of four common pesticides, acetamiprid, deltamethrin, chlorpyriphos and fipronil.    ABSTRACT:  Structural features and selected physicochemical properties of four common pesticides: acetamiprid (neonicotinoid), chlorpyriphos (organophosphate insecticide), deltamethrin (pyrethroid) and fipronil (phenylpyrazole) have been investigated by Density Functional Theory quantum chemical calculations. The high flexible character of these insecticides is revealed by the numerous conformers obtained, located within a 20kJmol(-1) range in the gas phase. In line with this trend, a redistribution of the energetic minima is observed in water medium. Molecular electrostatic potential calculations provide a ranking of the potential interaction sites of the four insecticides. The theoretical studies reported in the present work are completed by comparative toxicological assays against three aphid strains. Thus, the same toxicity order for the two susceptible strains Myzus persicae 4106A and Acyrthosiphon pisum LSR1: acetamiprid&gt;fipronil&gt;deltamethrin&gt;chlorpyriphos is revealed. In the resistant strain M. persicae 1300145, the toxicity order is modified: acetamiprid&gt;fipronil&gt;chlorpyriphos&gt;deltamethrin. Interestingly, the strain 1300145 which is known to be resistant to neonicotinoids, is also less sensitive to deltamethrin, chlorpyriphos and fipronil. Copyright © 2015 Elsevier Ltd. All rights reserved.  KEYWORDS:  MeSH Chemical: Neonicotinoids| Nitriles| Pesticides| Pyrazoles| Pyrethrins| Pyridines| decamethrin| acetamiprid| Chlorpyrifos| fipronil MeSH: | Animals| Chlorpyrifos/majr/chemistry/toxicity| Dose-Response Relationship, Drug| Female| Insecta/drug effects| Neonicotinoids| Nitriles/majr/chemistry/toxicity| Pesticides/majr/chemistry/toxicity| Pyrazoles/majr/chemistry/toxicity| Pyrethrins/majr/chemistry/toxicity| Pyridines/majr/chemistry/toxicity Other:Acyrthosiphon pisum|Aphid|Conformational features|Insecticides|Molecular electrostatic potential|Myzus persicae|Quantum chemistry calculations|Toxicological effect</t>
  </si>
  <si>
    <t>Fipronil promotes motor and behavioral changes in honey bees (Apis mellifera) and affects the development of colonies exposed to sublethal doses.    ABSTRACT:  Bees play a crucial role in pollination and generate honey and other hive products; therefore, their worldwide decline is cause for concern. New broad-spectrum systemic insecticides such as fipronil can harm bees and their use has been discussed as a potential threat to bees' survival. In the present study, the authors evaluate the in vitro toxicity of fipronil and note behavioral and motor activity changes in Africanized adult Apis mellifera that ingest or come into contact with lethal or sublethal doses of fipronil. The effects of sublethal doses on brood viability, population growth, behavior, and the expression of the defensin 1 gene in adult bees were studied in colonies fed with contaminated sugar syrup (8 µg fipronil L(-1) ). Fipronil is highly toxic to bees triggering agitation, seizures, tremors, and paralysis. Bees that are exposed to a lethal or sublethal doses showed reduced motor activity. The number of eggs that hatched, the area occupied by worker eggs, and the number of larvae and pupae that developed were reduced, adult bees showed lethargy, and colonies were abandoned when they were exposed to sublethal doses of fipronil. No change was seen in the bees' expression of defensin 1. The authors conclude that fipronil is highly toxic to honey bees and even sublethal doses may negatively affect the development and maintenance of colonies.© 2015 SETAC.  KEYWORDS:  MeSH Chemical: Defensins| Insecticides| Pyrazoles| fipronil MeSH: | Animals| Bees/majr/drug effects/growth &amp; development/metabolism| Behavior, Animal/majr/drug effects| Defensins/genetics/metabolism| Insecticides/majr/toxicity| Larva/drug effects/growth &amp; development/metabolism| Motor Activity/majr/drug effects| Ovum/growth &amp; development/metabolism| Pupa/drug effects/growth &amp; development/metabolism| Pyrazoles/majr/toxicity Other:Bees|Colonies|Fipronil|Phenylpyrazoles|Pollinators</t>
  </si>
  <si>
    <t>One-month comparative efficacy of three topical ectoparasiticides against adult brown dog ticks (Rhipicephalus sanguineus sensu lato) on mixed-bred dogs in controlled environment.    ABSTRACT:  This study was designed to compare the therapeutic and residual efficacy for 1 month of three topical ectoparasiticides on mixed-bred dogs against the brown dog tick, Rhipicephalus sanguineus. Adult dogs (n = 32, 10.8-18.4 kg BW) were allocated to 4 groups (n = 8) and infested with 50 adult ticks on days -8, -2, 7, 14, 21, and 28. Within each group, dogs were treated topically on day 0 with a control solution (CS), Vectra 3D (DPP), Frontline Plus (FM), or K9 Advantix (IP). Ticks were enumerated on dogs 24 h after treatment and each subsequent tick infestation by in situ thumb count assessment without removal and at 48 h by combing and removal. Acaricidal efficacy was calculated using arithmetic means for all 24 and 48 h tick count assessments. From 42 to 56% of the total, infested ticks were found on dogs 48 h post-challenge in the CS group. Therapeutic efficacy for all treatments ranged from 45.5 to 64.6% after 48 h of infestation. Residual efficacy after FM treatment was consistently lower compared to DPP or IP treatments at the 24 h assessments on days 8, 22, 23, and 29. Residual efficacy measured at this last time point was 94.8% for DPP, 83.1% for IP, and 46.9% for FM. This study demonstrates that permethrin-based formulations (DPP and IP) provided a quicker onset of residual protection against brown dog ticks compared to FM. Although DPP and IP are both permethrin-based formulations, DPP exhibited consistently higher residual acaricidal efficacies and was the only treatment that provided &gt;90% protection for 1 month at 24 h post challenge.  KEYWORDS:  MeSH Chemical: Acaricides| Pyrazoles| Permethrin| Methoprene| fipronil MeSH: | Acaricides/majr/administration &amp; dosage| Animals| Dog Diseases/majr/drug therapy/parasitology/prevention &amp; control| Dogs| Female| Hair/parasitology| Male| Methoprene/administration &amp; dosage| Permethrin/administration &amp; dosage| Pyrazoles/administration &amp; dosage| Random Allocation| Rhipicephalus sanguineus/majr/physiology| Tick Infestations/majr/drug therapy/parasitology/prevention &amp; control/veterinary</t>
  </si>
  <si>
    <t>Repellent and insecticidal efficacy of a new combination of fipronil and permethrin against three mosquito species (Aedes albopictus, Aedes aegypti and Culex pipiens) on dogs.    ABSTRACT:  Three laboratory studies were conducted to assess the repellent and insecticidal efficacy of a combination of fipronil and permethrin (Frontline Tri- Act/Frontect) against three mosquito species (Aedes albopictus, Aedes aegypti and Culex pipiens) on dogs.In each study, 16 healthy adult dogs were allocated to two groups. Eight dogs were treated with the new topical spot-on combination of fipronil and permethrin on Day 0 and the other eight dogs served as untreated controls. Each dog was exposed to mosquitoes on Days 1, 7, 14, 21 and 28 (and also on Day 35 in the A. aegypti study). After a 1-h exposure period, all mosquitoes were counted and categorized as live or dead and fed or non-fed. Live mosquitoes were kept in an insectary and observed for mortality counts 4, 24 and 48 h post-exposure (PE) for Aedes spp. and 24 and 48 h PE for C. pipiens. Repellency and insecticidal efficacies were defined as the percent reduction in the number of fed and live mosquitoes, respectively, in the treated group as compared to the untreated control group.Repellency against A. albopictus was ≥93.4% through Day 21 and 86.9% on Day 28. It was ≥91.0% through Day 35 against A. aegypti and ≥90.4% through Day 28 against C. pipiens. Insecticidal efficacy against A. albopictus was ≥97.1% at 24 h PE from Day 7 to Day 28. It was ≥98.0% for the first 3 weeks and still 75.7% on Day 35 against A. aegypti at 24 h PE. For C. pipiens, insecticidal efficacy ranged from 93.8% (Day 7) to 30.9% (Day 28) at 48 h PE.A single topical administration of the combination of fipronil and permethrin provides repellency against mosquitoes on dogs for at least 4 weeks. The product may therefore significantly reduce the potential for the transmission of vector-borne pathogens through the inhibition of mosquito feeding, as well as the discomfort associated with mosquito bites. Moreover, mosquito mortality was induced by contact with the treated dogs, which could aid in the control of mosquitoes, and hence the control of mosquito-borne diseases, in the local vicinity of treated dogs.  KEYWORDS:  MeSH Chemical: Insect Repellents| Insecticides| Pyrazoles| Permethrin| fipronil MeSH: | Aedes/majr/drug effects/physiology| Animals| Culex/majr/drug effects/physiology| Dog Diseases/majr/parasitology/prevention &amp; control| Dogs| Drug Evaluation| Drug Therapy, Combination/veterinary| Female| Insect Bites and Stings/majr/parasitology/prevention &amp; control/veterinary| Insect Repellents/majr/administration &amp; dosage| Insecticides/majr/administration &amp; dosage| Male| Mosquito Control/methods| Permethrin/majr/administration &amp; dosage| Pyrazoles/majr/administration &amp; dosage</t>
  </si>
  <si>
    <t>Efficacy of a new combination of fipronil and permethrin against Ctenocephalides felis flea infestation in dogs.    ABSTRACT:  Five studies were conducted to evaluate the effect of a new combination of fipronil and permethrin on cat fleas, Ctenocephalides felis, when applied to dogs, including dogs that underwent water exposure or shampooing.In each study, 16 dogs were allocated to two groups. Each dog was infested with 100 unfed adult fleas on Days -1, 7, 14, 21 and 28. Eight dogs were treated with a new topical spot-on formulation containing 6.76% w/v fipronil + 50.48% w/v permethrinon Day 0; and eight dogs served as untreated controls. Twenty-four or 48 h after treatment or subsequent infestation, each dog was combed to remove and count live fleas. In addition, the dogs were subjected to different levels of water or shampoo exposure. In study 1, dogs were not subjected to any water exposure or shampooing; in study 2, dogs were water immersed twice during the month on Days 10 and 24; in study 3, dogs were water immersed three times on Days 10, 17 and 24; and in studies 4 and 5, dogs were shampooed once on Day 17.All groups of dogs administered a single topical treatment with a combination of fipronil and permethrin had significantly (p &lt; 0.005) lower flea counts than untreated controls 24 h and 48 h post-treatment or post-infestation, regardless of whether they underwent water exposure/shampooing or not. The reductions in C. felis counts were between 98.4% and 100% at all time points in all studies.The new topical spot-on formulation of fipronil and permethrin maintains a high level of protection of dogs against C. felis flea infestations even when the dogs are exposed to environmental factors that are believed to adversely affect efficacy, such as water exposure or shampooing.  KEYWORDS:  MeSH Chemical: Insecticides| Pyrazoles| Permethrin| fipronil MeSH: | Administration, Topical| Animals| Ctenocephalides/majr/drug effects/physiology| Dog Diseases/majr/drug therapy/parasitology| Dogs| Drug Evaluation| Drug Therapy, Combination/veterinary| Female| Flea Infestations/majr/drug therapy/parasitology/veterinary| Insecticides/majr/administration &amp; dosage| Male| Permethrin/majr/administration &amp; dosage| Pyrazoles/majr/administration &amp; dosage</t>
  </si>
  <si>
    <t>Repellent and insecticidal efficacy of a new combination of fipronil and permethrin against the main vector of canine leishmaniosis in Europe (Phlebotomus perniciosus).    ABSTRACT:  Two successive laboratory experiments (A and B) were conducted to confirm the efficacy of a new fipronil and permethrin combination to repel and kill Phlebotomus perniciosus sandflies when applied once topically on dogs.Due to the difficulty to get enough available dogs and sandflies in one run, the study was divided into 2 experiments which had exactly the same design, and were conducted at the same place, with the same technicians. They compared dogs treated with a combination containing 67.6 mg/mL fipronil + 504.8 mg/mL permethrin (Frontect/Frontline Tri-Act, Merial) to untreated dogs. The treatments were applied topically once on Day 0. Sandfly exposures were performed on Days 1, 7, 14, 21 and 29 with 80 P. perniciosus female sandflies. After 60 min, sandflies were assessed for vitality and engorgement status. Live sandflies were kept in an insectary and observed for mortality counts 4 h after the exposure period ended.Percent sandfly repellency on treated dogs was 98.2, 98.5, 99.2, 90.9 and 90.3%, for Days 1, 7, 14, 21, and 29, respectively. There was a significant difference (p ≤ 0.05) between the treated and control groups in both experiments and for the pooled data on every assessment day. Insecticidal efficacy on treated dogs at 4 h post-exposure on Days 1, 7, 14, 21 and 29 was 98.7, 99.7, 96.8, 93.4, and 78.9%, respectively. There was a significant difference between the treated and control groups for live sandflies observed at 4 h post-exposure for all assessment days (p &lt; 0.05).A single topical administration of a new combination of fipronil and permethrin demonstrated a significant repellent effect (i.e., &gt; 80%) against P. perniciosus which lasted for 29 days after application. The repellent effect was accompanied by a significant insecticidal effect on sandflies. The results suggest that in endemic areas, the application of the fipronil-permethrin combination could be integrated into canine leishmaniosis prevention program.  KEYWORDS:  MeSH Chemical: Insect Repellents| Insecticides| Pyrazoles| Permethrin| fipronil MeSH: | Administration, Topical| Animals| Dog Diseases/majr/parasitology/prevention &amp; control/transmission| Dogs| Female| Insect Control/majr/instrumentation/methods| Insect Repellents/majr/administration &amp; dosage| Insect Vectors/drug effects/parasitology/physiology| Insecticides/majr/administration &amp; dosage| Leishmania/physiology| Leishmaniasis/majr/parasitology/prevention &amp; control/transmission/veterinary| Male| Permethrin/majr/administration &amp; dosage| Phlebotomus/majr/drug effects/parasitology/physiology| Pyrazoles/majr/administration &amp; dosage</t>
  </si>
  <si>
    <t>Repellency, prevention of attachment and acaricidal efficacy of a new combination of fipronil and permethrin against the main vector of canine babesiosis in Europe, Dermacentor reticulatus ticks.    ABSTRACT:  Dermacentor reticulatus is a European hard tick of major veterinary importance because it is the vector of canine babesiosis due to Babesia canis. The efficacy against this particular tick species is therefore a key characteristic for an acaricidal solution for dogs. The repellency, prevention of attachment and acaricidal efficacy of Frontline Tri- Act/Frontect, a new combination of fipronil and permethrin against induced infestations of Dermacentor reticulatus ticks on dogs were evaluated after a single topical administration.A group of 20 dogs were allocated to two treatment groups. Ten dogs were treated with a topical spot-on formulation containing 6.76% w/v fipronil + 50.48% w/v permethrin once on Day 0 and 10 dogs served as untreated controls. Tick infestations were performed by placing 50 D. reticulatus ticks next to sedated dogs confined to infestation crates on days 1, 7, 14, 21 and 28. Thumb counts on dogs were conducted at 4, 12 and 24 h post-challenge. Tick removal counts were performed 48 h after each infestation. Repellency, prevention of attachment and acaricidal efficacy were calculated.The new combination provided repellency ranging between (56.5-73.5%) at 4 h post-infestation (pi), between (76.3-92.9%) at 12 h pi and between (83.9-96.5%) at 24 h pi, up to 4 weeks post-treatment. Prevention of attachment ranged between (64.1-79.7%) at 4 h pi, between (79.1-94.2%) at 12 h pi and between (84.2-99.6%) at 24 h pi, up to 4 weeks post-treatment. Acaricidal efficacy against D. reticulatus ticks was ≥99.5% for 4 weeks post-treatment.The new combination of fipronil and permethrin demonstrated excellent repellency, prevention of attachment and acaricidal efficacy against D. reticulatus for at least 4 weeks. The results suggest that in endemic areas of canine babesiosis, the application of the new combination can significantly reduce the potential for transmission of B. canis as well as other tick-borne diseases.  KEYWORDS:  MeSH Chemical: Acaricides| Pyrazoles| Permethrin| fipronil MeSH: | Acaricides/majr/administration &amp; dosage| Animals| Arachnid Vectors/majr/drug effects/parasitology/physiology| Babesia/physiology| Babesiosis/majr/parasitology/prevention &amp; control/transmission| Dermacentor/majr/drug effects/parasitology/physiology| Dog Diseases/majr/parasitology/prevention &amp; control/transmission| Dogs| Female| Male| Permethrin/majr/administration &amp; dosage| Pyrazoles/majr/administration &amp; dosage| Tick Control/majr/methods</t>
  </si>
  <si>
    <t>Acaricidal efficacy of a new combination of fipronil and permethrin against Ixodes ricinus and Rhipicephalus sanguineus ticks.    ABSTRACT:  Two blinded, controlled laboratory studies were conducted to assess the acaricidal efficacy of a new combination of fipronil and permethrin (Frontline Tri-Act/Frontect) against two tick species. Study A evaluated the efficacy of the product against both Ixodes ricinus and Rhipicephalus sanguineus and Study B evaluated the efficacy against R. sanguineus only.16 (Study A) and 12 (Study B) healthy adult dogs were allocated to two groups in each study. Dogs in Group 1 served as untreated controls. Dogs in Group 2 were treated with a new topical spot-on formulation containing 6.76% (w/v) fipronil + 50.48% (w/v) permethrin once on Day 0. Each dog of study A was infested with 50 unfed adult ticks of each species and each dog of study B was infested with 50 unfed adult Rhipicephalus sanguineus prior to treatment (Day -2 in Study A, Day -1 in Study B) and post treatment on Days 7, 14, 21 and 28. The ticks were removed and counted 48 h after treatment (Day 2) or subsequent infestations (Days 9, 16, 23 and 30). Acaricidal efficacy was defined as the percent reduction in the number of live ticks in the treated group compared to the untreated control group.The percent efficacy in the treated group for R. sanguineus was 100%, 100%, 100%, 100% and 96.7% in Study A, and 94.4%, 100%, 100%, 98.7% and 98.0% in Study B, for counts performed on Days 2, 9, 16, 23 and 30, respectively. For I. ricinus, in Study A, the percent efficacy of the treatment was 100%, 100%, 100%, 100% and 99.2% for counts performed on Days 2, 9, 16, 23 and 30, respectively. There was a significant difference of the geometric mean numbers of live ticks between the treated and control groups at each time point in each study (p = 0.005 for every day in Study A, and p &lt; 0.005 for every day in Study B).A single topical administration of a combination of fipronil and permethrin provides excellent acaricidal efficacy against both I. ricinus and R. sanguineus for at least 4 weeks.  KEYWORDS:  MeSH Chemical: Acaricides| Pyrazoles| Permethrin| fipronil MeSH: | Acaricides/majr/administration &amp; dosage| Administration, Topical| Animals| Dog Diseases/majr/drug therapy/parasitology| Dogs| Drug Evaluation/veterinary| Drug Therapy, Combination/veterinary| Female| Ixodes/majr/drug effects/physiology| Male| Permethrin/majr/administration &amp; dosage| Pyrazoles/majr/administration &amp; dosage| Rhipicephalus sanguineus/majr/drug effects/physiology| Tick Control/methods| Tick Infestations/majr/drug therapy/parasitology/veterinary</t>
  </si>
  <si>
    <t>Sustained speed of kill and repellency of a novel combination of fipronil and permethrin against Ctenocephalides canis flea infestations in dogs.    ABSTRACT:  Ctenocephalides canis is a major flea species in dogs in several European countries. The new topical combination of fipronil and permethrin (Frontline Tri-Act/Frontect, Merial) has been developed to control fleas, ticks, mosquitoes, sandflies and biting flies on dogs. Considering the repellent and insecticidal effects of permethrin and the insecticidal effect of fipronil, the efficacy of the combination against fleas including C. canis was expected to be rapid. The study was conducted to measure the 1-hour, 6-hour and 24-hour efficacy, as well as the repellent activity, of the fipronil-permethrin combination on treated versus untreated dogs.12 Beagle dogs were randomly allocated to one of two groups based on pre-treatment live flea counts. Dogs in Group 1 remained untreated whereas dogs in Group 2 were treated once on Day 0. Each dog was infested with 100 unfed adult C. canis on Days 2, 7, 14, 21 and 28. Dogs were combed for fleas 1 and 6 h after each infestation. Following this examination, fleas remaining on the liner at the bottom of each cage were collected and counted. All live fleas were placed back on each dog after the 1- and 6-hour counts. A comb-count was performed at 24 h post infestation on all dogs.Treated dogs had significantly (p ≤ 0.01) lower flea counts than untreated dogs at every time point. The percent efficacy was ≥99.1% at 6 and 24 h after each weekly challenge up to the month. The 1-hour counts also showed good efficacy of 96.5%, 98.9%, 92.0%, 70.2% and 55.7% on Days 2, 7, 14, 21 and 28, respectively. The repellent efficacy, assessed on the liners at 1 h, was 86.5%, 94.9%, 79.5%, 58.4% and 43.9% on Days 2, 7, 14, 21 and 28, respectively.This study demonstrates the beneficial effect of the fipronil and permethrin combination against C. canis, providing both a repellent and insecticidal effect as early as 1 h post infestation, and &gt;99.1% efficacy calculated at 6 h during a month.  KEYWORDS:  MeSH Chemical: Insecticides| Pyrazoles| Permethrin| fipronil MeSH: | Administration, Topical| Animals| Ctenocephalides/majr/drug effects/physiology| Dog Diseases/majr/drug therapy/parasitology| Dogs| Drug Evaluation/veterinary| Drug Therapy, Combination/veterinary| Female| Flea Infestations/majr/drug therapy/parasitology/veterinary| Insecticides/majr/administration &amp; dosage| Male| Permethrin/majr/administration &amp; dosage| Pyrazoles/majr/administration &amp; dosage</t>
  </si>
  <si>
    <t>Identification of polymorphisms in Cyrtorhinus lividipennis RDL subunit contributing to fipronil sensitivity.    ABSTRACT:  As one of the most important predatory enemies, the miridbug, Cyrtorhinus lividipennis, plays an important role in rice planthoppers control, such as Nilaparvata lugens (brown planthopper). In order to compare insecticide selectivity between C. lividipennis and N. lugens, the contact acute toxicities of six insecticides (diazoxon, paraoxon, carbaryl, fenobucarb, fipronil and ethofenprox) were monitored. The results showed that all tested insecticides were more toxic to C. lividipennis than to N. lugens and fipronil had the biggest difference. The RDL subunit (Cl-RDL) was cloned from C. lividipennis and a RDL isoform (Cl-RDL-In) was also found with 31 amino acids insertion in RDL intracellular region. In order to understand the role of the insertion on insecticide sensitivities, three subunits (Nl-RDL, Cl-RDL and Cl-RDL-In) were constructed to obtain the functional receptors in Xenopus oocytes and the fipronil sensitivities were detected by the voltage-clamp technique. Nl-RDL (IC50=32.36 ± 4.07 µM) was more insensitive to fipronil than Cl-RDL (IC50=6.47 ± 1.12 µM). The insertion in Cl-RDL significantly reduced fipronil sensitivity with IC50 value in Cl-RDL-In of 16.83 ± 2.30 µM. Interestingly, after the elution of fipronil, the current response of Cl-RDL-In appeared obvious recovery, which were not observed in Cl-RDL and Nl-RDL. It might imply that the insertion played a special role in fipronil sensitivity.Copyright © 2014 Elsevier Inc. All rights reserved.  KEYWORDS:  MeSH Chemical: Carbamates| DNA, Complementary| Insect Proteins| Insecticides| Organophosphorus Compounds| Protein Subunits| Pyrazoles| Pyrethrins| Receptors, GABA-A| ethofenprox| BPMC| diazoxon| Paraoxon| fipronil| Carbaryl MeSH: | Animals| Base Sequence| Carbamates/toxicity| Carbaryl/toxicity| DNA, Complementary/genetics| Hemiptera/drug effects/metabolism| Heteroptera/majr/drug effects/genetics/metabolism| Insect Proteins/majr/genetics/physiology| Insecticides/majr/toxicity| Molecular Sequence Data| Oocytes/metabolism| Organophosphorus Compounds/toxicity| Paraoxon/toxicity| Polymorphism, Genetic| Protein Subunits/majr/genetics/physiology| Pyrazoles/toxicity| Pyrethrins/toxicity| Receptors, GABA-A/majr/genetics/physiology| Sequence Analysis, DNA| Xenopus Other:Cyrtorhinus lividipennis|Fipronil|RDL|Sensitivity</t>
  </si>
  <si>
    <t>Prevention of Babesia canis in dogs: efficacy of a fixed combination of permethrin and fipronil (Effitix®) using an experimental transmission blocking model with infected Dermacentor reticulatus ticks.    ABSTRACT:  Two experimental studies using a transmission blocking model with Dermacentor reticulatus ticks infected with Babesia canis were performed to test the ability of Effitix® to prevent the transmission of babesiosis in dogs.Four groups of seven dogs (experiment 1) and one group of eight dogs (experiment 2) were treated topically with a novel combination of fipronil and permethrin in a spot-on formulation (Effitix®, Virbac) respectively 28, 21, 14 and 7 days (experiment 1) and 2 days (experiment 2) prior to tick infestation. In each study, a control group of seven dogs (experiment 1) and eight dogs (experiment 2) remained untreated. On day 0, all dogs were infested with adult D.reticulatus ticks harboring B. canis. An efficacy failure (successfully infected) was regarded as a dog in the treated groups that was tested serologically positive for B.canis antibodies, using an indirect fluorescent antibody (IFA) assay and tested positive for B.canis by DNA-assay using PCR analysis.B.canis was transmitted by D.reticulatus to all untreated dogs (experiment 1) and six untreated dogs out of eight (experiment 2) as confirmed by IFA and PCR assays. The large majority of treated dogs (92.9% in experiment 1 and 100% in experiment 2) remained sero-negative over the challenge period.The treatment of dogs with Effitix® applied 2 to 28 days prior to infestation with D. reticulatus harboring B.canis, successfully prevented the transmission of canine babesiosis.  KEYWORDS:  MeSH Chemical: Insecticides| Pyrazoles| Permethrin| fipronil MeSH: | Animals| Babesia/majr/drug effects| Babesiosis/majr/prevention &amp; control| Dermacentor/majr/drug effects/parasitology| Dog Diseases/majr/parasitology/prevention &amp; control| Dogs| Insecticides/administration &amp; dosage/therapeutic use| Permethrin/majr/administration &amp; dosage/therapeutic use| Pyrazoles/majr/administration &amp; dosage/therapeutic use</t>
  </si>
  <si>
    <t>Lethal and behavioral effects of selected novel pesticides on adults of Trichogramma pretiosum (Hymenoptera: Trichogrammatidae).    ABSTRACT:  Growing demand for reduced chemical inputs in agricultural systems requires more effective integration of biological control with pesticides. The egg parasitoid Trichogramma pretiosum Riley is an important natural enemy of lepidopteran pests, used in biological control. In an investigation of the interaction of T. pretiosum and pesticides, we studied the acute toxicity of 19 pesticides (insecticides, miticides, fungicides and herbicides) to adult parasitoids and the behavioral effects of 11 pesticides on foraging parasitoid females, including host antennation, stinging and host feeding.At recommended field doses, fipronil, dinotefuran, spinetoram, tolfenpyrad and abamectin induced nearly 100% adult mortality within 24 h of exposure to treated cotton leaves by comparison with controls. Acetamiprid was also toxic, but significantly less so than the former materials. The other pesticides had no significant toxic effects. Only glufosinate ammonium exhibited increased toxicity among the non-toxic materials when increased two- or fourfold over recommended rates. The foraging behavior of parasitoids was affected only by tolfenpyrad among the materials tested.Most novel pesticides, except for several insecticides, exhibited little to no acute toxicity to the parasitoid. Parasitoid foraging behavior was only affected by tolfenpyrad, indicating that parasitoids could successfully forage on eggs treated with most pesticides evaluated. Therefore, many of these pesticides may have good compatibility with Trichogramma.© 2015 Society of Chemical Industry.  KEYWORDS:  MeSH Chemical: Pesticide Residues| Pesticides MeSH: | Animals| Appetitive Behavior/majr/drug effects| Feeding Behavior/drug effects| Female| Gossypium| Insect Bites and Stings| Moths/parasitology| Ovum/parasitology| Pest Control, Biological/majr| Pesticide Residues/toxicity| Pesticides/majr/toxicity| Wasps/majr/drug effects/growth &amp; development Other:Trichogramma pretiosum|foraging behavior|residual toxicity|sublethal effects</t>
  </si>
  <si>
    <t>Pesticide pollution of multiple drinking water sources in the Mekong Delta, Vietnam: evidence from two provinces.    ABSTRACT:  Pollution of drinking water sources with agrochemicals is often a major threat to human and ecosystem health in some river deltas, where agricultural production must meet the requirements of national food security or export aspirations. This study was performed to survey the use of different drinking water sources and their pollution with pesticides in order to inform on potential exposure sources to pesticides in rural areas of the Mekong River delta, Vietnam. The field work comprised both household surveys and monitoring of 15 frequently used pesticide active ingredients in different water sources used for drinking (surface water, groundwater, water at public pumping stations, surface water chemically treated at household level, harvested rainwater, and bottled water). Our research also considered the surrounding land use systems as well as the cropping seasons. Improper pesticide storage and waste disposal as well as inadequate personal protection during pesticide handling and application were widespread amongst the interviewed households, with little overall risk awareness for human and environmental health. The results show that despite the local differences in the amount and frequency of pesticides applied, pesticide pollution was ubiquitous. Isoprothiolane (max. concentration 8.49 μg L(-1)), fenobucarb (max. 2.32 μg L(-1)), and fipronil (max. 0.41 μg L(-1)) were detected in almost all analyzed water samples (98 % of all surface samples contained isoprothiolane, for instance). Other pesticides quantified comprised butachlor, pretilachlor, propiconazole, hexaconazole, difenoconazole, cypermethrin, fenoxapro-p-ethyl, tebuconazole, trifloxystrobin, azoxystrobin, quinalphos, and thiamethoxam. Among the studied water sources, concentrations were highest in canal waters. Pesticide concentrations varied with cropping season but did not diminish through the year. Even in harvested rainwater or purchased bottled water, up to 12 different pesticides were detected at concentrations exceeding the European Commission's parametric guideline values for individual or total pesticides in drinking water (0.1 and 0.5 μg L(-1); respectively). The highest total pesticide concentration quantified in bottled water samples was 1.38 μg L(-1). Overall, we failed to identify a clean water source in the Mekong Delta with respect to pesticide pollution. It is therefore urgent to understand further and address drinking water-related health risk issues in the region.  KEYWORDS:  MeSH Chemical: Drinking Water| Pesticides| Water Pollutants, Chemical MeSH: | Agriculture| Drinking Water/majr/analysis| Environmental Monitoring/majr| Groundwater/majr/analysis| Humans| Pesticides/majr/analysis| Rivers/majr/chemistry| Seasons| Vietnam| Water Pollutants, Chemical/majr/analysis</t>
  </si>
  <si>
    <t>Five-month comparative efficacy evaluation of three ectoparasiticides against adult cat fleas (Ctenocephalides felis), flea egg hatch and emergence, and adult brown dog ticks (Rhipicephalus sanguineus sensu lato) on dogs housed outdoors.    ABSTRACT:  This study was designed to compare the efficacy of three topical combinations on dogs in outdoor conditions against adult cat fleas (Ctenocephalides felis), flea egg hatch and emergence, and against adult brown dog ticks (Rhipicephalus sanguineus sensu lato). Treatment was performed on day 0 with a placebo; dinotefuran, pyriproxifen and permethrin (DPP); fipronil and (S)-methoprene (FM) or imidacloprid and permethrin (IP). Dogs (n = 32), housed outdoors for 7 months, were treated monthly for four consecutive months (on days 0, 30, 60 and 90) and infested with ~100 unfed adult fleas on days 14, 55, 74, 115 and 150 and with ~50 unfed adult ticks on days 28, 44, 88 and 104. Adult fleas were counted and removed 24 h after infestation. Immediately after flea removal, dogs were reinfested with ~100 new adult fleas 72 h prior to egg collection for up to 48 h. Flea eggs were incubated for 32 days, and newly emerged adults were counted. Ticks were counted and removed 48 h after each infestation. FM had &gt;90 % efficacy against fleas at each time point and variable efficacy against ticks (38.0-99.6 %). Efficacy of IP was &lt;90 % against fleas at day 64 and against ticks at day 30 of the first post-treatment. No flea eggs were laid in the treated groups until infestation was carried out &gt;60 days after the last treatment. Despite challenging weather conditions, DPP was highly effective, providing &gt;90 % efficacy against adult ticks as well as adult and immature fleas at every time point of the study.  KEYWORDS:  MeSH Chemical: Insecticides MeSH: | Animals| Ctenocephalides/majr/drug effects| Dog Diseases/majr/drug therapy/parasitology| Dogs| Female| Flea Infestations/majr/drug therapy/veterinary| Housing, Animal| Insecticides/pharmacology| Male| Ovum/drug effects| Rhipicephalus sanguineus/majr/drug effects| Tick Infestations/majr/drug therapy/veterinary</t>
  </si>
  <si>
    <t>MicroRNA-155 targets cyb561d2 in zebrafish in response to fipronil exposure.    ABSTRACT:  MicroRNAs (miRNAs), which are a class of small noncoding RNAs, can modulate the expression of many protein-coding genes when an organism is exposed to an environmental chemical. We previously demonstrated that miR-155 was significantly downregulated in adult zebrafish (Danio rerio) in response to fipronil (5-amino-1-[2,6-dichloro-4-(trifluoromethyl) phenyl]-4-[(trifluoromethyl) sulphinyl]-1H-pyrazole-3-carbonitrile) exposure. However, the regulation of this miRNA's predicted target gene cyb561d2, which is a member of the cytochrome b561 (cyt b561) family involved in electron transfer, cell defence, and chemical stress, has not been experimentally validated to date. In this study, we evaluated the effects of fipronil on miR-155 and cyb561d2 in zebrafish. The expression of miR-155 was downregulated, whereas cyb561d2 was upregulated in both mRNA and protein level in a dose-dependent manner upon stimulation of fipronil. The dual luciferase report assay demonstrated that miR-155 interacted with cyb561d2 3'-untranslated regions (3'-UTR). The expression of cyb561d2 was reduced in both mRNA and protein levels when ZF4 cells were transfected with an miR-155 mimic, whereas its expression levels of both mRNA and protein were increased when endogenous miR-155 was inhibited by transfection with an miR-155 inhibitor. The results improved our understanding of molecular mechanism of toxicity upon fipronil exposure, and presents miR-155 as a potential novel toxicological biomarker for chemical exposure. © 2014 Wiley Periodicals, Inc. Environ Toxicol 31: 877-886, 2016. © 2014 Wiley Periodicals, Inc.  KEYWORDS:  MeSH Chemical: 3' Untranslated Regions| Biomarkers| Cyb561d2 protein, zebrafish| Cytochrome b Group| Insecticides| MIRN155 microRNA, zebrafish| MicroRNAs| Pyrazoles| Zebrafish Proteins| fipronil MeSH: | 3' Untranslated Regions/drug effects| Animals| Biomarkers| Cell Line| Cytochrome b Group/majr/drug effects| Dose-Response Relationship, Drug| Gene Expression Regulation, Enzymologic/drug effects| Insecticides/majr/toxicity| MicroRNAs/majr/biosynthesis/drug effects| Pyrazoles/majr/toxicity| Zebrafish/majr| Zebrafish Proteins/majr/drug effects Other:cyb561d2|fipronil|mechanism of toxicity|miR-155|zebrafish</t>
  </si>
  <si>
    <t>Potential role of ATP-binding cassette transporters against acaricides in the brown dog tick Rhipicephalus sanguineus sensu lato.    ABSTRACT:  ATP-binding cassette (ABC) transporters have been shown to be involved in pesticide detoxification in arthropod vectors and are thought to contribute to the development of drug resistance. Little is currently known about the role they play in ticks, which are among the more important vectors of human and animal pathogens. Here, the role of ABC transporters in the transport of fipronil and ivermectin acaricides in the tick Rhipicephalus sanguineus (Ixodida: Ixodidae) was investigated. Larvae were treated with acaricide alone and acaricide in combination with a sub-lethal dose of the ABC transporter inhibitor cyclosporine A. The LC50 doses and 95% confidence intervals (CIs) estimated by mortality data using probit analysis were 67.930 p.p.m. (95% CI 53.780-90.861) for fipronil and 3741 p.p.m. (95% CI 2857-4647) for ivermectin. The pre-exposure of larvae to a sub-lethal dose of cyclosporine A reduced the LC50 dose of fipronil to 4.808 p.p.m. (95% CI 0.715-9.527) and that of ivermectin to 167 p.p.m. (95% CI 15-449), which increased toxicity by about 14- and 22-fold, respectively. The comparison of mortality data for each separate acaricide concentration showed the synergic effect of cyclosporine A to be reduced at higher concentrations of acaricide. These results show for the first time a strong association between ABC transporters and acaricide detoxification in R.sanguineus s.l. © 2014 The Royal Entomological Society.  KEYWORDS:  MeSH Chemical: ATP-Binding Cassette Transporters| Acaricides| Pyrazoles| Ivermectin| Cyclosporine| fipronil MeSH: | ATP-Binding Cassette Transporters/majr/antagonists &amp; inhibitors/genetics/metabolism| Acaricides/majr/pharmacology| Animals| Cyclosporine/majr/pharmacology| Female| Ivermectin/majr/pharmacology| Male| Pyrazoles/majr/pharmacology| Rhipicephalus sanguineus/majr/drug effects/genetics Other:ABC transporters|Rhipicephalus sanguineus sensu lato|cyclosporine A|fipronil|ivermectin|tick-borne diseases</t>
  </si>
  <si>
    <t>Assessment of serum biomarkers in rats after exposure to pesticides of different chemical classes.    ABSTRACT:  There is increasing emphasis on the use of biomarkers of adverse outcomes in safety assessment and translational research. We evaluated serum biomarkers and targeted metabolite profiles after exposure to pesticides (permethrin, deltamethrin, imidacloprid, carbaryl, triadimefon, fipronil) with different neurotoxic actions. Adult male Long-Evans rats were evaluated after single exposure to vehicle or one of two doses of each pesticide at the time of peak effect. The doses were selected to produce similar magnitude of behavioral effects across chemicals. Serum or plasma was analyzed using commercial cytokine/protein panels and targeted metabolomics. Additional studies of fipronil used lower doses (lacking behavioral effects), singly or for 14 days, and included additional markers of exposure and biological activity. Biomarker profiles varied in the number of altered analytes and patterns of change across pesticide classes, and discriminant analysis could separate treatment groups from control. Low doses of fipronil produced greater effects when given for 14 days compared to a single dose. Changes in thyroid hormones and relative amounts of fipronil and its sulfone metabolite also differed between the dosing regimens. Most cytokine changes reflected alterations in inflammatory responses, hormone levels, and products of phospholipid, fatty acid, and amino acid metabolism. These findings demonstrate distinct blood-based analyte profiles across pesticide classes, dose levels, and exposure duration. These results show promise for detailed analyses of these biomarkers and their linkages to biological pathways.Published by Elsevier Inc.  KEYWORDS:  MeSH Chemical: Biomarkers| Chemokines| Hormones| Insecticides| Pesticides| Pyrazoles| fipronil MeSH: | Animals| Biomarkers/majr/blood| Chemokines/blood| Dose-Response Relationship, Drug| Hormones/blood| Insecticides/toxicity| Male| Metabolomics| Pesticides/majr/chemistry/toxicity| Pyrazoles/toxicity| Rats| Rats, Long-Evans Other:Biomarkers|Cytokines|Hormones|Metabolomics|Pesticides</t>
  </si>
  <si>
    <t>Use of electroencephalography (EEG) to assess CNS changes produced by pesticides with different modes of action: effects of permethrin, deltamethrin, fipronil, imidacloprid, carbaryl, and triadimefon.    ABSTRACT:  The electroencephalogram (EEG) is an apical measure, capable of detecting changes in brain neuronal activity produced by internal or external stimuli. We assessed whether pesticides with different modes of action produced different changes in the EEG of adult male Long-Evans rats. The EEG was recorded using two montages (visual cortex referenced to the cerebellum and to the frontal cortex) in unrestrained rats at the time of peak behavioral effects. Pesticides included: permethrin and deltamethrin (Type I and Type II pyrethroids; 2 h), fipronil (single and repeated doses; phenylpyrazole; 6 h), imidacloprid (neonicotinoid; 2 h), carbaryl (carbamate; 0.5 h), and triadimefon (triazole; 1 h), using dosages that produced approximately an ED30 or an ED50-ED80 change in motor activity. Permethrin (43, 100 mg/kg) increased amplitudes or areas (delta, alpha, or gamma bands) in the EEG. Deltamethrin (2.5, 5.5 mg/kg) reduced the amplitudes or areas of the delta, theta, alpha, beta, and gamma bands, but the changes were not dose-related. A single treatment with fipronil (25, 50 mg/kg, but not 5, 10 mg/kg) decreased gamma band area. Additional changes in the delta, theta, and gamma bands were observed when fipronil (5, 10 mg/kg) was administered for 14 days. Imidacloprid (50, 100 mg/kg) did not alter the EEG. Carbaryl (10, 50 mg/kg) decreased theta area, and decreased delta and increased beta frequency. Triadimefon (75, 150 mg/kg) produced minimal changes in the EEG. The results show that the EEG is affected differently by approximately equipotent doses of pesticides with different modes of action.Published by Elsevier Inc.  KEYWORDS:  MeSH Chemical: Cholinesterase Inhibitors| Fungicides, Industrial| Insecticides| Pesticides| Cholinesterases MeSH: | Animals| Body Temperature/drug effects| Central Nervous System/majr/drug effects| Cholinesterase Inhibitors/toxicity| Cholinesterases/metabolism| Dose-Response Relationship, Drug| Electroencephalography/majr/drug effects| Fungicides, Industrial/toxicity| Insecticides/toxicity| Male| Pesticides/majr/toxicity| Rats| Rats, Long-Evans| Visual Cortex/drug effects Other:EEG|Pesticides|Rats</t>
  </si>
  <si>
    <t>Ectoparasites of goats in the UK.    ABSTRACT:  The goat industry in the UK has expanded rapidly in recent years, but at present there is only a poor understanding of the prevalence of parasitic diseases in this farming system. Here, a questionnaire survey of 110 goat owners was used to address this issue. Problems with louse infestation in the previous 12 months were reported by 23% of owners and 19% reported mange. Chorioptic mange was the most common form, with 14 of 21 cases. Sarcoptic mage accounted for only 3 cases and demodex and psoroptic mange each made up 2 cases. Only 53 farmers (48%) said that they took preventative measures to protect their animals against ectoparasite infestation; 20 of these relied on macrocyclic lactones (MLs), the most common product specified was ivermectin. Therapeutic treatment was used by all respondents who said that they had experienced ectoparasites, and again ivermectin was the most common treatment. The use of fipronil was specified by 3 respondents, including one commercial meat producer. Four farmers said that they used antibiotics as an ectoparasiticide. This pattern of treatment for ectoparasites, with reliance on MLs, has implications for the inadvertent selection of resistance in endoparasites. The results suggest that ectoparasites are a major problem for many goat owners, both commercial and non-commercial, but that there is a need for better information for the goat producing community about the optimum approaches to parasite prevention and treatment. Copyright © 2014 Elsevier B.V. All rights reserved.  KEYWORDS:  MeSH Chemical: Insecticides| Lactones| Macrocyclic Compounds| Ivermectin MeSH: | Animals| Goat Diseases/majr/drug therapy/epidemiology/parasitology| Goats| Insecticides/majr/therapeutic use| Ivermectin/therapeutic use| Lactones/therapeutic use| Lice Infestations/majr/drug therapy/epidemiology/parasitology/veterinary| Macrocyclic Compounds/therapeutic use| Mite Infestations/majr/drug therapy/epidemiology/parasitology/veterinary| Mites/majr/classification/drug effects| Prevalence| Psoroptidae/classification/drug effects| Retrospective Studies| Sarcoptidae/classification/drug effects| Surveys and Questionnaires| United Kingdom/epidemiology Other:Control|Lice|Mange|Mites|Parasite|Pediculosis</t>
  </si>
  <si>
    <t>Cytochrome P450s from the fall armyworm (Spodoptera frugiperda): responses to plant allelochemicals and pesticides.    ABSTRACT:  Spodoptera frugiperda is a polyphagous lepidopteran pest that encounters a wide range of toxic plant metabolites in its diet. The ability of this insect to adapt to its chemical environment might be explained by the action of major detoxification enzymes such as cytochrome P450s (or CYP). Forty-two sequences coding for P450s were identified and most of the transcripts were found to be expressed in the midgut, Malpighian tubules and fat body of S. frugiperda larvae. Relatively few P450s were expressed in the established cell line Sf9. In order to gain information on how these genes respond to different chemical compounds, larvae and Sf9 cells were exposed to plant secondary metabolites (indole, indole-3-carbinol, quercetin, 2-tridecanone and xanthotoxin), insecticides (deltamethrin, fipronil, methoprene, methoxyfenozide) or model inducers (clofibrate and phenobarbital). Several genes were induced by plant chemicals such as P450s from the 6B, 321A and 9A subfamilies. Only a few genes responded to insecticides, belonging principally to the CYP9A family. There was little overlap between the response in vivo measured in the midgut and the response in vitro in Sf9 cells. In addition, regulatory elements were detected in the promoter region of these genes. In conclusion, several P450s were identified that could potentially be involved in the adaptation of S. frugiperda to its chemical environment. © 2014 The Royal Entomological Society.  KEYWORDS:  MeSH Chemical: Cytochrome P-450 Enzyme Inducers| Insecticides| Pheromones| Cytochrome P-450 Enzyme System MeSH: | Amino Acid Sequence| Animals| Base Sequence| Cell Line| Cytochrome P-450 Enzyme Inducers/majr/pharmacology| Cytochrome P-450 Enzyme System/majr/metabolism| Digestive System/enzymology| Fat Body/enzymology| Gene Expression Profiling| Insecticides/majr/pharmacology| Larva/enzymology| Malpighian Tubules/enzymology| Molecular Sequence Data| Pheromones/majr/pharmacology| Plants/chemistry| Real-Time Polymerase Chain Reaction| Spodoptera/majr/enzymology/genetics Other:Spodoptera frugiperda|cytochrome P450s|gene expression induction|xenobiotics</t>
  </si>
  <si>
    <t>Acute toxicity and sublethal effects of fipronil on detoxification enzymes in juvenile zebrafish (Danio rerio).    ABSTRACT:  The acute toxicity of fipronil and its sublethal effects on detoxification enzymes (carboxylesterases (CarEs), glutathione S-transferases (GSTs), and 7-ethoxycoumarin O-deethylase (ECOD)) in zebrafish (Danio rerio) were investigated. The results indicated that the 24-h LC50 of fipronil for zebrafish was 220.4 μg/L (95% CI: 173.7-272.4 μg/L). Sublethal concentrations of fipronil did not cause significant changes in CarEs activities. In the liver and muscle tissues, GST activities at the tested concentrations did not significantly differ from those in the control. In the brain and gill tissues, GST activities at a concentration of 4 μg/L were significantly lower than those at a concentration of 2 μg/L. The results suggest that CarEs and GSTs were not suitable biomarkers for fipronil effects in D. rerio. A significant induction in the ECOD activities in the brain, gill, liver, and muscle tissues was observed compared with the control. Moreover, the dose-dependent responses of the ECOD activity were observed after treatment with sublethal concentrations of fipronil in the range of 2-20 μg/L. The results suggested that ECOD could be a suitable biomarker of fipronil effects in D. rerio.Copyright © 2014. Published by Elsevier Inc.  KEYWORDS:  MeSH Chemical: Fish Proteins| Insecticides| Pyrazoles| Water Pollutants, Chemical| 7-Alkoxycoumarin O-Dealkylase| Glutathione Transferase| Carboxylic Ester Hydrolases| fipronil MeSH: | 7-Alkoxycoumarin O-Dealkylase/majr/genetics/metabolism| Animals| Carboxylic Ester Hydrolases/majr/genetics/metabolism| Fish Proteins/majr/genetics/metabolism| Glutathione Transferase/majr/genetics/metabolism| Insecticides/majr/metabolism/toxicity| Liver/drug effects/enzymology| Muscle, Skeletal/drug effects/enzymology| Pyrazoles/majr/metabolism/toxicity| Water Pollutants, Chemical/metabolism/toxicity| Zebrafish/majr/genetics/growth &amp; development/metabolism Other:Acute toxicity|Detoxification enzymes|Fipronil|Sublethal effects|Zebrafish (Danio rerio)</t>
  </si>
  <si>
    <t>Controlled release study on microencapsulated mixture of fipronil and chlorpyrifos for the management of white grubs (Holotrichia parallela) in peanuts (Arachis hypogaea L.).    ABSTRACT:  This study was conducted to determine the release dynamics of a microencapsulated mixture of fipronil and chlorpyrifos in peanut fields and its efficacy against white grubs. The results indicated that microencapsulation significantly stabilized this mixture against degradation in the environment so that a single dose of this microencapsulated formulation applied through seed treatment effectively controlled white grubs throughout the entire growing season. During the experimental course, the concentration of chlorpyrifos in the soil with the microencapsulated formulation was 13.6 ± 9.9 (n = 6) times that of the conventional formulation, and the concentration of fipronil was at least 2.2 times that of the conventional formulation in the soil and peanut roots. However, the residue risks of chlorpyrifos and fipronil in the kernels were different. At harvest, there was a low risk that the residual chlorpyrifos in the kernels exceeded the MRLs (maximum residue limit). In contrast, the amount of residual fipronil in some kernel samples reached the statutory MRL set by the European Union, which suggested that a higher application rate or the repeated application of the microencapsulated fipronil formulation would not be acceptable.  KEYWORDS:  MeSH Chemical: Delayed-Action Preparations| Insecticides| Pyrazoles| Soil Pollutants| Chlorpyrifos| fipronil MeSH: | Animals| Arachis/majr/chemistry/parasitology| Chlorpyrifos/majr/chemistry/pharmacology| Coleoptera/majr/drug effects/physiology| Delayed-Action Preparations/majr/chemistry/pharmacology| Drug Compounding/majr/methods| Insect Control| Insecticides/majr/chemistry/pharmacology| Kinetics| Plant Diseases/majr/parasitology| Plant Roots/chemistry/parasitology| Pyrazoles/majr/chemistry/pharmacology| Soil Pollutants/chemistry Other:Arachis hypogaea L.|Holotrichia parallela|chlorpyrifos|fipronil|microencapsulation|residual risk</t>
  </si>
  <si>
    <t>Systemic insecticides (neonicotinoids and fipronil): trends, uses, mode of action and metabolites.    ABSTRACT:  Since their discovery in the late 1980s, neonicotinoid pesticides have become the most widely used class of insecticides worldwide, with large-scale applications ranging from plant protection (crops, vegetables, fruits), veterinary products, and biocides to invertebrate pest control in fish farming. In this review, we address the phenyl-pyrazole fipronil together with neonicotinoids because of similarities in their toxicity, physicochemical profiles, and presence in the environment. Neonicotinoids and fipronil currently account for approximately one third of the world insecticide market; the annual world production of the archetype neonicotinoid, imidacloprid, was estimated to be ca. 20,000 tonnes active substance in 2010. There were several reasons for the initial success of neonicotinoids and fipronil: (1) there was no known pesticide resistance in target pests, mainly because of their recent development, (2) their physicochemical properties included many advantages over previous generations of insecticides (i.e., organophosphates, carbamates, pyrethroids, etc.), and (3) they shared an assumed reduced operator and consumer risk. Due to their systemic nature, they are taken up by the roots or leaves and translocated to all parts of the plant, which, in turn, makes them effectively toxic to herbivorous insects. The toxicity persists for a variable period of time-depending on the plant, its growth stage, and the amount of pesticide applied. A wide variety of applications are available, including the most common prophylactic non-Good Agricultural Practices (GAP) application by seed coating. As a result of their extensive use and physicochemical properties, these substances can be found in all environmental compartments including soil, water, and air. Neonicotinoids and fipronil operate by disrupting neural transmission in the central nervous system of invertebrates. Neonicotinoids mimic the action of neurotransmitters, while fipronil inhibits neuronal receptors. In doing so, they continuously stimulate neurons leading ultimately to death of target invertebrates. Like virtually all insecticides, they can also have lethal and sublethal impacts on non-target organisms, including insect predators and vertebrates. Furthermore, a range of synergistic effects with other stressors have been documented. Here, we review extensively their metabolic pathways, showing how they form both compound-specific and common metabolites which can themselves be toxic. These may result in prolonged toxicity. Considering their wide commercial expansion, mode of action, the systemic properties in plants, persistence and environmental fate, coupled with limited information about the toxicity profiles of these compounds and their metabolites, neonicotinoids and fipronil may entail significant risks to the environment. A global evaluation of the potential collateral effects of their use is therefore timely. The present paper and subsequent chapters in this review of the global literature explore these risks and show a growing body of evidence that persistent, low concentrations of these insecticides pose serious risks of undesirable environmental impacts.  KEYWORDS:  MeSH Chemical: Environmental Pollutants| Imidazoles| Insecticides| Neonicotinoids| Nitro Compounds| Pyrazoles| imidacloprid| fipronil MeSH: | Agriculture/majr/methods/trends| Animals| Crops, Agricultural/metabolism| Environmental Pollutants/majr/metabolism/toxicity| Herbivory| Imidazoles/majr/metabolism/toxicity| Insecta/drug effects| Insecticides/majr/metabolism/toxicity| Neonicotinoids| Nitro Compounds/majr/metabolism/toxicity| Pyrazoles/majr/metabolism/toxicity| Seeds/metabolism</t>
  </si>
  <si>
    <t>Effects of neonicotinoids and fipronil on non-target invertebrates.    ABSTRACT:  We assessed the state of knowledge regarding the effects of large-scale pollution with neonicotinoid insecticides and fipronil on non-target invertebrate species of terrestrial, freshwater and marine environments. A large section of the assessment is dedicated to the state of knowledge on sublethal effects on honeybees (Apis mellifera) because this important pollinator is the most studied non-target invertebrate species. Lepidoptera (butterflies and moths), Lumbricidae (earthworms), Apoidae sensu lato (bumblebees, solitary bees) and the section "other invertebrates" review available studies on the other terrestrial species. The sections on freshwater and marine species are rather short as little is known so far about the impact of neonicotinoid insecticides and fipronil on the diverse invertebrate fauna of these widely exposed habitats. For terrestrial and aquatic invertebrate species, the known effects of neonicotinoid pesticides and fipronil are described ranging from organismal toxicology and behavioural effects to population-level effects. For earthworms, freshwater and marine species, the relation of findings to regulatory risk assessment is described. Neonicotinoid insecticides exhibit very high toxicity to a wide range of invertebrates, particularly insects, and field-realistic exposure is likely to result in both lethal and a broad range of important sublethal impacts. There is a major knowledge gap regarding impacts on the grand majority of invertebrates, many of which perform essential roles enabling healthy ecosystem functioning. The data on the few non-target species on which field tests have been performed are limited by major flaws in the outdated test protocols. Despite large knowledge gaps and uncertainties, enough knowledge exists to conclude that existing levels of pollution with neonicotinoids and fipronil resulting from presently authorized uses frequently exceed the lowest observed adverse effect concentrations and are thus likely to have large-scale and wide ranging negative biological and ecological impacts on a wide range of non-target invertebrates in terrestrial, aquatic, marine and benthic habitats.  KEYWORDS:  MeSH Chemical: Environmental Pollutants| Insecticides| Nicotinic Agonists| Pyrazoles| fipronil MeSH: | Animals| Ecosystem| Environmental Pollutants/majr/toxicity| Insecticides/majr/toxicity| Invertebrates/majr/drug effects| Nicotinic Agonists/majr/toxicity| Pollination| Pyrazoles/majr/toxicity| Risk Assessment</t>
  </si>
  <si>
    <t>The role of Rdl in resistance to phenylpyrazoles in Drosophila melanogaster.    ABSTRACT:  Extensive use of older generation insecticides may result in pre-existing cross-resistance to new chemical classes acting at the same target site. Phenylpyrazole insecticides block inhibitory neurotransmission in insects via their action on ligand-gated chloride channels (LGCCs). Phenylpyrazoles are broad-spectrum insecticides widely used in agriculture and domestic pest control. So far, all identified cases of target site resistance to phenylpyrazoles are based on mutations in the Rdl (Resistance to dieldrin) LGCC subunit, the major target site for cyclodiene insecticides. We examined the role that mutations in Rdl have on phenylpyrazole resistance in Drosophila melanogaster, exploring naturally occurring variation, and generating predicted resistance mutations by mutagenesis. Natural variation at the Rdl locus in inbred strains of D. melanogaster included gene duplication, and a line containing two Rdl mutations found in a highly resistant line of Drosophila simulans. These mutations had a moderate impact on survival following exposure to two phenylpyrazoles, fipronil and pyriprole. Homology modelling suggested that the Rdl chloride channel pore contains key residues for binding fipronil and pyriprole. Mutagenesis of these sites and assessment of resistance in vivo in transgenic lines showed that amino acid identity at the Ala(301) site influenced resistance levels, with glycine showing greater survival than serine replacement. We confirm that point mutations at the Rdl 301 site provide moderate resistance to phenylpyrazoles in D. melanogaster. We also emphasize the beneficial aspects of testing predicted mutations in a whole organism to validate a candidate gene approach.Copyright © 2014 Elsevier Ltd. All rights reserved.  KEYWORDS:  MeSH Chemical: Chloride Channels| Drosophila Proteins| Insecticides| Pyrazoles| Pyridines| Rdl protein, Drosophila| Receptors, GABA-A| pyriprole| Dieldrin| Alanine| fipronil MeSH: | Alanine/genetics| Amino Acid Sequence| Animals| Animals, Genetically Modified| Base Sequence| Chloride Channels| Dieldrin| Drosophila Proteins/majr/genetics/metabolism| Drosophila melanogaster/majr/drug effects/genetics| Gene Duplication| Insecticide Resistance/majr/genetics| Insecticides/majr/pharmacology| Molecular Sequence Data| Mutation/drug effects| Point Mutation| Pyrazoles/pharmacology| Pyridines/pharmacology| Receptors, GABA-A/majr/genetics/metabolism Other:Drosophila melanogaster|Fipronil|Insecticide resistance|Ligand gated chloride channel|Pyriprole|Rdl|Transgenic|homology modelling</t>
  </si>
  <si>
    <t>Response of the vacuolar ATPase subunit E to RNA interference and four chemical pesticides in Leptinotarsa decemlineata (Say).    ABSTRACT:  Vacuolar-type H(+)-ATPases (vATPases) are localized in the apical membranes of nearly all epithelial tissues of insects, energize the membranes to absorb and/or secrete ions and fluids, and play essential roles in many physiological functions. Here we cloned and characterized a 1041-bp full-length vATPase subunit E cDNA (named as LdATPaseE) that encoded a 226-amino acid protein in Leptinotarsa decemlineata. LdATPaseE mRNA levels were constantly increased from egg to the third- and fourth-instar stages, dropped in wandering and pupal stages and were elevated again in the adult stage. It was highly expressed in ileum and rectum, moderately expressed in Malpighian tubules, midgut and foregut, and lowly expressed in fat body, ventral ganglion, epidermis and haemocytes in the fourth instars. After continuously ingested double-stranded RNAs originated from two LdATPaseE fragments LdATPaseE1 and LdATPaseE2, the target mRNA levels in the larvae were reduced by 85% and 55%, the larval growth and survival were significantly affected. Furthermore, topical application of fipronil, butane-fipronil, endosulfan and cypermethrin significantly upregulated LdATPaseE expression up to 8.3, 4.2, 2.8 and 6.2-fold 1 day after experiment, and up to 15.8, 3.4, 3.6 and 4.5-fold 2 days after treatment. It seems that depletion of vATPase subunit E is lethal, indicating that targeting vATPases by dsRNA appears a promising means of combating L. decemlineata. Moreover, vATPase subunit E is a pesticide inducible gene and may play a role in pesticide toxicity.Copyright © 2014 Elsevier Inc. All rights reserved.  KEYWORDS:  MeSH Chemical: 1-(2,6-dichloro-alpha,alpha,alpha-trifluoro-p-tolyl)-5-(2-methylamino)-4-(trifluoromethylsulfinyl)pyrazole-3-carbonitrile| DNA, Complementary| Hydrocarbons, Halogenated| Insect Proteins| Insecticides| Protein Subunits| Pyrazoles| Pyrethrins| RNA, Messenger| cypermethrin| Vacuolar Proton-Translocating ATPases| Endosulfan| fipronil MeSH: | Amino Acid Sequence| Animals| Coleoptera/majr/enzymology/genetics| DNA, Complementary/genetics| Endosulfan/toxicity| Hydrocarbons, Halogenated/toxicity| Insect Proteins/majr/genetics| Insecticides/majr/toxicity| Larva/enzymology/genetics| Molecular Sequence Data| Protein Subunits/genetics| Pyrazoles/toxicity| Pyrethrins/toxicity| RNA Interference/majr| RNA, Messenger/metabolism| Vacuolar Proton-Translocating ATPases/majr/genetics Other:Double-stranded RNA|Growth|Insecticide|Leptinotarsa decemlineata|Lethal|Vacuolar-type H(+)-ATPase</t>
  </si>
  <si>
    <t>Insecticidal, repellent and fungicidal properties of novel trifluoromethylphenyl amides.    ABSTRACT:  Twenty trifluoromethylphenyl amides were synthesized and evaluated as fungicides and as mosquito toxicants and repellents. Against Aedes aegypti larvae, N-(2,6-dichloro-4-(trifluoromethyl)phenyl)-3,5-dinitrobenzamide (1e) was the most toxic compound (24 h LC50 1940 nM), while against adults N-(2,6-dichloro-4-(trifluoromethyl)phenyl)-2,2,2-trifluoroacetamide (1c) was most active (24 h LD50 19.182 nM, 0.5 μL/insect). However, the 24 h LC50 and LD50 values of fipronil against Ae. aegypti larvae and adults were significantly lower: 13.55 nM and 0.787 × 10(-4) nM, respectively. Compound 1c was also active against Drosophila melanogaster adults with 24 h LC50 values of 5.6 and 4.9 μg/cm(2) for the Oregon-R and 1675 strains, respectively. Fipronil had LC50 values of 0.004 and 0.017 μg/cm(2) against the two strains of D. melanogaster, respectively. In repellency bioassays against female Ae. aegypti, 2,2,2-trifluoro-N-(2-(trifluoromethyl)phenyl)acetamide (4c) had the highest repellent potency with a minimum effective dosage (MED) of 0.039 μmol/cm(2) compared to DEET (MED of 0.091 μmol/cm(2)). Compound N-(2-(trifluoromethyl)phenyl)hexanamide (4a) had an MED of 0.091 μmol/cm(2) which was comparable to DEET. Compound 4c was the most potent fungicide against Phomopsis obscurans. Several trends were discerned between the structural configuration of these molecules and the effect of structural changes on toxicity and repellency. Para- or meta- trifluoromethylphenyl amides with an aromatic ring attached to the carbonyl carbon showed higher toxicity against Ae. aegypti larvae, than ortho- trifluoromethylphenyl amides. Ortho- trifluoromethylphenyl amides with trifluoromethyl or alkyl group attached to the carbonyl carbon produced higher repellent activity against female Ae. aegypti and Anopheles albimanus than meta- or para- trifluoromethylphenyl amides. The presence of 2,6-dichloro- substitution on the phenyl ring of the amide had an influence on larvicidal and repellent activity of para- trifluoromethylphenyl amides.Copyright © 2013 The Authors. Published by Elsevier Inc. All rights reserved.  KEYWORDS:  MeSH Chemical: Amides| Fungicides, Industrial| Insect Repellents| Insecticides MeSH: | Aedes/drug effects| Amides/majr/chemical synthesis/toxicity| Animals| Drosophila/drug effects| Female| Fungi/drug effects/growth &amp; development| Fungicides, Industrial/majr/chemical synthesis/toxicity| Insect Repellents/majr/chemical synthesis/toxicity| Insecticides/majr/chemical synthesis/toxicity| Larva/drug effects| Lethal Dose 50 Other:Aedes aegypti|Anopheles albimanus|Drosophila melanogaster|Pesticides|Plant pathogenic fungi|Trifluoromethylphenyl amides</t>
  </si>
  <si>
    <t>Preventive efficacy of a topical combination of fipronil--(S)-methoprene--eprinomectin--praziquantel against ear mite (Otodectes cynotis) infestation of cats through a natural infestation model.    ABSTRACT:  A study based on naturally infested cats was designed to evaluate the effectiveness of a single treatment with a topical formulation containing fipronil, (S)-methoprene, eprinomectin and praziquantel, for the prevention of Otodectes cynotis infestation in cats. Six treated cats and six untreated cats were housed with three chronically Otodectes cynotis-infested cats, respectively. The cats of each group were kept together in a 20-m(2) room for 1 month. Both clinical examination and ear mite counts were conducted on Day 28. All donor cats were confirmed to be chronically infested with Otodectes cynotis on Day -1 and Day 28. From untreated control cats, 129 live mites were recovered on Day 28 and all cats were found to be infested. In the treated group, three cats were found to be infested, with a total of five live mites recovered, the difference between the two groups being significant (p = 0.003). One treatment corresponded to 96% preventive efficacy at Day 28 based on ear mite counts. With regard to cerumen, the clinical score increased significantly for untreated cats between Day -1 and Day 28 (p = 0.00026) and not for treated cats (p = 0.30). The difference in cerumen abundance was significant between untreated and treated cats on Day 28 (p = 0.0035). Concerning the pruritic reflex in at least one ear, all cats were negative at inclusion. All six untreated cats became positive and showed a reflex on Day 28, whereas no treated cat showed ear pruritus (p = 0.00026).© F. Beugnet et al., published by EDP Sciences, 2014.  KEYWORDS:  MeSH Chemical: Acaricides| Drug Combinations| Pyrazoles| Praziquantel| Ivermectin| eprinomectin| Methoprene| fipronil MeSH: | Acaricides/majr/administration &amp; dosage/therapeutic use| Administration, Topical| Animals| Cat Diseases/majr/drug therapy/parasitology/prevention &amp; control/transmission| Cats| Drug Combinations| Ear Canal/parasitology| Ear Diseases/majr/drug therapy/parasitology/prevention &amp; control/veterinary| Female| Ivermectin/majr/administration &amp; dosage/analogs &amp; derivatives/therapeutic use| Male| Methoprene/majr/administration &amp; dosage/therapeutic use| Mite Infestations/majr/drug therapy/parasitology/prevention &amp; control/transmission/veterinary| Otoscopy| Praziquantel/majr/administration &amp; dosage/therapeutic use| Pruritus/etiology/veterinary| Psoroptidae/majr| Pyrazoles/majr/administration &amp; dosage/therapeutic use| Single-Blind Method| Therapeutic Irrigation</t>
  </si>
  <si>
    <t>Efficacy of thiamethoxam and fipronil, applied alone and in combination, to control Limonius californicus and Hypnoidus bicolor (Coleoptera: Elateridae).    ABSTRACT:  Wireworms, the larval stage of click beetles (family Elateridae), are significant soil pests of wheat and barley crops in the Pacific Northwest. At present, few pest management alternatives exist. For several decades, wireworms were effectively controlled by first-generation insecticides applied to the soil or as seed treatments. Currently used neonicotinoid insecticides protect crop seeds and germinating seedlings by temporary toxicity but limited mortality. As a result, field populations may increase, reaching levels too high for crop protection. In this study an investigation was made of the combination of two insecticides to achieve crop protection as well as insect mortality in wheat fields.Laboratory bioassays using wheat seed treated with fipronil at 1.0 and 5.0 g AI 100 kg(-1) seed resulted in 72-90% mortality of two wireworm species, Limonius californicus and Hypnoidus bicolor. At a rate of 39 g AI 100 kg(-1) seed, 8 times higher than the high rate of fipronil, thiamethoxam caused only 10-31% larval mortality in the bioassays, but did protect developing wheat stands from damage in field trials. Field plots planted with wheat seed treated with both fipronil (5.0 g AI 100 kg(-1) seed) and thiamethoxam (39.0 g AI 100 kg(-1) seed) had 83% fewer wireworms the following year compared with untreated check plots. No reduction in population was observed in plots treated with 39.0 g of thiamethoxam alone.Fipronil and thiamethoxam can be combined as a seed treatment to protect wheat crops from wireworm damage and reduce larval populations in the field.© 2014 Society of Chemical Industry.  KEYWORDS:  MeSH Chemical: Insecticides| Neonicotinoids| Nitro Compounds| Oxazines| Pyrazoles| Thiazoles| Thiamethoxam| fipronil MeSH: | Animals| Coleoptera/majr/growth &amp; development| Insect Control/majr| Insecticides/majr| Larva| Neonicotinoids| Nitro Compounds/majr| Oxazines/majr| Pyrazoles/majr| Random Allocation| Seeds| Species Specificity| Thiamethoxam| Thiazoles/majr| Triticum Other:insecticide interactions|neonicotinoids|synergism|wheat</t>
  </si>
  <si>
    <t>Fipronil and imidacloprid reduce honeybee mitochondrial activity.    ABSTRACT:  Bees have a crucial role in pollination; therefore, it is important to determine the causes of their recent decline. Fipronil and imidacloprid are insecticides used worldwide to eliminate or control insect pests. Because they are broad-spectrum insecticides, they can also affect honeybees. Many researchers have studied the lethal and sublethal effects of these and other insecticides on honeybees, and some of these studies have demonstrated a correlation between the insecticides and colony collapse disorder in bees. The authors investigated the effects of fipronil and imidacloprid on the bioenergetic functioning of mitochondria isolated from the heads and thoraces of Africanized honeybees. Fipronil caused dose-dependent inhibition of adenosine 5'-diphosphate-stimulated (state 3) respiration in mitochondria energized by either pyruvate or succinate, albeit with different potentials, in thoracic mitochondria; inhibition was strongest when respiring with complex I substrate. Fipronil affected adenosine 5'-triphosphate (ATP) production in a dose-dependent manner in both tissues and substrates, though with different sensitivities. Imidacloprid also affected state-3 respiration in both the thorax and head, being more potent in head pyruvate-energized mitochondria; it also inhibited ATP production. Fipronil and imidacloprid had no effect on mitochondrial state-4 respiration. The authors concluded that fipronil and imidacloprid are inhibitors of mitochondrial bioenergetics, resulting in depleted ATP. This action can explain the toxicity of these compounds to honeybees.© 2014 SETAC.  KEYWORDS:  MeSH Chemical: Imidazoles| Insecticides| Neonicotinoids| Nitro Compounds| Pyrazoles| imidacloprid| fipronil MeSH: | Animals| Bees/majr/cytology/drug effects/metabolism| Imidazoles/majr/toxicity| Insect Control| Insecticides/majr/toxicity| Mitochondria/majr/drug effects/metabolism| Neonicotinoids| Nitro Compounds/majr/toxicity| Pyrazoles/majr/toxicity Other:Honeybee|Insecticide|Mitochondria|Pesticide|Toxicity mechanism</t>
  </si>
  <si>
    <t>Environmental fate and exposure; neonicotinoids and fipronil.    ABSTRACT:  Systemic insecticides are applied to plants using a wide variety of methods, ranging from foliar sprays to seed treatments and soil drenches. Neonicotinoids and fipronil are among the most widely used pesticides in the world. Their popularity is largely due to their high toxicity to invertebrates, the ease and flexibility with which they can be applied, their long persistence, and their systemic nature, which ensures that they spread to all parts of the target crop. However, these properties also increase the probability of environmental contamination and exposure of nontarget organisms. Environmental contamination occurs via a number of routes including dust generated during drilling of dressed seeds, contamination and accumulation in arable soils and soil water, runoff into waterways, and uptake of pesticides by nontarget plants via their roots or dust deposition on leaves. Persistence in soils, waterways, and nontarget plants is variable but can be prolonged; for example, the half-lives of neonicotinoids in soils can exceed 1,000 days, so they can accumulate when used repeatedly. Similarly, they can persist in woody plants for periods exceeding 1 year. Breakdown results in toxic metabolites, though concentrations of these in the environment are rarely measured. Overall, there is strong evidence that soils, waterways, and plants in agricultural environments and neighboring areas are contaminated with variable levels of neonicotinoids or fipronil mixtures and their metabolites (soil, parts per billion (ppb)-parts per million (ppm) range; water, parts per trillion (ppt)-ppb range; and plants, ppb-ppm range). This provides multiple routes for chronic (and acute in some cases) exposure of nontarget animals. For example, pollinators are exposed through direct contact with dust during drilling; consumption of pollen, nectar, or guttation drops from seed-treated crops, water, and consumption of contaminated pollen and nectar from wild flowers and trees growing near-treated crops. Studies of food stores in honeybee colonies from across the globe demonstrate that colonies are routinely and chronically exposed to neonicotinoids, fipronil, and their metabolites (generally in the 1-100 ppb range), mixed with other pesticides some of which are known to act synergistically with neonicotinoids. Other nontarget organisms, particularly those inhabiting soils, aquatic habitats, or herbivorous insects feeding on noncrop plants in farmland, will also inevitably receive exposure, although data are generally lacking for these groups. We summarize the current state of knowledge regarding the environmental fate of these compounds by outlining what is known about the chemical properties of these compounds, and placing these properties in the context of modern agricultural practices.  KEYWORDS:  MeSH Chemical: Insecticides| Nicotinic Agonists| Pyrazoles| Soil| Soil Pollutants| Water Pollutants, Chemical| fipronil MeSH: | Agriculture| Animals| Insecta/drug effects| Insecticides/majr/chemistry/metabolism/toxicity| Nicotinic Agonists/majr/chemistry/metabolism/toxicity| Plants/metabolism| Pyrazoles/majr/chemistry/metabolism/toxicity| Soil/chemistry| Soil Pollutants/majr/chemistry/metabolism/toxicity| Water Pollutants, Chemical/majr/chemistry/metabolism/toxicity</t>
  </si>
  <si>
    <t>Risks of large-scale use of systemic insecticides to ecosystem functioning and services.    ABSTRACT:  Large-scale use of the persistent and potent neonicotinoid and fipronil insecticides has raised concerns about risks to ecosystem functions provided by a wide range of species and environments affected by these insecticides. The concept of ecosystem services is widely used in decision making in the context of valuing the service potentials, benefits, and use values that well-functioning ecosystems provide to humans and the biosphere and, as an endpoint (value to be protected), in ecological risk assessment of chemicals. Neonicotinoid insecticides are frequently detected in soil and water and are also found in air, as dust particles during sowing of crops and aerosols during spraying. These environmental media provide essential resources to support biodiversity, but are known to be threatened by long-term or repeated contamination by neonicotinoids and fipronil. We review the state of knowledge regarding the potential impacts of these insecticides on ecosystem functioning and services provided by terrestrial and aquatic ecosystems including soil and freshwater functions, fisheries, biological pest control, and pollination services. Empirical studies examining the specific impacts of neonicotinoids and fipronil to ecosystem services have focused largely on the negative impacts to beneficial insect species (honeybees) and the impact on pollination service of food crops. However, here we document broader evidence of the effects on ecosystem functions regulating soil and water quality, pest control, pollination, ecosystem resilience, and community diversity. In particular, microbes, invertebrates, and fish play critical roles as decomposers, pollinators, consumers, and predators, which collectively maintain healthy communities and ecosystem integrity. Several examples in this review demonstrate evidence of the negative impacts of systemic insecticides on decomposition, nutrient cycling, soil respiration, and invertebrate populations valued by humans. Invertebrates, particularly earthworms that are important for soil processes, wild and domestic insect pollinators which are important for plant and crop production, and several freshwater taxa which are involved in aquatic nutrient cycling, were all found to be highly susceptible to lethal and sublethal effects of neonicotinoids and/or fipronil at environmentally relevant concentrations. By contrast, most microbes and fish do not appear to be as sensitive under normal exposure scenarios, though the effects on fish may be important in certain realms such as combined fish-rice farming systems and through food chain effects. We highlight the economic and cultural concerns around agriculture and aquaculture production and the role these insecticides may have in threatening food security. Overall, we recommend improved sustainable agricultural practices that restrict systemic insecticide use to maintain and support several ecosystem services that humans fundamentally depend on.  KEYWORDS:  MeSH Chemical: Environmental Pollutants| Insecticides MeSH: | Animals| Aquaculture| Biodiversity| Crops, Agricultural/physiology| Ecosystem| Environmental Pollutants/majr/toxicity| Humans| Insecticides/majr/toxicity| Pollination| Risk Assessment</t>
  </si>
  <si>
    <t>Prenatal exposure to a low fipronil dose disturbs maternal behavior and reflex development in rats.    ABSTRACT:  Fipronil (FPN) is a phenylpyrazole insecticide used in veterinary services and agriculture, and it is of considerable concern to public health. It inhibits the chloride channels associated with gamma-amino butyric acid (GABA) receptors in mammals and also inhibits the chloride channels associated with GABA and glutamate (Glu) receptors in insects. In this study, a commercial product containing fipronil was orally administered to pregnant Wistar rats at dose levels of 0.1, 1.0, or 10.0mg/kg/day from the sixth to twentieth day of gestation (n=10 pregnant rats/group). Its toxicity was evaluated based on maternal toxicity, reproductive quality, maternal behavior, and offspring physical as well as reflex development. All parameters observed in the observed offspring were assigned to one ink-marked couple in each litter (n=20 animals/group - 10 males and 10 females). The offspring couple represented the litter. Slight maternal toxicity presented during the second week of gestation for each fipronil dose and during the third gestational week at the highest dose due to lower chow intake. However, no effects were observed for gestational weight gain or gestation time, and the reproductive quality was not impaired, which suggests no adverse maternal effects from the doses during pregnancy. Moreover, the lowest fipronil dose compromised the active and reflexive maternal responses, but the highest dose induced a stereotyped active response without interfering in the reflexive reaction. For offspring development, no differences in physical growth parameters were observed between the groups. However, considering reflex development, our results showed that negative geotaxis reflex development was delayed in the offspring at the lowest fipronil dose, and palmar grasp was lost earlier at the lowest and intermediate fipronil doses. These results suggest that the alterations observed herein may be due to either the GABAergic system or endocrine disruption, considering that fipronil also acts as an endocrine disruptor. Copyright © 2014 Elsevier Inc. All rights reserved.  KEYWORDS:  MeSH Chemical: Insecticides| Pyrazoles| fipronil MeSH: | Animals| Female| Growth/drug effects| Insecticides/majr/administration &amp; dosage/toxicity| Male| Maternal Behavior/majr/drug effects| Pregnancy| Prenatal Exposure Delayed Effects/majr| Pyrazoles/majr/administration &amp; dosage/toxicity| Rats| Rats, Wistar| Reflex/majr/drug effects Other:Developmental toxicity|GABA|Phenylpyrazole insecticide|Spatial brain formation</t>
  </si>
  <si>
    <t>Determination of pyrazole and pyrrole pesticides in environmental water samples by solid-phase extraction using multi-walled carbon nanotubes as adsorbent coupled with high-performance liquid chromatography.    ABSTRACT:  A solid-phase extraction (SPE) method using multi-walled carbon nanotubes as adsorbent coupled with high-performance liquid chromatography was developed for the determination of four pyrazole and pyrrole pesticides (fenpyroximate, chlorfenapyr, fipronil and flusilazole) in environmental water samples. Several parameters, such as extraction adsorbent, elution solvent and volume and sample loading flow rate were optimized to obtain high SPE recoveries and extraction efficiency. The calibration curves for the pesticides extracted were linear in the range of 0.05-10 μg L(-1) for chlorfenapyr and fenpyroximate and 0.05-20 μg L(-1) for fipronil and flusilazole, with the correlation coefficients (r(2)) between 0.9966 and 0.9990. The method gave good precisions (relative standard deviation %) from 2.9 to 10.1% for real spiked samples from reservoir water and seawater; method recoveries ranged 92.2-105.9 and 98.5-103.9% for real spiked samples from reservoir water and seawater, respectively. Limits of detection (S/N = 3) for the method were determined to be 8-19 ng L(-1). The optimized method was successfully applied to the determination of four pesticides of pyrazoles and pyrroles in real environmental water samples. © The Author 2014. Published by Oxford University Press. All rights reserved. For Permissions, please email: journals.permissions@oup.com.  KEYWORDS:  MeSH Chemical: Drinking Water| Nanotubes, Carbon| Pesticides| Pyrazoles| Pyrroles| Water Pollutants, Chemical| pyrazole MeSH: | Chromatography, High Pressure Liquid/majr/methods| Drinking Water/chemistry| Limit of Detection| Linear Models| Nanotubes, Carbon/chemistry| Pesticides/majr/analysis/chemistry/isolation &amp; purification| Pyrazoles/majr/analysis/chemistry/isolation &amp; purification| Pyrroles/majr/analysis/chemistry/isolation &amp; purification| Reproducibility of Results| Solid Phase Extraction/majr/methods| Water Pollutants, Chemical/majr/analysis</t>
  </si>
  <si>
    <t>A review of the direct and indirect effects of neonicotinoids and fipronil on vertebrate wildlife.    ABSTRACT:  Concerns over the role of pesticides affecting vertebrate wildlife populations have recently focussed on systemic products which exert broad-spectrum toxicity. Given that the neonicotinoids have become the fastest-growing class of insecticides globally, we review here 150 studies of their direct (toxic) and indirect (e.g. food chain) effects on vertebrate wildlife--mammals, birds, fish, amphibians and reptiles. We focus on two neonicotinoids, imidacloprid and clothianidin, and a third insecticide, fipronil, which also acts in the same systemic manner. Imidacloprid and fipronil were found to be toxic to many birds and most fish, respectively. All three insecticides exert sub-lethal effects, ranging from genotoxic and cytotoxic effects, and impaired immune function, to reduced growth and reproductive success, often at concentrations well below those associated with mortality. Use of imidacloprid and clothianidin as seed treatments on some crops poses risks to small birds, and ingestion of even a few treated seeds could cause mortality or reproductive impairment to sensitive bird species. In contrast, environmental concentrations of imidacloprid and clothianidin appear to be at levels below those which will cause mortality to freshwater vertebrates, although sub-lethal effects may occur. Some recorded environmental concentrations of fipronil, however, may be sufficiently high to harm fish. Indirect effects are rarely considered in risk assessment processes and there is a paucity of data, despite the potential to exert population-level effects. Our research revealed two field case studies of indirect effects. In one, reductions in invertebrate prey from both imidacloprid and fipronil uses led to impaired growth in a fish species, and in another, reductions in populations in two lizard species were linked to effects of fipronil on termite prey. Evidence presented here suggests that the systemic insecticides, neonicotinoids and fipronil, are capable of exerting direct and indirect effects on terrestrial and aquatic vertebrate wildlife, thus warranting further review of their environmental safety.  KEYWORDS:  MeSH Chemical: Environmental Pollutants| Imidazoles| Insecticides| Neonicotinoids| Nicotinic Agonists| Nitro Compounds| Pyrazoles| imidacloprid| fipronil MeSH: | Animals| Environmental Pollutants/majr/toxicity| Food Chain| Imidazoles/majr/toxicity| Insecticides/majr/toxicity| Neonicotinoids| Nicotinic Agonists/majr/toxicity| Nitro Compounds/majr/toxicity| Pyrazoles/majr/toxicity| Reproduction/drug effects| Risk Assessment</t>
  </si>
  <si>
    <t>Enantioselective bioaccumulation and toxic effects of fipronil in the earthworm Eisenia foetida following soil exposure.    ABSTRACT:  Enantiomers of chiral pesticides often have different bioactivity, toxicity and environmental behaviours. Fipronil has been used in racemate for agricultural purposes against soil insects, leading to increased inputs into soil environments and complex biota exposures. To understand the potential risk associated with fipronil enantiomer exposure, subchronic toxicity and bioaccumulation tests with earthworms (Eisenia foetida) in fipronil-spiked soils were evaluated under laboratory conditions.Enantioselective toxicity was measured in E. foetida biomass after 28 days of subchronic exposure, with increased toxicity from racemate and S-fipronil compared with R-fipronil. The bioaccumulation of fipronil in earthworm tissues was also enantioselective, with a preferential accumulation of S-fipronil, and the enantiomer fraction was approximately 0.56-0.60. During soil exposure, fipronil was transformed primarily into fipronil sulfide, sulfone and amide, and E. foetida rapidly accumulated fipronil and sulfone.This work demonstrates the enantioselective subchronic toxicity and bioaccumulation of enantiomers of fipronil in E. foetida. The earthworm tissues exhibited a relative enrichment of fipronil and fipronil sulfone, and these compounds might biomagnify (with a biota-to-soil accumulation factor of ≥1.0 kgOCkglip-1), allowing for the possible trophic transfer and/or bioaccumulation of all these chemicals if earthworms were consumed by predator organisms.© 2014 Society of Chemical Industry.  KEYWORDS:  MeSH Chemical: Insecticides| Pyrazoles| Soil Pollutants| fipronil sulfone| fipronil MeSH: | Animals| Biological Availability| Insecticides/pharmacokinetics/toxicity| Oligochaeta/majr/drug effects| Pyrazoles/majr/pharmacokinetics/toxicity| Soil Pollutants/majr/pharmacokinetics/toxicity| Stereoisomerism Other:bioaccumulation|chiral pesticides|enantioselective|fipronil|soil|toxicity</t>
  </si>
  <si>
    <t>Susceptibility of cat fleas (Siphonaptera: Pulicidae) to fipronil and imidacloprid using adult and larval bioassays.    ABSTRACT:  The monitoring of the susceptibility offleas to insecticides has typically been conducted by exposing adults on treated surfaces. Other methods such as topical applications of insecticides to adults and larval bioassays on treated rearing media have been developed. Unfortunately, baseline responses of susceptible strains of cat flea, Ctenocephalides felis (Bouchè), except for imidacloprid, have not been determined for all on-animal therapies and new classes of chemistry now being used. However, the relationship between adult and larval bioassays of fleas has not been previously investigated. The adult and larval bioassays of fipronil and imidacloprid were compared for both field-collected isolates and laboratory strains. Adult topical bioassays of fipronil and imidacloprid to laboratory strains and field-collected isolates demonstrated that LD50s of fipronil and imidacloprid ranged from 0.11 to 0.40 nanograms per flea and 0.02 to 0.18 nanograms per flea, respectively. Resistance ratios for fipronil and imidacloprid ranged from 0.11 to 2.21. Based on the larval bioassay published for imidacloprid, a larval bioassay was established for fipronil and reported in this article. The ranges of the LC50s of fipronil and imidacloprid in the larval rearing media were 0.07-0.16 and 0.11-0.21 ppm, respectively. Resistance ratios for adult and larval bioassays ranged from 0.11 to 2.2 and 0.58 to 1.75, respectively. Both adult and larval bioassays provided similar patterns for fipronil and imidacloprid. Although the adult bioassays permitted a more precise dosage applied, the larval bioassays allowed for testing isolates without the need to maintain on synthetic or natural hosts.  KEYWORDS:  MeSH Chemical: Imidazoles| Insecticides| Neonicotinoids| Nitro Compounds| Pyrazoles| imidacloprid| fipronil MeSH: | Animals| Ctenocephalides/majr/drug effects/genetics/growth &amp; development/physiology| Female| Imidazoles/majr/pharmacology| Insecticide Resistance/majr| Insecticides/majr/pharmacology| Larva/drug effects/genetics/physiology| Lethal Dose 50| Male| Neonicotinoids| Nitro Compounds/majr/pharmacology| Pyrazoles/majr/pharmacology</t>
  </si>
  <si>
    <t>Actions of agonists, fipronil and ivermectin on the predominant in vivo splice and edit variant (RDLbd, I/V) of the Drosophila GABA receptor expressed in Xenopus laevis oocytes.    ABSTRACT:  Ionotropic GABA receptors are the targets for several classes of insecticides. One of the most widely-studied insect GABA receptors is RDL (resistance to dieldrin), originally isolated from Drosophila melanogaster. RDL undergoes alternative splicing and RNA editing, which influence the potency of GABA. Most work has focussed on minority isoforms. Here, we report the first characterisation of the predominant native splice variant and RNA edit, combining functional characterisation with molecular modelling of the agonist-binding region. The relative order of agonist potency is GABA&gt; muscimol&gt; TACA&gt; β-alanine. The I/V edit does not alter the potency of GABA compared to RDLbd. Docking calculations suggest that these agonists bind and activate RDLbdI/V through a similar binding mode. TACA and β-alanine are predicted to bind with lower affinity than GABA, potentially explaining their lower potency, whereas the lower potency of muscimol and isoguvacine cannot be explained structurally from the docking calculations. The A301S (resistance to dieldrin) mutation reduced the potency of antagonists picrotoxin, fipronil and pyrafluprole but the I/V edit had no measurable effect. Ivermectin suppressed responses to GABA of RDLbdI/V, RDLbd and RDLbdI/VA301S. The dieldrin resistant variant also showed reduced sensitivity to Ivermectin. This study of a highly abundant insect GABA receptor isoform will help the design of new insecticides.  KEYWORDS:  MeSH Chemical: DNA Primers| Drosophila Proteins| GABA Agonists| Protein Isoforms| Pyrazoles| Rdl protein, Drosophila| Receptors, GABA-A| Ivermectin| fipronil MeSH: | Animals| DNA Primers/genetics| Drosophila/majr/genetics/metabolism| Drosophila Proteins/majr/chemistry/metabolism| GABA Agonists/majr/chemistry/pharmacology| Ivermectin/majr/chemistry/pharmacology| Models, Molecular/majr| Molecular Docking Simulation| Oocytes/metabolism| Patch-Clamp Techniques| Protein Binding| Protein Isoforms/metabolism| Pyrazoles/majr/chemistry/pharmacology| Receptors, GABA-A/majr/chemistry/metabolism| Xenopus laevis</t>
  </si>
  <si>
    <t>The effect of temperature on the toxicity of insecticides against Musca domestica L.: implications for the effective management of diarrhea.    ABSTRACT:  Diarrhea is an important cause of childhood mortality in developing countries like Pakistan because of unhygienic conditions, lack of awareness, and unwise use of preventive measures. Mechanical transmission of diarrheal pathogens by house flies, Musca domestica, is believed as the most effective route of diarrhea transmission. Although the use of insecticides as a preventive measure is common worldwide for the management of house flies, success of the measure could be compromised by the prevailing environmental temperature since it significantly affects toxicity of insecticides and thus their efficacy. Peaks of the house fly density and diarrheal cases are usually coincided and season specific, yet little is known about the season specific use of insecticides.To determine the temperature-toxicity relationship in house flies, the effect of post-bioassays temperature (range, 20-34°C) on the toxicity of seven insecticides from organophosphate (chlorpyrifos, profenofos), pyrethroid (cypermethrin, deltamethrin) and new chemical (emamectin benzoate, fipronil, spinosad) classes was evaluated by using a feeding bioassay method. From 20-34°C, the toxicities of chlorpyrifos, profenofos, emamectin and fipronil increased 2.10, 2.93, 2.40 and 3.82 fold (i.e. positive temperature coefficient), respectively. Whereas, the toxicities of cypermethrin, deltamethrin and spinosad decreased 2.21, 2.42 and 3.16 fold (i.e. negative temperature coefficient), respectively.These findings suggest that for the reduction in diarrheal cases, house flies should be controlled with insecticides according to the prevailing environmental temperature. Insecticides with a positive temperature coefficient may serve as potential candidates in controlling house flies and diarrhea epidemics in hot season and vice versa.  KEYWORDS:  MeSH Chemical: Insecticides MeSH: | Animals| Diarrhea/majr/prevention &amp; control| Houseflies/majr/drug effects| Insecticides/majr/pharmacology| Temperature/majr</t>
  </si>
  <si>
    <t>Investigation of insecticide leaching from potted nursery stock and aquatic health benefits of bioretention cells receiving nursery runoff.    ABSTRACT:  Tree nurseries and greenhouses within the USDA red imported fire ant (RIFA) quarantine zone are required to incorporate insecticides into their potting media to prevent artificial spread of RIFA. Bifenthrin and fipronil are two common insecticides that are incorporated into potting media. During irrigation and stormwater events, there is potential for insecticides to leach from nursery pots, resulting in the contamination of nearby surface waters. In this study, occurrences of insecticides in simulated nursery runoff were compared with two irrigation strategies and two types of containers in single pot leaching and field runoff simulations. In addition, toxicity of pot leachate to the aquatic invertebrate, Hyallela azteca, was measured, and removal efficiencies of insecticides from bioretention cell media were evaluated. Overhead irrigation resulted in significantly higher concentrations than drip irrigation, and RootMaker pots allowed more leaching as compared to standard slick-wall pots. However, in all tests, the average concentration of bifenthrin during 15 days of leaching in both pot and field simulations was greater than 200 ng/L; more than 100-fold greater than the LC₅₀ for H. azteca. Toxicity studies confirmed this level of toxicity. Higher amounts of compost, 20 and 40%, in bioretention cell media resulted in greater percent reduction of both bifenthrin and fipronil. This study determined that management techniques may be able to limit the amount of insecticide that leaches from pots and runs off to receiving water bodies. Specifically, the selection of appropriate pot types, irrigation strategies, or filtering runoff through bioretention cells may reduce contamination loads. Thus, further best management strategies such as the use of bioretention cells are needed in nursery and greenhouse facilities to prevent surface water runoff from transporting toxic insecticides.  KEYWORDS:  MeSH Chemical: Insecticides| Pyrazoles| Pyrethrins| Soil| Water Pollutants, Chemical| bifenthrin| fipronil MeSH: | Agricultural Irrigation/majr/methods| Agriculture/instrumentation/methods| Animals| Crustacea/drug effects| Insecticides/majr/analysis/toxicity| Pyrazoles/analysis/toxicity| Pyrethrins/analysis/toxicity| Soil| Toxicity Tests, Acute| Water Pollutants, Chemical/analysis/toxicity| Water Pollution/majr/prevention &amp; control</t>
  </si>
  <si>
    <t>Efficacy of a novel topical combination of fipronil, (S)-methoprene, eprinomectin and praziquantel against larval and adult stages of the cat lungworm, Aelurostrongylus abstrusus.    ABSTRACT:  The efficacy of a novel topical combination of fipronil 8.3% w/v, (S)-methoprene 10% w/v, eprinomectin 0.4% w/v, and praziquantel 8.3% w/v (BROADLINE(®),(1) Merial) against larval and adult Aelurostrongylus abstrusus lungworms in cats was assessed in a controlled laboratory study. The study included 48 purpose-bred, short-haired cats which were each inoculated with 225 infective A. abstrusus larvae. The cats were formed into eight blocks based on pre-treatment bodyweight and were then, within each block, randomly allocated to one of six treatment groups: untreated control; treated once when A. abstrusus were expected to be third-stage larvae (4 days post inoculation [dpi]), fourth-stage larvae (7 dpi), immature adults (14 dpi) or adult nematodes (32 dpi), or treated twice, once when A. abstrusus were expected to be third-stage larval and once again when A. abstrusus were expected to be adult nematodes (4 dpi+32 dpi). Cats weighing ≥ 0.8-2.5 kg received one 0.3 mL applicator and cats weighing &gt;2.5-7.5 kg received one 0.9 mL applicator. For determination of the efficacy of treatments, lungworm larval counts were established on faecal samples collected from all cats 32, 39, 46, 53 and 60 dpi. At each occasion from 46 dpi on, cats treated with fipronil, (S)-methoprene, eprinomectin and praziquantel had significantly lower A. abstrusus larval counts than the untreated controls with percentage reductions of 91.6% (cats treated 14dpi; P=0.012), ≥ 98.9% (cats treated either 4 dpi, 7 dpi or 32 dpi; P&lt;0.001) or &gt;99.9% (cats treated 4 dpi+32 dpi; P&lt;0.001) at 60 dpi. Thus, the novel topical combination of fipronil, (S)-methoprene, eprinomectin and praziquantel was highly effective in the prevention and treatment of A. abstrusus lungworm infection in cats.Copyright © 2014 The Authors. Published by Elsevier B.V. All rights reserved.  KEYWORDS:  MeSH Chemical: Antiparasitic Agents| Drug Combinations| Pyrazoles| Praziquantel| Ivermectin| eprinomectin| Methoprene| fipronil MeSH: | Animals| Antiparasitic Agents/majr/administration &amp; dosage/pharmacology| Cat Diseases/majr/drug therapy| Cats| Drug Combinations| Female| Ivermectin/administration &amp; dosage/analogs &amp; derivatives/pharmacology| Life Cycle Stages/drug effects| Male| Metastrongyloidea/drug effects| Methoprene/administration &amp; dosage/pharmacology| Praziquantel/administration &amp; dosage/pharmacology| Pyrazoles/administration &amp; dosage/pharmacology| Random Allocation| Strongylida Infections/majr/drug therapy/veterinary| Treatment Outcome Other:(S)-methoprene|Aelurostrongylus abstrusus|Cat|Efficacy|Eprinomectin|Fipronil|Lungworm|Praziquantel|Topical</t>
  </si>
  <si>
    <t>Efficacy of a novel topical combination of fipronil, (S)-methoprene, eprinomectin, and praziquantel, against the ticks, Ixodes ricinus and Ixodes scapularis, on cats.    ABSTRACT:  Five controlled, blinded and randomized studies were conducted to examine the efficacy of a single topical application of a combination of fipronil, (S)-methoprene, eprinomectin, and praziquantel (BROADLINE(®), Merial) against induced infestations with Ixodes ticks on cats. Three studies investigated the efficacy against Ixodes ricinus and two against Ixodes scapularis. In each study, purpose-bred cats were assigned at random to an untreated group or to a treated group. For the studies using I. ricinus, cats were infested with 50 female ticks and a similar number of males 2 days before treatment application, and weekly afterwards on between four and six occasions. For the studies using I. scapularis, cats were infested with a total of 50 ticks (approximately 25 females and 25 males) according to the same schedule as for I. ricinus. Tick counts for the evaluation of efficacy were performed 48 h after treatment and 48 h after the subsequent weekly infestations. Weekly attachment rates to untreated cats of at least 29% for I. ricinus and at least 30% for I. scapularis demonstrated consistently that the ticks were vigorous and that the attachment rates were adequate for efficacy evaluation. In the I. ricinus studies, an efficacy of at least 93% was demonstrated for up to 37 days after the treatment. In the I. scapularis studies, the efficacy level was at least 95% 30 days after the treatment. The product was well tolerated and caused no adverse reaction.Copyright © 2014 The Authors. Published by Elsevier B.V. All rights reserved.  KEYWORDS:  MeSH Chemical: Antiparasitic Agents| Drug Combinations| Pyrazoles| Praziquantel| Ivermectin| eprinomectin| Methoprene| fipronil MeSH: | Animals| Antiparasitic Agents/majr/administration &amp; dosage/pharmacology| Cat Diseases/majr/drug therapy| Cats| Drug Combinations| Female| Ivermectin/administration &amp; dosage/analogs &amp; derivatives/pharmacology| Ixodes/drug effects| Male| Methoprene/administration &amp; dosage/pharmacology| Praziquantel/administration &amp; dosage/pharmacology| Pyrazoles/administration &amp; dosage/pharmacology| Random Allocation| Tick Infestations/majr/drug therapy/veterinary| Treatment Outcome Other:Cat|Efficacy|Fipronil/(S)-methoprene/eprinomectin/praziquantel|Ixodes ricinus|Ixodes scapularis|Topical</t>
  </si>
  <si>
    <t>Efficacy of a novel topical combination of fipronil, (S)-methoprene, eprinomectin and praziquantel against adult and immature stages of the cat flea (Ctenocephalides felis) on cats.    ABSTRACT:  The efficacy of a novel topical combination of fipronil 8.3% (w/v), (S)-methoprene 10% (w/v), eprinomectin 0.4% (w/v) and praziquantel 8.3% (w/v) (BROADLINE(®)) was tested against adult and immature stages of Ctenocephalides felis fleas in six studies. For that purpose, fleas from different colonies from North America, Germany and South Africa were used to induce infestations in cats under laboratory conditions. In each study, between 12 and 16 cats were allocated randomly to 2 groups. Cats in Group 1 were not treated and served as controls. Cats in Group 2 were treated once on Day 0 with BROADLINE(®) at the minimum recommended dosage of 0.12 mg/kg body weight. In 4 studies, all animals were infested experimentally with unfed C. felis (100 ± 5) on Days 2 (or 1), 7, 14, 21, 28 and 35. Live fleas were counted 24h post-treatment or infestation. In 2 additional studies, animals were infested at the same frequency with gravid C. felis fleas (100 ± 5) that were fed previously on an untreated host. Forty-eight hours post-infestation, flea eggs were collected, counted and incubated for the evaluation of the reduction of emergence of adults. The combined curative efficacy against adult fleas at 24h after treatment was 94.3% and the combined preventive efficacy values remained greater than 95.9% at 24h after 5 subsequent weekly infestations. In addition, the product reduced dramatically the emergence of new adult fleas for at least 5 weeks (&gt;98.1% for one month and 93.2% at 5 weeks after infestation), demonstrating its efficiency in preventing environmental contamination by immature stages.Copyright © 2014 The Authors. Published by Elsevier B.V. All rights reserved.  KEYWORDS:  MeSH Chemical: Antiparasitic Agents| Drug Combinations| Pyrazoles| Praziquantel| Ivermectin| eprinomectin| Methoprene| fipronil MeSH: | Animals| Antiparasitic Agents/majr/administration &amp; dosage/pharmacology| Cat Diseases/majr/drug therapy/prevention &amp; control| Cats| Ctenocephalides/drug effects| Drug Combinations| Flea Infestations/majr/drug therapy/prevention &amp; control/veterinary| Ivermectin/administration &amp; dosage/analogs &amp; derivatives/pharmacology| Life Cycle Stages/drug effects| Methoprene/administration &amp; dosage/pharmacology| Praziquantel/administration &amp; dosage/pharmacology| Pyrazoles/administration &amp; dosage/pharmacology| Random Allocation| Treatment Outcome Other:(S)-methoprene|Ctenocephalides felis|Efficacy|Eggs|Eprinomectin|Fipronil|Fleas|Topical</t>
  </si>
  <si>
    <t>Efficacy of a single dose of a novel topical combination product containing eprinomectin to prevent heartworm infection in cats.    ABSTRACT:  Cats may be infected by heartworm, Dirofilaria immitis, through mosquito bites. They can develop severe heartworm disease when infective D. immitis larvae migrate and develop into adults in the pulmonary vasculature or other tissues. As there is no curative treatment for feline heartworm infection, the monthly administration of preventative treatment is recommended in endemic areas. Three controlled, blinded laboratory studies were conducted to evaluate the preventative efficacy of BROADLINE(®), a novel combination of fipronil, (S)-methoprene, eprinomectin, and praziquantel against D. immitis in cats. In each study, 28 cats were inoculated with approximately 100 (studies 1 and 2) or 40 (study 3) infective third stage D. immitis larvae by subcutaneous injection, thirty days prior to treatment. The larvae were from recent field isolates from naturally infected dogs from three distinct geographic areas (two in the USA and one in Europe). In each study, the cats were allocated randomly to two study groups of 14 cats each. The control group remained untreated. On Day 0, each cat in the treated group received one topical application of the novel topical formulation, delivering the minimum intended dose of 0.5mg of eprinomectin per kilogram of body weight. At 6 months after infection, all cats were humanely euthanized and examined for adult D. immitis. Across all three studies, 28 (68%) of the 41 untreated cats harbored one or more heartworms, while 100% of the 42 treated cats remained free of heartworm infection, demonstrating the 100% preventive efficacy of BROADLINE(®) against D. immitis in cats. The treatment was well tolerated and no health abnormality was observed in any treated cat.Copyright © 2014 The Authors. Published by Elsevier B.V. All rights reserved.  KEYWORDS:  MeSH Chemical: Antiparasitic Agents| Drug Combinations| Pyrazoles| Praziquantel| Ivermectin| eprinomectin| Methoprene| fipronil MeSH: | Animals| Antiparasitic Agents/majr/administration &amp; dosage| Cat Diseases/majr/drug therapy| Cats| Dirofilaria immitis/physiology| Dirofilariasis/majr/prevention &amp; control| Drug Combinations| Female| Ivermectin/administration &amp; dosage/analogs &amp; derivatives| Male| Methoprene/administration &amp; dosage| Praziquantel/administration &amp; dosage| Pyrazoles/administration &amp; dosage| Random Allocation| Treatment Outcome Other:Cat|Dirofilaria immitis|Eprinomectin|Heartworm</t>
  </si>
  <si>
    <t>Efficacy of a novel topical combination of fipronil, (S)-methoprene, eprinomectin and praziquantel against feline urinary bladder worm (Capillaria plica) infection.    ABSTRACT:  Infection with urinary capillarid bladder worms has been observed in cats worldwide. Although considered as generally causing no or little harm, infection with urinary capillarids may be associated with clinical disease which requires an appropriate treatment including the use of anthelmintics. Therefore, the efficacy of a novel topical combination formulation of fipronil 8.3% (w/v), (S)-methoprene 10% (w/v), eprinomectin 0.4% (w/v), and praziquantel 8.3% (w/v) (BROADLINE(®), Merial) was evaluated against urinary capillarids in naturally infected cats. Sixteen European Short Hair cats (5 male, 11 female) with capillarid eggs in their urine pre-treatment were included in the study. At the time of treatment, the cats were approximately ten months to eight years old and weighed 1.6-3.6 kg. Cats were ranked based on decreasing bodyweight and then randomly allocated within replicates of two animals to one of the treatment groups. Each cat in the treated group received one topical application of the combination product at the minimum therapeutic dose of 0.12 mL/kg body weight delivering 10mg fipronil+12 mg (S)-methoprene+0.5mg eprinomectin+10mg praziquantel per kilogram of body weight while the cats allocated to the control group remained untreated. For parasite recovery, identification and count, cats were euthanized humanely 14 days after treatment. All untreated cats harboured Capillaria plica in their urinary bladders (range 4-12), while no capillarids were recovered from the eight treated cats. Thus, the efficacy of the novel topical combination against C. plica was 100%. All cats accepted the treatment well based on post-treatment observations and daily observations thereafter. No adverse events or other health problems were observed during the study.Copyright © 2014 The Authors. Published by Elsevier B.V. All rights reserved.  KEYWORDS:  MeSH Chemical: Antiparasitic Agents| Drug Combinations| Pyrazoles| Praziquantel| Ivermectin| eprinomectin| Methoprene| fipronil MeSH: | Animals| Antiparasitic Agents/majr/administration &amp; dosage| Capillaria/physiology| Cat Diseases/majr/drug therapy| Cats| Drug Combinations| Enoplida Infections/majr/drug therapy/veterinary| Female| Ivermectin/administration &amp; dosage/analogs &amp; derivatives| Male| Methoprene/administration &amp; dosage| Praziquantel/administration &amp; dosage| Pyrazoles/administration &amp; dosage| Random Allocation| Treatment Outcome Other:Capillaria plica|Cat|Eprinomectin|Nematodes|Praziquantel</t>
  </si>
  <si>
    <t>Efficacy of a novel topical combination of fipronil, (S)-methoprene, eprinomectin and praziquantel against experimental infections of Toxascaris leonina in cats.    ABSTRACT:  The efficacy of a novel topical fipronil, (S)-methoprene, eprinomectin and praziquantel combination product (BROADLINE(®), Merial) was evaluated against adult Toxascaris leonina ascarids in experimentally infected cats in two controlled studies under an identical protocol. For each study, 30 nematode-naive, purpose-bred European Short Hair cats were inoculated orally with approximately 300 larvated T. leonina eggs. Twenty-two and 24 cats, respectively, that were shown to be positive for Toxascaris eggs by pre-treatment faecal examination were subsequently included in the two studies. In each study, the animals were allocated randomly to an untreated (control) group or to a treatment group. The treatment was a novel topical combination: fipronil (8.3%, w/v), (S)-methoprene (10%, w/v), eprinomectin (0.4% w/v) and praziquantel (8.3% w/v). Treatment was applied on Day 0 at 0.12 mL/kg bodyweight. For parasite recovery and count, cats were euthanized humanely seven days after treatment and necropsied. All untreated cats harboured adult T. leonina (range, 1-31 nematodes). The treatment provided a high level of efficacy against adult T. leonina in both studies (95.8% and 98.1%, respectively p&lt;0.001). All cats accepted the treatment well based on hourly post-treatment observations for 4h and daily observations thereafter. No adverse experiences or other health problems were observed throughout the studies. Thus the data indicate that this novel combination product will provide a safe and effective treatment against T. leonina in cats.Copyright © 2014 The Authors. Published by Elsevier B.V. All rights reserved.  KEYWORDS:  MeSH Chemical: Antiparasitic Agents| Drug Combinations| Pyrazoles| Praziquantel| Ivermectin| eprinomectin| Methoprene| fipronil MeSH: | Animals| Antiparasitic Agents/majr/administration &amp; dosage| Cat Diseases/majr/drug therapy| Cats| Drug Combinations| Female| Ivermectin/administration &amp; dosage/analogs &amp; derivatives| Male| Methoprene/administration &amp; dosage| Praziquantel/administration &amp; dosage| Pyrazoles/administration &amp; dosage| Random Allocation| Toxascariasis/majr/drug therapy/veterinary| Toxascaris/physiology| Treatment Outcome Other:Cat|Efficacy|Eprinomectin|Nematodes|Praziquantel|Toxascaris leonina</t>
  </si>
  <si>
    <t>Efficacy of a novel topical combination of fipronil, (S)-methoprene, eprinomectin and praziquantel against adult and larval stages of Toxocara cati in cats.    ABSTRACT:  The efficacy of a novel topical combination of fipronil 8.3% (w/v), (S)-methoprene 10% (w/v), eprinomectin 0.4% (w/v), and praziquantel 8.3% (w/v) (BROADLINE(®), Merial) was evaluated against adult and larval Toxocara cati in four controlled studies. All studies included experimentally infected, purpose-bred, short-haired cats. In two studies, 22 or 20 cats harbouring patent infections as confirmed by pre-treatment faecal examination, were included. Within each study, cats were allocated to one of two groups: control or treated. In a further two studies, 30 cats were included in each; cats were allocated to one of three groups: control, treated when T. cati were expected to be either migrating third and/or fourth-stage larvae, or treated when T. cati were expected to be fourth-stage larvae. Cats allocated to the treated groups received a single topical application of the combination product at 0.12 mL/kg bodyweight (10mg fipronil+12 mg (S)-methoprene+0.5mg eprinomectin+10mg praziquantel per kg). For parasite recovery and count, cats were euthanized humanely at different intervals after treatment. In the studies targeting adult T. cati, ascarids were recovered from all controls (range 1-150) while only two worms were isolated from one treated cat. Thus, the efficacy of the novel combination was 99.4% and 100% against adult T. cati. For studies targeting larval T. cati, up to 21 worms were recovered from each of seven or eight of the control cats per study. No T. cati were recovered from the treated cats in two studies, corresponding to 100% efficacy against both, migrating third and/or fourth-stage larvae and luminal fourth-stage larvae. All cats accepted the treatment well and no adverse experiences or other health problems were observed throughout the studies.Copyright © 2014 The Authors. Published by Elsevier B.V. All rights reserved.  KEYWORDS:  MeSH Chemical: Antiparasitic Agents| Drug Combinations| Pyrazoles| Praziquantel| Ivermectin| eprinomectin| Methoprene| fipronil MeSH: | Animals| Antiparasitic Agents/majr/administration &amp; dosage| Cat Diseases/majr/drug therapy| Cats| Drug Combinations| Female| Ivermectin/administration &amp; dosage/analogs &amp; derivatives| Male| Methoprene/administration &amp; dosage| Parasite Load| Praziquantel/administration &amp; dosage| Pyrazoles/administration &amp; dosage| Random Allocation| Toxocara/physiology| Toxocariasis/majr/drug therapy| Treatment Outcome Other:Cat|Eprinomectin|Larvae|Nematodes|Topical|Toxocara cati</t>
  </si>
  <si>
    <t>Efficacy in cats of a novel topical combination of fipronil, (S)-methoprene, eprinomectin, praziquantel, against induced infestations of Echinococcus multilocularis.    ABSTRACT:  Although foxes are the main reservoir of Echinococcus multilocularis, it is recognized that dogs and cats also may become infected. In cats the infection and egg production rates are usually low. Nevertheless, cats are a potential source of transmission of E. multilocularis. Due to the high human medical significance of E. multilocularis infection, it is important in endemic areas that owned cats are dewormed regularly. This paper presents the efficacy results of a new topical formulation, Broadline(®) (Merial) tested against E. multilocularis infection in cats. Two blinded laboratory studies were conducted to evaluate this novel topical combination of fipronil, (S)-methoprene, eprinomectin, and praziquantel against E. multilocularis. In each study, purpose-bred cats were assigned randomly to two treatment groups of 10 cats each: one untreated control group and one group treated at the minimum therapeutic dose of 0.12 mL/kg bodyweight to deliver 10mg fipronil, 12 mg (S)-methoprene, 0.5mg eprinomectin and 10mg praziquantel/kg bodyweight. The cats were inoculated orally with E. multilocularis protoscolices, 22 or 23 days before treatment. Based on necropsy and intestinal worm count, 8 or 11 days after treatment, the two studies confirmed 100% efficacy of Broadline(®) against adult E. multilocularis.Copyright © 2014 The Authors. Published by Elsevier B.V. All rights reserved.  KEYWORDS:  MeSH Chemical: Antiparasitic Agents| Drug Combinations| Pyrazoles| Praziquantel| Ivermectin| eprinomectin| Methoprene| fipronil MeSH: | Animals| Antiparasitic Agents/majr/administration &amp; dosage| Cat Diseases/majr/drug therapy| Cats| Drug Combinations| Echinococcosis/majr/drug therapy/veterinary| Echinococcus multilocularis| Female| Ivermectin/administration &amp; dosage/analogs &amp; derivatives| Male| Methoprene/administration &amp; dosage| Praziquantel/administration &amp; dosage| Pyrazoles/administration &amp; dosage| Random Allocation| Treatment Outcome Other:Cat|Cestode|Echinococcus multilocularis|Efficacy|Praziquantel|Topical treatment</t>
  </si>
  <si>
    <t>Efficacy of a novel topical fipronil, (S)-methoprene, eprinomectin and praziquantel combination against naturally acquired intestinal nematode and cestode infections in cats.    ABSTRACT:  The efficacy of a novel topical combination formulation of fipronil, (S)-methoprene, eprinomectin and praziquantel against naturally acquired intestinal nematode and cestode infections in cats was evaluated in seven negative control, blinded studies. Cats were selected based on a pre-treatment faecal examination indicating a patent infection with at least hookworms (two studies), Toxocara ascarids (one study), taeniid cestodes (two studies) or Dipylidium cestodes (two studies). In each study, cats were assigned randomly to blocks of two animals each, based on decreasing pre-treatment body weight and were randomly allocated to one of two groups of six to 12 cats: untreated (control) or treated with topical fipronil (8.3%, w/v), (S)-methoprene (10%, w/v), eprinomectin (0.4%, w/v) and praziquantel (8.3%, w/v) (BROADLINE(®), Merial) at 0.12 mL/kg body weight (providing a minimum of 10mg fipronil+12 mg S-methoprene+0.5mg eprinomectin+10mg praziquantel per kg body weight). The topical treatment was administered directly on the skin in the midline of the neck in a single spot once on Day 0. For parasite recovery and count, cats were euthanized humanely and necropsied seven or ten days after treatment. A single treatment with the novel topical combination product provided 91% efficacy against Ancylostoma braziliense, ≥ 99% efficacy against Ancylostoma tubaeforme, and &gt;97% efficacy against Toxocara cati. Similarly, excellent efficacy was established against Taenia taeniaeformis, Dipylidium caninum and Diplopylidium spp. as demonstrated by &gt;97% and up to 100% reductions of cestode counts in the treated cats when compared to the untreated controls (P&lt;0.01). All cats accepted the treatment well based on health observations post-treatment and daily health observations. No adverse experiences or other health problems were observed throughout the studies. The results of this series of controlled studies demonstrated high efficacy and excellent acceptability of the novel topical combination formulation of fipronil, (S)-methoprene, eprinomectin and praziquantel against a broad range of feline intestinal nematode and cestode infections.Copyright © 2014 The Authors. Published by Elsevier B.V. All rights reserved.  KEYWORDS:  MeSH Chemical: Antiparasitic Agents| Drug Combinations| Pyrazoles| Praziquantel| Ivermectin| eprinomectin| Methoprene| fipronil MeSH: | Animals| Antiparasitic Agents/majr/administration &amp; dosage| Cat Diseases/majr/drug therapy| Cats| Cestoda| Cestode Infections/majr/drug therapy/veterinary| Drug Combinations| Female| Intestinal Diseases, Parasitic/majr/drug therapy/veterinary| Ivermectin/majr/administration &amp; dosage/analogs &amp; derivatives| Male| Methoprene/administration &amp; dosage| Nematoda| Nematode Infections/majr/drug therapy/veterinary| Praziquantel/administration &amp; dosage| Pyrazoles/administration &amp; dosage| Random Allocation| Treatment Outcome Other:Ancylostoma braziliense|Ancylostoma tubaeforme|Diplopylidium spp.|Dipylidium caninum|Taenia taeniaeformis|Toxocara cati</t>
  </si>
  <si>
    <t>Efficacy against nematode and cestode infections and safety of a novel topical fipronil, (S)-methoprene, eprinomectin and praziquantel combination product in domestic cats under field conditions in Europe.    ABSTRACT:  A novel topical combination product (BROADLINE(®), Merial) composed of fipronil, (S)-methoprene, eprinomectin and praziquantel was evaluated for safety and efficacy against nematode and cestode infections in domestic cats. The study comprised a multi-centre, positive control, blinded, field study, using a randomized block design based on order of presentation for allocation. In total 196 client-owned cats, confirmed as positive for naturally acquired infections of nematodes and/or cestodes by pre-treatment faecal examination, were studied in seven countries in Europe. Pre-treatment faecal examination revealed the presence of Toxocara, hookworm, Capillaria and/or spirurid nematode infections in 129, 73, 33 or 1 cat(s), respectively; infections with taeniid and Dipylidium cestodes were demonstrated in 39 and 17 cats, respectively. Cats were allocated randomly to one of two treatments in a ratio of 2, topical fipronil (8.3%, w/v), (S)-methoprene (10%, w/v), eprinomectin (0.4%, w/v) and praziquantel (8.3%, w/v) (BROADLINE(®), Merial; 130 cats); and 1, topical PROFENDER(®) Spot-On (Bayer; 66 cats) and treated once on Day 0. For evaluation of efficacy, two faecal samples were collected, one prior to treatment (Day -4 ± 4 days) and one at the end of the study (Day 14 ± 5 days). These were examined for fecal forms of nematode and cestode parasites. For evaluation of safety, cats were examined by a veterinarian before treatment and at the end of the study, and cat owners recorded the health status of their cats daily until the end of the study. For cats treated with Broadline(®), the efficacy was &gt;99.9%, 100%, and 99.6% for Toxocara, hookworms, and Capillaria, respectively; and the efficacy was &gt;99.9%, &gt;99.9%, and 98.5%, respectively, for the cats treated with Profender(®) (p&lt;0.001 for all nematodes and both treatments). Efficacy was 100% for both cestodes for both treatments (p&lt;0.001). No treatment related adverse experiences were observed throughout the study. For both treatments, every cat that completed the study was given a safety score of 'excellent' for both local and systemic evaluations. The topical combination product of fipronil, (S)-methoprene, eprinomectin and praziquantel was shown to have an excellent safety profile and demonstrated high levels of efficacy when administered once as topical solution to cats infected with nematodes and cestodes under field conditions.Copyright © 2014 The Authors. Published by Elsevier B.V. All rights reserved.  KEYWORDS:  MeSH Chemical: Drug Combinations| Pyrazoles| Praziquantel| Ivermectin| eprinomectin| Methoprene| fipronil MeSH: | Animals| Cat Diseases/majr/drug therapy| Cats| Cestoda| Cestode Infections/majr/drug therapy/veterinary| Drug Combinations| Europe| Female| Ivermectin/majr/administration &amp; dosage/analogs &amp; derivatives| Male| Methoprene/majr/administration &amp; dosage| Nematoda| Nematode Infections/majr/drug therapy/veterinary| Praziquantel/majr/administration &amp; dosage| Pyrazoles/majr/administration &amp; dosage| Treatment Outcome Other:(S)-methoprene|Cestodes|Eprinomectin|Fipronil|Nematodes|Praziquantel</t>
  </si>
  <si>
    <t>Pharmacokinetics and metabolism of eprinomectin in cats when administered in a novel topical combination of fipronil, (S)-methoprene, eprinomectin and praziquantel.    ABSTRACT:  Four studies were conducted to determine the pharmacokinetic characteristics and in vitro metabolism of eprinomectin, a semi-synthetic avermectin, in cats. Pharmacokinetic parameters including bioavailability of eprinomectin were determined in a parallel study design comprised of one group of eight cats which were treated once topically at 0.12 mL/kg bodyweight with BROADLINE(®), a novel combination product (fipronil 8.3% (w/v), (S)-methoprene 10% (w/v), eprinomectin 0.4% (w/v) and praziquantel 8.3% (w/v)), delivering a dose of 0.5mg eprinomectin per kg body weight, and a group of six cats which received 0.4% (w/v) eprinomectin at 0.4 mg/kg bodyweight once by intravenous injection. For cats treated by topical application, the average eprinomectin (B1a component) maximum plasma concentration (Cmax) was 20 ng/mL. The maximum concentrations were reached 24h after dosing in the majority of the animals (six of eight cats). The average terminal half-life was 114 h due to slow absorption ('flip-flop' kinetics). Following intravenous administration the average Cmax was 503 ng/mL at 5 min post-dose, and the mean elimination half-life was 23 h. Eprinomectin was widely distributed with a mean volume of distribution of 2,390 mL/kg, and the clearance rate was 81 mL/h/kg. Mean areas under the plasma concentration versus time curves extrapolated to infinity were 2,100 ngh/mL and 5,160 ngh/mL for the topical and intravenous doses, respectively. Topical eprinomectin was absorbed with an average absolute bioavailability of 31%. In a second parallel design study, the dose proportionality of eprinomectin after single topical administration of BROADLINE(®) was studied. Four groups of eight cats each were treated once topically with 0.5, 1, 2 or 5 times the minimum recommended dose of the combination, 0.12 mL/kg bodyweight. Based on comparison of areas under the plasma concentration versus time curves from the time of dosing to the last time point at which eprinomectin B1a was quantified, and Cmax, dose proportionality was established. In addition, the metabolic pathway of eprinomectin using cat liver microsomes, and plasma protein binding using cat, rat, and dog plasma were studied in vitro. Results of the analyses of eprinomectin B1a described here showed that it is metabolically stable and highly protein bound (&gt;99%), and thus likely to be, as with other species, excreted mainly as unchanged parent drug in the feces of cats.Copyright © 2014 The Authors. Published by Elsevier B.V. All rights reserved.  KEYWORDS:  MeSH Chemical: Antiparasitic Agents| Drug Combinations| Pyrazoles| Praziquantel| Ivermectin| eprinomectin| Methoprene| fipronil MeSH: | Administration, Topical| Animals| Antiparasitic Agents/administration &amp; dosage/blood/metabolism/pharmacokinetics| Cat Diseases/majr/drug therapy| Cats| Drug Combinations| Female| Ivermectin/majr/administration &amp; dosage/analogs &amp; derivatives/blood/metabolism/pharmacokinetics| Male| Methoprene/majr/administration &amp; dosage| Parasitic Diseases, Animal/majr/drug therapy| Praziquantel/majr/administration &amp; dosage| Pyrazoles/majr/administration &amp; dosage| Random Allocation Other:Avermectin|Cat|Endectocide|Eprinomectin|Pharmacokinetics|Topical</t>
  </si>
  <si>
    <t>Laboratory and field evaluation of rodent bait treated with fipronil for feed through and systemic control of Phlebotomus papatasi.    ABSTRACT:  The sand fly Phlebotomus papatasi is the main vector of Leishmania major, etiologic agent of zoonotic cutaneous leishmaniasis (ZCL), which is endemic in North Africa, the Middle East, and Asia. In North Africa, Meriones shawi is one of the two main reservoir hosts of L. major. P. papatasi populations are maintained in borrowing rodents such as M. shawi. Three fipronil-treated rodent baits were evaluated for systemic and feed through insecticidal activity against P. papatasi feeding on M. shawi. Through blood feeding bioassays, mortality rates of females P. papatasi increased with the concentration of fipronil in the rodent bait varying from 0.001% to 0.005%. In the laboratory, more than 90.0% of P. papatasi were killed within 48h after blood feeding on the desert's jirds, M. shawi, treated up to 29 days prior with a single application of fipronil at a concentration of 0.001%, 0.0025% and 0.005%. Through larval bioassays, mortality rates of larvae that have fed on faeces of treated bait for M. shawi increase with the concentrations of fipronil. Faeces of orally-treated Meriones were significantly toxic to larvae for 5 weeks with a concentration of 0.005%. In the field, application of treated bait resulted in 80.0% reduction in the populations of P. papatasi up to 6 weeks after a single application of fipronil at a concentration of 0.005%. This is the first study to demonstrate field efficacy of fipronil-treated rodent baits for P. papatasi control and the first study to evaluate this approach in M. shawi, a principal ZCL reservoir host. These results suggest that fipronil-treated rodent baits can be used to effectively reduce the populations of P. papatasi associated with M. shawi in ZCL endemic areas. Copyright © 2014 Elsevier B.V. All rights reserved.  KEYWORDS:  MeSH Chemical: Insecticides| Pyrazoles| fipronil MeSH: | Animal Feed/majr| Animals| Disease Reservoirs/majr| Feeding Behavior| Humans| Insect Control/majr/methods| Insecticides/majr/administration &amp; dosage| Leishmaniasis/majr/prevention &amp; control| Phlebotomus/majr/parasitology| Pyrazoles/majr/administration &amp; dosage| Survival Analysis Other:Leishmania major|Meriones shawi|Phlebotomus papatasi|Systemic and feed through insecticide|Zoonotic cutaneous leishmaniasis</t>
  </si>
  <si>
    <t>Fipronil-amitraz-S-methoprene-triggered pemphigus foliaceus in 21 dogs: clinical, histological and immunological characteristics.    ABSTRACT:  A recently launched topical ectoparasiticide containing fipronil, amitraz and S-methoprene has been associated with the development of an acantholytic pustular dermatitis similar to that of Promeris-triggered pemphigus foliaceus (PF).Our objectives were to describe the clinical, histological and immunological features of this PF-like cutaneous adverse drug reaction.Twenty-one dogs with a probable or definitive diagnosis of PF-like cutaneous adverse drug reaction were identified between May 2012 and February 2013.Histology, direct and indirect immunofluorescence were employed to address the study objectives.Most dogs were middle-aged or older (median, 9 years) and of large size (median, 23 kg). In six dogs (29%), the PF-like lesions remained confined to the site of application, while 15 dogs (71%) exhibited lesions at distant sites. One or two applications of the ectoparasiticide were sufficient to trigger PF-like lesions in seven (33%) and six (29%) dogs, respectively. Systemic signs were reported in nine dogs (43%), all with lesions extending to sites distant from application areas. Tissue-bound antikeratinocyte IgG was detected in the lesional epidermis of eight of 19 (42%) cases by direct immunofluorescence, while serum antikeratinocyte IgG was detected in 10 of 14 (71%) cases by indirect immunofluorescence. Autoantibodies were found to target canine desmocollin-1 in 11 of 14 dogs (79%), but not canine desmoglein-1, by indirect immunofluorescence on transfected cells. These immunological findings were similar in cases with localized and distant disease.This new topical ectoparasiticide containing fipronil, amitraz and S-methoprene is capable of triggering the development of an acantholytic pustular dermatosis that is a clinical, histological and immunological close match for Promeris-triggered PF and naturally occurring autoimmune PF in dogs.© 2014 ESVD and ACVD.  KEYWORDS:  MeSH Chemical: Drug Combinations| Insecticides| Pyrazoles| Toluidines| amitraz| Methoprene| fipronil MeSH: | Animals| Dog Diseases/majr/chemically induced/immunology/pathology| Dogs| Drug Combinations| Female| Insecticides/majr/administration &amp; dosage/adverse effects/therapeutic use| Male| Methoprene/majr/administration &amp; dosage/adverse effects/therapeutic use| Pemphigus/majr/chemically induced/immunology/pathology/veterinary| Pyrazoles/majr/administration &amp; dosage/adverse effects/therapeutic use| Toluidines/majr/administration &amp; dosage/adverse effects/therapeutic use</t>
  </si>
  <si>
    <t>New method using quantitative PCR to follow the tick blood meal and to assess the anti-feeding effect of topical acaricide against Rhipicephalus sanguineus on dogs.    ABSTRACT:  A 28-day study was conducted to assess the dynamic of blood feeding by Rhipicephalus sanguineus ticks on dogs treated or not with a novel topical combination of fipronil, amitraz and (S)-methoprene. Dogs were infested weekly through exposure to ticks in crates for 4h. Ticks were then counted in the crates at 2h and 4h post dog exposure. Ticks were also counted and removed from the dogs at 2h, 4h, 6h, 12h and 24h post tick exposure. The inhibition of blood feeding was assessed by both tick quantification and designing and performing a quantitative PCR (qPCR) to detect the canine hydroxymethylbilane synthase (HMBS) gene in ticks. The percentage of repellency sensu lato based on the ticks collected in crates at 2h varied from 4.7% at day 28 to 48.3% at day 7. The immediate mortality rate of the ticks expelled at 2h varied from 1.5% at day 21 to 31.7% at day 7. The efficacy calculation showed that the acaricidal combination started to kill ticks in as little as 2h. The average efficacy reached 90.0% at 12h post crate challenges and 100% at 24h post exposure in crates. The inclusion of an internal amplification control was used to ensure that no significant template-derived PCR inhibition (≤ 6.2%) affected the overall results. The reduction of blood feeding was significant at 4h (&gt;80.0%) and &gt;99.0% at 24h post tick exposure in the crate. The high repellency rate and the lethal efficacy of CERTIFECT(®) resulted in significantly fewer live attached ticks, consequently reducing blood intake and fluid exchanges.Copyright © 2014 The Authors. Published by Elsevier Ltd.. All rights reserved.  KEYWORDS:  MeSH Chemical: Acaricides| Drug Combinations| Pyrazoles| Toluidines| amitraz| Methoprene| Hydroxymethylbilane Synthase| fipronil MeSH: | Acaricides/majr/pharmacology| Animals| Dog Diseases/majr/blood/drug therapy/parasitology| Dogs| Drug Combinations| Feeding Behavior/majr/drug effects| Female| Hydroxymethylbilane Synthase/blood/genetics| Male| Methoprene/pharmacology| Pyrazoles/pharmacology| Rhipicephalus sanguineus/majr/drug effects/physiology| Tick Infestations/majr/drug therapy/parasitology/veterinary| Toluidines/pharmacology Other:Blood feeding|Canine HMBS|Dynamic|Fipronil/amitraz/(S)-methoprene|Quantitative PCR|Rhipicephalus sanguineus</t>
  </si>
  <si>
    <t>Prediction of formulation effects on dermal absorption of topically applied ectoparasiticides dosed in vitro on canine and porcine skin using a mixture-adjusted quantitative structure permeability relationship.    ABSTRACT:  Topical application of ectoparasiticides for flea and tick control is a major focus for product development in animal health. The objective of this work was to develop a quantitative structure permeability relationship (QSPeR) model sensitive to formulation effects for predicting absorption and skin deposition of five topically applied drugs administered in six vehicle combinations to porcine and canine skin in vitro. Saturated solutions (20 μL) of (14) C-labeled demiditraz, fipronil, permethrin, imidacloprid, or sisapronil were administered in single or binary (50:50 v/v) combinations of water, ethanol, and transcutol (6 formulations, n = 4-5 replicates per treatment) nonoccluded to 0.64 cm(2) disks of dermatomed pig or dog skin mounted in flow-through diffusion cells. Perfusate flux over 24 h and skin deposition at termination were determined. Permeability (logKp), absorption, and penetration endpoints were modeled using a four-term Abrahams and Martin (hydrogen-bond donor acidity and basicity, dipolarity/polarizability, and excess molar refractivity) linear free energy QSPeR equation with a mixture factor added to compensate for formulation ingredient interactions. Goodness of fit was judged by r(2) , cross-validation coefficient, coefficients (q(2) s), and Williams Plot to visualize the applicability domain. Formulation composition was the primary determinant of permeation. Compounds generally penetrated dog skin better than porcine skin. The vast majority of permeated penetrant was deposited within the dosed skin relative to transdermal flux, an attribute for ectoparasiticides. The best QSPeR logKp model for pig skin permeation (r(2) = 0.86, q(2) s = 0.85) included log octanol/water partition coefficient as the mixture factor, while for dogs (r(2) = 0.91, q(2) s = 0.90), it was log water solubility. These studies clearly showed that the permeation of topical ectoparasiticides could be well predicted using QSPeR models that account for both the physical-chemical properties of the penetrant and formulation components. © 2014 John Wiley &amp; Sons Ltd.  KEYWORDS:  MeSH Chemical: Insecticides MeSH: | Administration, Topical| Animals| Chemical Phenomena| Dogs/majr| Insecticides/majr/pharmacokinetics| Models, Biological| Permeability| Skin/majr/drug effects| Skin Absorption/majr/physiology| Swine/majr| Tissue Culture Techniques</t>
  </si>
  <si>
    <t>A randomized, blinded, controlled and multi-centered field study comparing the efficacy and safety of Bravecto (fluralaner) against Frontline (fipronil) in flea- and tick-infested dogs.    ABSTRACT:  Fluralaner, a new molecular entity of the isoxazoline class, has potent insecticidal and acaricidal activity and can be safely administered orally to dogs.A randomized, investigator-blinded, multi-centered field study compared the flea- and tick-control efficacy for dogs over a 12-week period with either a single oral dose of Bravecto (fluralaner) formulated as a chewable tablet or with three sequential topical Frontline (fipronil) treatments. Individual dogs were the experimental unit for ticks and households were the experimental unit for fleas. A total of 108 tick-infested dogs were treated with Bravecto (fluralaner) and 54 tick-infested dogs were treated with Frontline (fipronil). Dogs in 115 flea-infested households received Bravecto (fluralaner) and dogs in 61 flea-infested households received Frontline (fipronil). Flea and tick counts were conducted on all dogs at weeks 2, 4, 8, and 12 following initial treatment and efficacy was calculated as the mean percent reduction in tick or flea count at each time point compared with the mean pretreatment initiation count for each treatment group. Additionally, the percentages of tick-free and flea-free households were determined.At weeks 2, 4, 8, and 12, Bravecto (fluralaner) flea-control efficacy in treated households was 99.2%, 99.8%, 99.8%, and 99.9% respectively, while Frontline (fipronil) efficacy was 94.1%, 93.0%, 96.0%, and 97.3%, respectively. Bravecto (fluralaner) tick-control efficacy on treated dogs at weeks 2, 4, 8, and 12 was 99.9%, 99.9%, 99.7%, and 100%, respectively, and Frontline (fipronil) tick efficacy was 97.6%, 93.8%, 100%, and 100%, respectively. Of dogs showing clinical flea allergy dermatitis (FAD) signs at the study start, 85.7% in the Bravecto™ (fluralaner)-treated group and 55.6% in the Frontline (fipronil)-treated group were evaluated at each time point as showing no clinical signs of FAD until study completion.Bravecto (fluralaner) administered once orally to dogs in a chewable tablet was highly effective for 12 weeks against fleas and ticks on privately-owned dogs and was significantly non-inferior (ticks) and superior (fleas) in comparison with topical Frontline (fipronil) administered 3 times sequentially.  KEYWORDS:  MeSH Chemical: A1443 compound| Acaricides| Insecticides| Isoxazoles| Pyrazoles| Tablets| fipronil MeSH: | Acaricides/majr/pharmacology| Administration, Oral| Administration, Topical| Animals| Dog Diseases/majr/drug therapy/parasitology| Dogs| Female| Flea Infestations/majr/drug therapy/veterinary| France| Germany| Insecticides/majr/pharmacology| Isoxazoles/pharmacology| Male| Pyrazoles/pharmacology| Single-Blind Method| Siphonaptera/drug effects| Spain| Tablets| Tick Infestations/majr/drug therapy/veterinary| Ticks/drug effects| Treatment Outcome</t>
  </si>
  <si>
    <t>First report of fluazuron resistance in Rhipicephalus microplus: a field tick population resistant to six classes of acaricides.    ABSTRACT:  The control of the cattle tick Rhipicephalus microplus is based mainly on the use of chemical acaricides, which has contributed to the emerging problem of selection of resistant tick populations. Currently, there are six main classes of acaricides commercially available in Brazil to control cattle ticks, with fluazuron, a tick growth regulator with acaricidal properties, being the only active ingredient with no previous reports of resistance. Ticks (designated the Jaguar strain) were collected in a beef cattle ranch located at Rio Grande do Sul state, Southern Brazil, after a complaint of fluazuron treatment failure. To characterise the resistance of this strain against acaricides, larval tests were performed and showed that the Jaguar strain was resistant to all of the drugs tested: cypermethrin (resistance ratio, RR=31.242), chlorpyriphos (RR=103.926), fipronil (RR=4.441), amitraz (RR=11.907) and ivermectin (3.081). A field trial was conducted to evaluate the efficacy of fluazuron treatment in heifers that had been experimentally infested with the Jaguar or a susceptible strain. Between 14 and 28 days after treatment, the average efficacy in cattle experimentally infested with the susceptible strain was 96%, while for the Jaguar strain the efficacy was zero. Additionally, the Jaguar strain response to fluazuron was evaluated in vitro using a modified adult immersion test (AIT) and the artificial feeding assay (AFA). With the AIT, 50 ppm of fluazuron inhibited 99% of larvae hatching in the susceptible strain (POA) and less than 50% in the Jaguar strain. Results of the AFA showed a larval hatching rate of 67% at 2.5 ppm of fluazuron with the Jaguar strain; conversely, only 3% of larvae of the susceptible strain hatched at the same fluazuron concentration. The results showed here demonstrated the first case of fluazuron resistance in R. microplus and the first tick population resistant to six classes of acaricides in Brazil.Copyright © 2014 Elsevier B.V. All rights reserved.  KEYWORDS:  MeSH Chemical: Acaricides MeSH: | Acaricides/majr/pharmacology| Animals| Brazil| Cattle| Drug Resistance, Multiple/majr| Larva/drug effects| Rhipicephalus/majr/drug effects Other:Benzoylphenylurea|Boophilus|Brazil|Cattle tick|Drug resistance|Multiple resistance</t>
  </si>
  <si>
    <t>Cross-resistance, genetics, and realized heritability of resistance to fipronil in the house fly, Musca domestica (Diptera: Muscidae): a potential vector for disease transmission.    ABSTRACT:  Houseflies, Musca domestica (L.), are ubiquitous pests that have the potential to spread a variety of pathogens to humans, poultries, and dairies. Pesticides are commonly used for the management of this pest. Fipronil is a GABA-gated chloride channel-inhibiting insecticide that has been commonly used for the management of different pests including M. domestica throughout the world. Many pests have developed resistance to this insecticide. A field-collected strain of M. domestica was selected with fipronil for continuous 11 generations to assess the cross-resistance, genetics, and realized heritability for designing a resistance management strategy. Laboratory bioassays were performed using the feeding method of mixing insecticide concentrations with 20% sugar solutions and cotton soaks dipped in insecticide solutions were provided to tested adult flies. Bioassay results at G12 showed that the fipronil-selected strain developed a resistance ratio of 140-fold compared to the susceptible strain. Synergism bioassay with piperonyl butoxide (PBO) and S,S,S,-tributyl phosphorotrithioate (DEF) indicated that fipronil resistance was associated with microsomal oxidase and also esterase. Reciprocal crosses between resistant and susceptible strains showed an autosomal and incompletely dominant resistance to fipronil. The LC50 values of F1 and F'1 strains were not significantly different and dominance values were 0.74 and 0.64, respectively. The resistance to fipronil was completely recessive (D(ML) = 0.00) at the highest dose and incompletely dominant at the lowest dose (D(ML) = 0.87). The monogenic resistance based on chi-square goodness of fit test and calculation of the minimum number of segregating genes showed that resistance to fipronil is controlled by multiple genes. The fipronil resistance strain confirmed very low cross-resistance to emamectin benzoate and spinosad while no cross-resistance to chlorpyrifos and acetamiprid when compared to that of the field population. The heritability values were 0.112, 0.075, 0.084, 0.008, and 0.052 for fipronil, emamectin benzoate, spinosad, acetamiprid, and chlorpyrifos, respectively. It was concluded that fipronil resistance in M. domestica was autosomally inherited, incompletely dominant, and polygenic. These findings would be helpful for the better and successful management of M. domestica.  KEYWORDS:  MeSH Chemical: Drug Combinations| Insecticides| Macrolides| Neonicotinoids| Organothiophosphates| Pesticide Synergists| Pyrazoles| Pyridines| butyl phosphorotrithioate| acetamiprid| Ivermectin| emamectin benzoate| Chlorpyrifos| Piperonyl Butoxide| fipronil| spinosad MeSH: | Animals| Chlorpyrifos/pharmacology| Crosses, Genetic| Drug Combinations| Female| Houseflies/majr/drug effects/genetics| Inheritance Patterns| Insecticide Resistance/majr/genetics| Insecticides/majr/pharmacology| Ivermectin/analogs &amp; derivatives/pharmacology| Macrolides/pharmacology| Male| Neonicotinoids| Organothiophosphates/pharmacology| Pesticide Synergists/pharmacology| Piperonyl Butoxide/pharmacology| Pyrazoles/majr/pharmacology| Pyridines/pharmacology| Quantitative Trait, Heritable</t>
  </si>
  <si>
    <t>A test house study of pesticides and pesticide degradation products following an indoor application.    ABSTRACT:  Preexisting pesticide degradates are a concern for pesticide biomonitoring studies as exposure to them may result in overestimation of pesticide exposure. The purpose of this research was to determine whether there was significant formation and movement, of pesticide degradates over a 5-week period in a controlled indoor setting after insecticide application. Movement of the pesticides during the study was also evaluated. In a simulated crack and crevice application, commercially available formulations of fipronil, propoxur, cis/trans-permethrin, and cypermethrin were applied to a series of wooden slats affixed to the wall in one room of an unoccupied test house. Floor surface samples were collected through 35 days post-application. Concentrations of the pesticides and the following degradates were determined: 2-iso-propoxyphenol, cis/trans 3-(2,2-dichlorovinyl)-3-3-dimethyl-(1-cyclopropane) carboxylic acid, 3-phenoxybenzoic acid, fipronil sulfone, fipronil sulfide, and fipronil desulfinyl. Deltamethrin, which had never been applied, and chlorpyrifos, which had been applied several years earlier, and their degradation products, cis-3-(2,2-dibromovinyl)-2,2-dimethylcyclopropane-1-carboxylic acid, and, 3,5,6-trichloro-2-pyridinol, respectively, were also measured. Propoxur was the only insecticide with mass movement away from the application site. There was no measurable formation or movement of the degradates. However, all degradates were present at low levels in the formulated product. These results indicate longitudinal repetitive sampling of indoor degradate levels during short-term studies, is unnecessary.Exposure to preexisting pesticide degradates may inflate estimates of exposure in biomonitoring studies where these compounds are used as biomarkers. To date, there is no published information on formation of pesticide degradates following an indoor application. We found that the study pesticides have low rates of degradation and are unlikely to be a significant factor affecting results of short-term (weeks) biomonitoring studies. Therefore, relatively few indoor samples are needed to estimate background levels of degradation products resulting from a recent pesticide application.Published 2014. This article is a U.S. Government work and is in the public domain in the USA.  KEYWORDS:  MeSH Chemical: Environmental Pollutants| Pesticides| Pyrazoles| Pyrethrins| cypermethrin| Permethrin| Propoxur| fipronil MeSH: | Environmental Exposure/majr/analysis| Environmental Monitoring/majr/methods| Environmental Pollutants/majr/administration &amp; dosage/analysis| Housing| Humans| Least-Squares Analysis| Limit of Detection| Permethrin/analysis| Pesticides/majr/analysis| Propoxur/analysis| Pyrazoles/analysis| Pyrethrins/analysis Other:Degradation|Fipronil|Indoor|Propoxur|Pyrethroids</t>
  </si>
  <si>
    <t>Evaluation of indoxacarb and fipronil (s)-methoprene topical spot-on formulations to control flea populations in naturally infested dogs and cats in private residences in Tampa FL. USA.    ABSTRACT:  A study was conducted to evaluate and compare the effectiveness of two different spot-on topical flea products to control flea infestations on naturally infested dogs and cats in Tampa, FL USA.Thirty-two dogs and 3 cats with natural flea infestations living in 18 homes were treated topically with a 19.53% w/w spot-on formulation of indoxacarb. Another thirty dogs and 2 cats living in 19 different homes were treated topically with either fipronil (9.8% w/w)/(s)-methoprene (8.89% w/w) or fipronil (9.8% w/w)/(s)-methoprene (11.8% w/w), respectively. All products were applied according to label directions by study investigators on day 0 and again between days 28 and 30. Flea populations on pets were assessed using visual area counts and premise flea infestations were assessed using intermittent-light flea traps on days 0, 7, 14, 21, 28-30, 40-45, and 54-60.A single application of the indoxacarb or fipronil (s)-methoprene formulations reduced flea populations on pets by 97.8% and 85.5%, respectively within 7 days. One month (28-30 days) after treatment the indoxacarb and fipronil (s)-methoprene formulations reduced on-animal flea burdens by 95.0% and 49.5%, respectively. Following two monthly applications of either the indoxacarb or fipronil (s)-methoprene formulations, pet flea burdens were reduced by 99.1% and 54.8%, respectively, by days 54-60. At the end of the two month study, 77.1% and 15.6% of the dogs and cats in the indoxacarb and fipronil (s)-methoprene treatment groups, respectively were flea free. Flea numbers in the indoor-premises were markedly reduced in both treatment groups by days 54-60, with 97.7% and 84.6% reductions in intermittent-light flea trap counts in the indoxacarb and fipronil (s)-methoprene treatment groups, respectively.This in-home investigation conducted during the summer of 2013 in subtropical Tampa, FL, is the first published U.S field investigation of the indoxacarb topical formulation. The indoxacarb formulation was able to effectively control flea populations in heavily flea infested pets and homes. The efficacy achieved by the fipronil (s)-methoprene formulation against flea infestations on these pets was lower than in previous investigations using the same study design.  KEYWORDS:  MeSH Chemical: Insecticides| Oxazines| Pyrazoles| indoxacarb| Methoprene| fipronil MeSH: | Animals| Cat Diseases/majr/drug therapy/parasitology| Cats| Dog Diseases/majr/drug therapy/parasitology| Dogs| Flea Infestations/majr/drug therapy/epidemiology/veterinary| Florida/epidemiology| Insecticides/administration &amp; dosage/therapeutic use| Methoprene/majr/administration &amp; dosage/therapeutic use| Oxazines/majr/administration &amp; dosage/therapeutic use| Pyrazoles/majr/administration &amp; dosage/therapeutic use</t>
  </si>
  <si>
    <t>The novel isoxazoline ectoparasiticide fluralaner: selective inhibition of arthropod γ-aminobutyric acid- and L-glutamate-gated chloride channels and insecticidal/acaricidal activity.    ABSTRACT:  Isoxazolines are a novel class of parasiticides that are potent inhibitors of γ-aminobutyric acid (GABA)-gated chloride channels (GABACls) and L-glutamate-gated chloride channels (GluCls). In this study, the effects of the isoxazoline drug fluralaner on insect and acarid GABACl (RDL) and GluCl and its parasiticidal potency were investigated. We report the identification and cDNA cloning of Rhipicephalus (R.) microplus RDL and GluCl genes, and their functional expression in Xenopus laevis oocytes. The generation of six clonal HEK293 cell lines expressing Rhipicephalus microplus RDL and GluCl, Ctenocephalides felis RDL-A285 and RDL-S285, as well as Drosophila melanogaster RDLCl-A302 and RDL-S302, combined with the development of a membrane potential fluorescence dye assay allowed the comparison of ion channel inhibition by fluralaner with that of established insecticides addressing RDL and GluCl as targets. In these assays fluralaner was several orders of magnitude more potent than picrotoxinin and dieldrin, and performed 5-236 fold better than fipronil on the arthropod RDLs, while a rat GABACl remained unaffected. Comparative studies showed that R. microplus RDL is 52-fold more sensitive than R. microplus GluCl to fluralaner inhibition, confirming that the GABA-gated chloride channel is the primary target of this new parasiticide. In agreement with the superior RDL on-target activity, fluralaner outperformed dieldrin and fipronil in insecticidal screens on cat fleas (Ctenocephalides felis), yellow fever mosquito larvae (Aedes aegypti) and sheep blowfly larvae (Lucilia cuprina), as well as in acaricidal screens on cattle tick (R. microplus) adult females, brown dog tick (Rhipicephalus sanguineus) adult females and Ornithodoros moubata nymphs. These findings highlight the potential of fluralaner as a novel ectoparasiticide.Copyright © 2014 Elsevier Ltd. All rights reserved.  KEYWORDS:  MeSH Chemical: A1443 compound| Chloride Channels| DNA, Complementary| GABA Antagonists| Insect Proteins| Insecticides| Isoxazoles| Pyrazoles| Picrotoxin| gamma-Aminobutyric Acid| picrotoxinin| Dieldrin| fipronil MeSH: | Amino Acid Sequence| Animals| Chloride Channels/majr/antagonists &amp; inhibitors| Cloning, Molecular| Ctenocephalides/genetics| DNA, Complementary/chemistry| Dieldrin/chemistry| Drosophila melanogaster/genetics| GABA Antagonists/majr/chemistry| HEK293 Cells| Humans| Insect Proteins/majr/chemistry/genetics/physiology| Insecticides/majr/chemistry| Isoxazoles/majr/chemistry| Molecular Sequence Data| Phylogeny| Picrotoxin/analogs &amp; derivatives/chemistry| Pyrazoles/chemistry| Rhipicephalus/majr/genetics| Sequence Alignment| Xenopus laevis| gamma-Aminobutyric Acid Other:Cat flea|Cattle tick|Ectoparasiticidal target|Fipronil|Fluralaner|GABA-gated chloride channel|Glutamate-gated chloride channel|Isoxazoline</t>
  </si>
  <si>
    <t>Acaricide and ivermectin resistance in a field population of Rhipicephalus microplus (Acari: Ixodidae) collected from red deer (Cervus elaphus) in the Mexican tropics.    ABSTRACT:  In the Neotropics the control of tick infestations in red deer (Cervus elaphus) is achieved primarily through the use of acaricides and macrocyclic lactones. In Mexico, resistance to one or multiple classes of acaricides has been reported in Rhipicephalus microplus infesting cattle, but information on acaricide susceptibility in R. microplus infesting red deer is lacking. In this study we report the level of resistance to different classes of acaricides and ivermectin in R. microplus collected from red deer in the Mexican tropics. Engorged R. microplus females were collected from a red deer farm in Yucatan, Mexico. The larval packet test was used to detect resistance to the organophosphates (OPs) chlorpyrifos and coumaphos, synthetic pyrethroids (SPs) cypermethrin and permethrin, and the phenylpyrazol, fipronil. Resistance to the formamidine amitraz (Am), and ivermectin was ascertained using the larval immersion test. Data were subjected to probit analysis to determine lethal concentrations and resistance ratios to kill 50% (RR50) and 99% (RR99) of the tick population under evaluation in relation to susceptible reference strains. Additionally, allele specific polymerase chain reaction was used to detect the sodium channel F1550I mutation associated with SP resistance in R. microplus. The R. microplus population from red deer in Yucatan showed very high resistance to the two SPs evaluated (RRs&gt;72.2 for cypermethrin; RR for permethrin resistance was so high a dose-response curve was not possible). All individual larvae tested to detect the sodium channel F1550I mutation associated with SP resistance in R. microplus were homozygous. The same tick population showed different levels of resistance to OPs (chlorpyrifos: RR50=1.55, RR99=0.63; coumaphos: RR50=6.8, RR99=5.9), fipronil (RR50=1.8, RR99=0.9), and amitraz (RR50=2.3, RR99=4.4). Resistance to ivermectin was regarded as moderate (RR50=7.1, RR99=5.0). This is the first report of R. microplus ticks collected from red deer in Mexico with different levels of resistance to four acaricide groups and ivermectin.Copyright © 2013. Published by Elsevier B.V.  KEYWORDS:  MeSH Chemical: Acaricides| Antiparasitic Agents| Ivermectin MeSH: | Acaricides/majr/pharmacology| Alleles| Animals| Antiparasitic Agents/majr/pharmacology| Deer/majr/parasitology| Insecticide Resistance/majr/genetics| Ivermectin/majr/pharmacology| Larva/drug effects| Mexico| Rhipicephalus/majr/drug effects/genetics| Tick Infestations/parasitology| Tropical Climate Other:Acaricide susceptibility|Diversified livestock production|Ivermectin resistance|Mexico|Red deer (Cervus elaphus)|Rhipicephalus microplus</t>
  </si>
  <si>
    <t>Survey of pesticide application on vegetables in the Littoral area of Togo.    ABSTRACT:  Vegetable production in Togo is seriously affected by pests attack. To reduce damage, farmers indiscriminately use pesticides. Various studies have reported high concentrations of pesticide residues more than acceptable limits in vegetables and other edible food. The aim of the presented study is to study the attitudes and practices developed by vegetable growers about pesticides applications. A standardized questionnaires which included socio-professional factors, provisions and operations concerning the use of varieties of pesticides were addressed to 150 growers in vegetable farms along the Littoral of Togo. In order to complete data concerning pesticides, seven runoff private companies and agents of the 'Direction de la Protection des Végétaux' were interviewed. Data were statistical treated using Sphinx Plus. The survey showed that vegetable growers have an acceptable educational level (36% have more than 7 years of formal education) to exploit instructions concerning pesticide use, but more than 97% do not use recommended tools. Only 21% of them received training for pesticide use. Moreover, 84% of them did not usually wear gloves, and less than 30% used oro-nasal masks. Failure to observe minimum intervals between pesticide application and sale is worrying because extremely hazardous (Carbofuran and Cadusaphos) or moderately toxic (Cypermethrin, Dimethoate, Endosulfan, Chlorpyrifos-ethyl, Fipronil) are the products currently used. The presented study indicates that pesticides application in the survey area represents a potential risk for the environment, farmers and consumers. More investigations are needed to quantify pesticides residues on the vegetables currently con,umed and moreover, to determine the potential effect of those products on human and animals health.  KEYWORDS:  MeSH Chemical: Pesticides MeSH: | Adult| Agriculture/majr/economics/methods| Commerce| Data Collection| Female| Food Contamination| Health Knowledge, Attitudes, Practice| Humans| Male| Middle Aged| Occupational Exposure| Pesticides/majr/chemistry| Socioeconomic Factors| Surveys and Questionnaires| Togo| Vegetables/majr| Young Adult</t>
  </si>
  <si>
    <t>Assessing mechanisms of toxicant response in the amphipod Melita plumulosa through transcriptomic profiling.    ABSTRACT:  This study describes the function of transcripts with altered abundance in the epibenthic amphipod, Melita plumulosa, following whole-sediment exposure to a series of common environmental contaminants. M. plumulosa were exposed for 48 h to sediments spiked and equilibrated with the following contaminants at concentrations predicted to cause sublethal effects to reproduction: porewater ammonia 30 mg L(-1); bifenthrin at 100 μg kg(-1); fipronil at 50 μg kg(-1); 0.6% diesel; 0.3% crude oil; 250 mg Cu kg(-1); 400 mg Ni kg(-1); and 400 mg Zn kg(-1). RNA was extracted and hybridized against a custom Agilent microarray developed for this species. Although the microarray represented a partial transcriptome and not all features on the array could be annotated, unique transcriptomic profiles were generated for each of the contaminant exposures. Hierarchical clustering grouped the expression profiles together by contaminant class, with copper and zinc, the petroleum products and nickel, and the pesticides each forming a distinct cluster. Many of the transcriptional changes observed were consistent with patterns previously described in other crustaceans. The changes in the transcriptome demonstrated that contaminant exposure caused changes in digestive function, growth and moulting, and the cytoskeleton following metal exposure, whereas exposure to petroleum products caused changes in carbohydrate metabolism, xenobiotic metabolism and hormone cycling. Functional analysis of these gene expression profiles can provide a better understanding of modes of toxic action and permits the prediction of mixture effects within contaminated ecosystems.Crown Copyright © 2013. Published by Elsevier B.V. All rights reserved.  KEYWORDS:  MeSH Chemical: Water Pollutants, Chemical MeSH: | Amphipoda/majr/drug effects/genetics| Animals| Transcriptome/majr/drug effects| Water Pollutants, Chemical/majr/toxicity Other:Amphipod|Gene expression|Genomics|Insecticides|Metals|Microarray|Mode of action|Oil</t>
  </si>
  <si>
    <t>Burst and principal components analyses of MEA data for 16 chemicals describe at least three effects classes.    ABSTRACT:  Microelectrode arrays (MEAs) can be used to detect drug and chemical induced changes in neuronal network function and have been used for neurotoxicity screening. As a proof-of-concept, the current study assessed the utility of analytical "fingerprinting" using principal components analysis (PCA) and chemical class prediction using support vector machines (SVMs) to classify chemical effects based on MEA data from 16 chemicals. Spontaneous firing rate in primary cortical cultures was increased by bicuculline (BIC), lindane (LND), RDX and picrotoxin (PTX); not changed by nicotine (NIC), acetaminophen (ACE), and glyphosate (GLY); and decreased by muscimol (MUS), verapamil (VER), fipronil (FIP), fluoxetine (FLU), chlorpyrifos oxon (CPO), domoic acid (DA), deltamethrin (DELT) and dimethyl phthalate (DMP). PCA was performed on mean firing rate, bursting parameters and synchrony data for concentrations above each chemical's EC50 for mean firing rate. The first three principal components accounted for 67.5, 19.7, and 6.9% of the data variability and were used to identify separation between chemical classes visually through spatial proximity. In the PCA, there was clear separation of GABAA antagonists BIC, LND, and RDX from other chemicals. For the SVM prediction model, the experiments were classified into the three chemical classes of increasing, decreasing or no change in activity with a mean accuracy of 83.8% under a radial kernel with 10-fold cross-validation. The separation of different chemical classes through PCA and high prediction accuracy in SVM of a small dataset indicates that MEA data may be useful for separating chemicals into effects classes using these or other related approaches. Published by Elsevier B.V.  KEYWORDS:  MeSH Chemical: GABA Antagonists| Pesticides| Fluoxetine| Muscimol| Acetaminophen| Nicotine| Verapamil| domoic acid| Kainic Acid MeSH: | Acetaminophen/pharmacology| Action Potentials/majr/drug effects/physiology| Animals| Cells, Cultured| Cerebral Cortex/majr/drug effects/physiology| Data Interpretation, Statistical| Fluoxetine/pharmacology| GABA Antagonists/pharmacology| Kainic Acid/analogs &amp; derivatives/pharmacology| Microelectrodes| Muscimol/pharmacology| Nerve Net/drug effects/physiology| Neurons/majr/drug effects/physiology| Nicotine/pharmacology| Pesticides/pharmacology| Principal Component Analysis| Rats| Rats, Long-Evans| Verapamil/pharmacology Other:Chemical fingerprinting|In vitro|Neurotoxicity screening</t>
  </si>
  <si>
    <t>Expression pattern and function of alternative splice variants of glutamate-gated chloride channel in the housefly Musca domestica.    ABSTRACT:  Glutamate-gated chloride channels (GluCls) mediate fast inhibitory neurotransmission in invertebrate nervous systems. cDNAs encoding two alternative splice variants (MdGluClB and C) of the GluCl subunit were cloned from the housefly Musca domestica. The expression patterns of three variants, including the previously reported MdGluClA, differed among the body parts (head, thorax, abdomen, and leg) of the adult housefly and among developmental stages (embryo, larva, pupa, and adult). The MdGluClA and B transcripts were abundant in the central nervous system of the adult, whereas the MdGluClC transcript was expressed in the central nervous system and as the predominant variant in the peripheral tissues. The sensitivities to the agonist glutamate and the allosteric activator ivermectin B1a did not differ between channels containing MdGluCl variants when they were singly or co-expressed in Xenopus oocytes. By contrast, MdGluClA and B channels were more sensitive to the channel blockers fipronil and picrotoxinin than was MdGluClC channels. Heteromeric channels containing different subunit variants were more sensitive to picrotoxinin than were homomeric channels. Heteromeric channels were more sensitive to fipronil than were homomeric MdGluClC channels but not than homomeric MdGluClA and B channels. These results suggest that functionally indistinguishable but pharmacologically distinct GluCls are expressed in a spatially and temporally distinct manner in the housefly. Copyright © 2013 Elsevier Ltd. All rights reserved.  KEYWORDS:  MeSH Chemical: Chloride Channels| Insect Proteins| glutamate-gated chloride channels| Ivermectin| 22,23-dihydroavermectin B(1)a MeSH: | Alternative Splicing| Animals| Base Sequence| Chloride Channels/majr/chemistry/genetics/physiology| Cloning, Molecular| Gene Expression| Houseflies/majr/genetics/metabolism| Insect Proteins/majr/chemistry/genetics/physiology| Ivermectin/analogs &amp; derivatives/pharmacology| Molecular Sequence Data| Sequence Alignment| Sequence Analysis, DNA| Xenopus Other:Alternative splicing|GluCl|Glutamate|Glutamate-gated chloride channel|Housefly</t>
  </si>
  <si>
    <t>Detection of the A302S Rdl mutation in fipronil bait-selected strains of the German cockroach (Dictyoptera: Blattellidae).    ABSTRACT:  Extensive usage and heavy reliance on insecticides have led to the development of insecticide resistance in the German cockroach, Blattella germanica (L.). Six field-collected strains of B. germanica from Singapore were used to investigate resistance to fipronil and dieldrin. The three strains (Boat Quay, Cavenagh Road, and Ghimmoh Road) with greatest resistance to fipronil were subjected to selection with fipronil bait up to the F5 generation. Synergism assay and molecular detection of a target site mutation were used to elucidate the mechanism of fipronil resistance in these strains. With the exception of the Cavenagh Road strain, all parental strains were susceptible to dieldrin. This strain exhibited resistance to dieldrin and fipronil with resistance ratios of 4.1 and 3.0, respectively. Piperonyl butoxide and S,S,S-tributylphosphorotrithioate were antagonistic toward fipronil toxicity in all strains. Bait selection significantly increased fipronil and dieldrin resistance in the three chosen strains, either in topical bioassay or bait evaluations. There was a significant positive relationship [y = (6,852.69 +/- 1,988.37) x - (708.93 +/- 1,226.28), where x = fipronil toxicity and y = dieldrin toxicity] between dieldrin and fipronil resistance levels, indicating significant cross-resistance between the insecticides. High frequencies of individuals possessing the Rdl gene mutation were found in the F5 generation of the three strains selected with fipronil bait. The synergism assays indicated that monooxygenase and esterase were not involved in fipronil resistance in the strains studied herein. The A302S Rdl mutation was the major mechanism contributing to fipronil and dieldrin resistance in these strains.  KEYWORDS:  MeSH Chemical: Insect Proteins| Insecticides| Organothiophosphates| Pesticide Synergists| Pyrazoles| Receptors, GABA| butyl phosphorotrithioate| Dieldrin| Piperonyl Butoxide| fipronil MeSH: | Animals| Blattellidae/majr/drug effects/genetics/growth &amp; development/metabolism| Dieldrin/majr/pharmacology| Insect Proteins/genetics/metabolism| Insecticide Resistance/majr| Insecticides/majr/pharmacology| Male| Mutation| Nymph/drug effects/genetics/growth &amp; development/metabolism| Organothiophosphates/pharmacology| Pesticide Synergists/pharmacology| Piperonyl Butoxide/pharmacology| Pyrazoles/majr/pharmacology| Receptors, GABA/genetics/metabolism| Selection, Genetic| Sequence Analysis, DNA</t>
  </si>
  <si>
    <t>Biochemical alterations induced by oral subchronic exposure to fipronil, fluoride and their combination in buffalo calves.    ABSTRACT:  The effects of various pesticides and minerals on biochemical parameters have been explored in different species, but hardly any data exist regarding the combined toxicological effect of pesticides and minerals on these parameters in animals. The present study investigated the effects of fipronil and fluoride co-exposure on biochemical parameters in buffalo calves. Twenty-four healthy male buffalo calves divided into four groups were treated for 98 consecutive days. Group I, receiving no treatment served as the control. Animals of groups II and III were orally administered with fipronil @ 0.5mg/kg/day and sodium fluoride (NaF) @ 6.67 mg/kg/day, respectively, for 98 days. An additional group IV was co-administered fipronil and NaF at the same dosages as groups II and III. Administration of fipronil alone produced mild toxic signs, significant elevation in plasma proteins, blood glucose, blood urea nitrogen (BUN) and significant decline in the plasma cholesterol levels. NaF exposure produced toxic signs specifically of muscle weakness and brown and black discoloration of teeth. Significant elevation was seen in whole blood cholinesterase, BUN and creatinine levels. However, it produced significant decline in blood glucose, cholesterol and plasma protein levels. Combined exposure to fipronil and sodium fluoride produced toxic signs with greater intensity while biochemical alterations produced were similar to those that were produced by their individual exposures.Copyright © 2013 Elsevier B.V. All rights reserved.  KEYWORDS:  MeSH Chemical: Blood Proteins| Insecticides| Pyrazoles| Sodium Fluoride| Cholesterol| fipronil MeSH: | Animals| Behavior, Animal/drug effects| Blood Proteins/metabolism| Bone and Bones/pathology| Buffaloes/majr/metabolism| Cholesterol/metabolism| Drug Interactions| Fluorosis, Dental/pathology| Insecticides/majr/toxicity| Male| Muscle Weakness/chemically induced| Pyrazoles/majr/toxicity| Sodium Fluoride/majr/toxicity| Tooth/pathology Other:Biochemical alterations|Buffalo calves|Co-exposure|Fipronil|Sodium fluoride</t>
  </si>
  <si>
    <t>Using a hazard quotient to evaluate pesticide residues detected in pollen trapped from honey bees (Apis mellifera) in Connecticut.    ABSTRACT:  Analysis of pollen trapped from honey bees as they return to their hives provides a method of monitoring fluctuations in one route of pesticide exposure over location and time. We collected pollen from apiaries in five locations in Connecticut, including urban, rural, and mixed agricultural sites, for periods from two to five years. Pollen was analyzed for pesticide residues using a standard extraction method widely used for pesticides (QuEChERS) and liquid chromatography/mass spectrometric analysis. Sixty pesticides or metabolites were detected. Because the dose lethal to 50% of adult worker honey bees (LD50) is the only toxicity parameter available for a wide range of pesticides, and among our pesticides there were contact LD50 values ranging from 0.006 to &gt;1000 μg per bee (range 166,000X), and even among insecticides LD50 values ranged from 0.006 to 59.8 μg/bee (10,000X); therefore we propose that in studies of honey bee exposure to pesticides that concentrations be reported as Hazard Quotients as well as in standard concentrations such as parts per billion. We used both contact and oral LD50 values to calculate Pollen Hazard Quotients (PHQ = concentration in ppb ÷ LD50 as μg/bee) when both were available. In this study, pesticide Pollen Hazard Quotients ranged from over 75,000 to 0.01. The pesticides with the greatest Pollen Hazard Quotients at the maximum concentrations found in our study were (in descending order): phosmet, Imidacloprid, indoxacarb, chlorpyrifos, fipronil, thiamethoxam, azinphos-methyl, and fenthion, all with at least one Pollen Hazard Quotient (using contact or oral LD50) over 500. At the maximum rate of pollen consumption by nurse bees, a Pollen Hazard Quotient of 500 would be approximately equivalent to consuming 0.5% of the LD50 per day. We also present an example of a Nectar Hazard Quotient and the percentage of LD50 per day at the maximum nectar consumption rate.  KEYWORDS:  MeSH Chemical: Pesticide Residues MeSH: | Animals| Bees/majr/physiology| Connecticut| Pesticide Residues/majr/analysis| Pollen/majr/chemistry| Pollination/majr</t>
  </si>
  <si>
    <t>Regression analysis of dynamics of insecticide resistance in field populations of Chilo suppressalis (Lepidoptera: Crambidae) during 2002-2011 in China.    ABSTRACT:  To understand the evolution of insecticide resistance in the Asiatic rice borer, Chilo suppressalis (Walker) (Lepidoptera: Crambidae), in field, regression analysis based on a linear or nonlinear model was adopted for analyzing resistance dynamics to six insecticides of two field populations of the Lianyungang (LYG) and Ruian (RA) populations during 2002-2011. For the low-level resistance population, LYG population, sustained susceptibilities to abamectin and fipronil were seen for 10 yr; a polynomial curve regression model showed an increase in resistance to chlorpyrifos; exponential growth models fit to the resistance dynamics to triazophos and deltamethrin, and a sigmoidal growth curve for monosultap. For the high-level multiple resistance population, RA population, a slight increase from susceptible to a minor resistance to abamectin could be modeled by a polynomial cubic equation; an exponential growth model fit to the increase of resistance to fipronil from 8.7-fold to 33.6-fold; a sine waveform model fit to the vibrating tendency of resistance to chlorpyrifos; the dynamics of resistance to triazophos could be modeled by two combined curves, with a polynomial growth model and a sine waveform model; the high level of resistance to monosultap could be modeled with a sine waveform model; and a significant linear growth relationship of the resistance to deltamethrin of the RA population over years was found. Then, the relationship between dynamics of resistance development to insecticides among the field populations of C. suppressalis and the application history of pesticides for controlling rice borers was discussed.  KEYWORDS:  MeSH Chemical: Insecticides MeSH: | Administration, Topical| Animals| China| Insecticide Resistance/drug effects| Insecticides/majr/pharmacology| Larva/drug effects/growth &amp; development| Moths/majr/drug effects/growth &amp; development| Oryza/growth &amp; development| Regression Analysis</t>
  </si>
  <si>
    <t>Potential autophagy enhancers protect against fipronil-induced apoptosis in SH-SY5Y cells.    ABSTRACT:  Oxidative stress created by environmental toxicants activates several signaling pathways. Autophagy is one of the first lines of defense against oxidative stress damage. The autophagy pathway can be induced and up-regulated in response to intracellular reactive oxygen species (ROS). Recently, we reported that fipronil (FPN)-induced mitochondria-dependent apoptosis is mediated through ROS in human neuroblastoma SH-SY5Y cells. In this study, we explored the role of autophagy to prevent FPN neurotoxicity. We investigated the modulation of FPN-induced apoptosis according to autophagy regulation. FPN activated caspase-9 and caspase-3, and induced nuclear fragmentation and condensation, all of which indicate that FPN-induced cell death was due to apoptosis. In addition, we observed FPN-induced autophagic cell death by monitoring the expression of LC3-II and Beclin-1. Exposure to FPN in SH-SY5Y cells led to the production of ROS. Treatment with N-acetyl-cysteine (NAC) effectively blocked both apoptosis and autophagy. Interestingly, pretreatment with rapamycin, an autophagy inducer, significantly enhanced the viability of FPN-exposed cells; the enhancement of cell viability was partially due to alleviation of FPN-induced apoptosis via a decrease in levels of cleaved caspase-3. However, pretreatment with 3-methyladenine (3MA) a specific inhibitor for autophagy, remarkably strengthened FPN toxicity and further induced activation of caspase-3 in these cells. Our studies suggest that FPN-induced cytotoxicity is modified by autophagy regulation and that rapamycin is neuroprotective against FPN-induced apoptosis through enhancing autophagy. Crown Copyright © 2013. Published by Elsevier Ireland Ltd. All rights reserved.  KEYWORDS:  MeSH Chemical: Insecticides| Pyrazoles| L-Lactate Dehydrogenase| fipronil| Sirolimus MeSH: | Apoptosis/majr/drug effects| Autophagy/majr/drug effects| Blotting, Western| Cell Line, Tumor| Cell Survival/drug effects| Drug Interactions| Humans| Insecticides/toxicity| L-Lactate Dehydrogenase/metabolism| Oxidative Stress/majr/drug effects| Pyrazoles/majr/antagonists &amp; inhibitors/toxicity| Sirolimus/majr/pharmacology Other:Apoptosis|Autophagy|Fipronil|Neuroprotection|Rapamycin|Reactive oxygen species</t>
  </si>
  <si>
    <t>The nuclear receptors pregnane X receptor and constitutive androstane receptor contribute to the impact of fipronil on hepatic gene expression linked to thyroid hormone metabolism.    ABSTRACT:  Fipronil is described as a thyroid disruptor in rat. Based on the hypothesis that this results from a perturbation of hepatic thyroid hormone metabolism, our goal was to investigate the pathways involved in fipronil-induced liver gene expression regulations. First, we performed a microarray screening in the liver of rats treated with fipronil or vehicle. Fipronil treatment led to the upregulation of several genes involved in the metabolism of xenobiotics, including the cytochrome P450 Cyp2b1, Cyp2b2 and Cyp3a1, the carboxylesterases Ces2 and Ces6, the phase II enzymes Ugt1a1, Sult1b1 and Gsta2, and the membrane transporters Abcc2, Abcc3, Abcg5, Abcg8, Slco1a1 and Slco1a4. Based on a large overlap with the target genes of constitutive androstane receptor (CAR) and pregnane X receptor (PXR), we postulated that these two nuclear receptors are involved in mediating the effects of fipronil on liver gene expression in rodents. We controlled that liver gene expression changes induced by fipronil were generally reproduced in mice, and then studied the effects of fipronil in wild-type, CAR- and PXR-deficient mice. For most of the genes studied, the gene expression modulations were abolished in the liver of PXR-deficient mice and were reduced in the liver of CAR-deficient mice. However, CAR and PXR activation in mouse liver was not associated with a marked increase of thyroid hormone clearance, as observed in rat. Nevertheless, our data clearly indicate that PXR and CAR are key modulators of the hepatic gene expression profile following fipronil treatment which, in rats, may contribute to increase thyroid hormone clearance. Copyright © 2013 The Authors. Published by Elsevier Inc. All rights reserved.  KEYWORDS:  MeSH Chemical: Pregnane X Receptor| Pyrazoles| Receptors, Cytoplasmic and Nuclear| Receptors, Steroid| Thyroid Hormones| constitutive androstane receptor| fipronil sulfone| fipronil MeSH: | Animals| Female| Gene Expression Regulation/drug effects| Liver/majr/drug effects/physiology| Male| Mice| Mice, Inbred C57BL| Mice, Mutant Strains| Pregnane X Receptor| Pyrazoles/majr/blood/pharmacokinetics/pharmacology| Rats| Rats, Wistar| Receptors, Cytoplasmic and Nuclear/majr/genetics/metabolism| Receptors, Steroid/majr/genetics/metabolism| Species Specificity| Thyroid Hormones/majr/metabolism| Transcriptome/drug effects Other:(13)C(6)-levothyroxine (PubChem CID: 53442260)|5′-diphospho (UDP)-glucuronosyltransferase|ATP-binding cassette|Abc|CAR|Ces|Constitutive androstane receptor|Cyp|ESI(+)|FT3|FT4|Fipronil|Fipronil (PubChem CID: 3352)|GABA|GEO|GO|Gst|Hepatic metabolism|LOQ|MRM|MRP|OATP|PB|PCN|PXR|Polr2a|Pregnane X receptor|QC|RNA polymerase II polypeptide A|RT-qPCR|Rodents|Slco|Sult|T3|T4|TATA-box binding protein|TSH|TT3|TT4|Tbp|Thyroid hormone metabolism|Thyroxine (PubChem CID: 5819)|Triiodothyronine (PubChem CID: 5920)|Ugt|carboxylesterase|constitutive androstane receptor|cytochrome P450|electrospray ionization mode|free thyroxine|free triiodothyronine|gene expression omnibus|gene ontology|glutathione S-transferase|limit of quantification|multidrug resistance-associated protein|multiple reaction monitoring|organic anion-transporting polypeptide|phenobarbital|pregnane X receptor|pregnenolone-16alpha-carbonitrile|quality control|real-time quantitative polymerase chain reaction|solute carrier organic anion transporter|sulfotransferase|thyroid-stimulating hormone|thyroxine|total thyroxine|total triiodothyronine|triiodothyronine|γ-aminobutyric acid</t>
  </si>
  <si>
    <t>DNA sequencing reveals the midgut microbiota of diamondback moth, Plutella xylostella (L.) and a possible relationship with insecticide resistance.    ABSTRACT:  Insect midgut microbiota is important in host nutrition, development and immune response. Recent studies indicate possible links between insect gut microbiota and resistance to biological and chemical toxins. Studies of this phenomenon and symbionts in general have been hampered by difficulties in culture-based approach. In the present study, DNA sequencing was used to examine the midgut microbiota of diamondback moth (DBM), Plutella xylostella (L.), a destructive pest that attacks cruciferous crops worldwide. Its ability to develop resistance to many types of synthetic insecticide and even Bacillus thuringiensis toxins makes it an important species to study.Bacteria of the DBM larval midgut in a susceptible and two insecticide (chlorpyrifos and fipronil) resistant lines were examined by Illumina sequencing sampled from an insect generation that was not exposed to insecticide. This revealed that more than 97% of the bacteria were from three orders: Enterobacteriales, Vibrionales and Lactobacillales. Both insecticide-resistant lines had more Lactobacillales and the much scarcer taxa Pseudomonadales and Xanthomonadales with fewer Enterobacteriales compared with the susceptible strain. Consistent with this, a second study observed an increase in the proportion of Lactobacillales in the midgut of DBM individuals from a generation treated with insecticides.This is the first report of high-throughput DNA sequencing of the entire microbiota of DBM. It reveals differences related to inter- and intra-generational exposure to insecticides. Differences in the midgut microbiota among susceptible and insecticide-resistant lines are independent of insecticide exposure in the sampled generations. While this is consistent with the hypothesis that Lactobacillales or other scarcer taxa play a role in conferring DBM insecticide resistance, further studies are necessary to rule out other possibilities. Findings constitute the basis for future molecular work on the functions of insect midgut microbiota taxa and their possible role in conferring host resistance to toxins.  KEYWORDS:  MeSH Chemical: Insecticides| RNA, Ribosomal, 16S MeSH: | Animals| Biodiversity| Gastrointestinal Tract/majr/microbiology| Insecticide Resistance/majr/genetics| Insecticides/majr/pharmacology| Larva/microbiology| Metagenome/majr| Microbiota/majr| Moths/majr/drug effects/microbiology| Phylogeny| RNA, Ribosomal, 16S</t>
  </si>
  <si>
    <t>Baseline toxicity of metaflumizone and lack of cross resistance between indoxacarb and metaflumizone in diamondback moth (Lepidoptera: Plutellidae).    ABSTRACT:  Diamondback moth, Plutella xylostella (L.) is a serious insect pest of vegetables worldwide, and has evolved resistance to various kinds of insecticides. Studies were conducted to determine the baseline toxicity of metaflumizone and the possibility of cross-resistance between metaflumizone and indoxacarb, two sodium channel blocking insecticides (SCBIs), in field populations of P. xylostella from China. The variation in susceptibility to metaflumizone among 29 field populations of P. xylostella collected from 14 geographical locations in China was less than five-fold, with 50% lethal concentrations (LC50(s)) varying from 1.34 to 6.55 mg/liter. Limited variations in LC50(s) (less than five-fold, ranging from 1.76 to 8.16 mg/liter) were also observed in the four laboratory-selected strains with high levels of resistance to abamectin, spinosad, fipronil, or Bt toxin Cry1Ac. The toxicity of metaflumizone and indoxacarb was compared among 23 out of the 29 field populations. When compared with the susceptible Roth strain, the JN-09B population showed the highest level of resistance to indoxacarb (110-fold), but two-fold tolerance to metaflumizone. The other 22 populations (with 5- to 58-fold of resistance to indoxacarb) had 1- to three-fold tolerance to metaflumizone. Metaflumizone could provide an effective alternative insecticide for diamondback moth management. Although the field populations of P. xylostella tested with various levels of resistance to indoxacarb did not have cross-resistance to metaflumizone, metaflumizone should be rotated with other chemicals of different modes of action instead of indoxacarb.  KEYWORDS:  MeSH Chemical: Insecticides| Oxazines| Semicarbazones| indoxacarb| metaflumizone MeSH: | Animals| Biological Assay| China| Dose-Response Relationship, Drug| Insecticide Resistance/majr/drug effects| Insecticides/majr/pharmacology| Larva/drug effects/genetics/growth &amp; development| Lethal Dose 50| Moths/majr/drug effects/genetics/growth &amp; development| Oxazines/majr/pharmacology| Selection, Genetic| Semicarbazones/majr/pharmacology</t>
  </si>
  <si>
    <t>KONAGAbase: a genomic and transcriptomic database for the diamondback moth, Plutella xylostella.    ABSTRACT:  The diamondback moth (DBM), Plutella xylostella, is one of the most harmful insect pests for crucifer crops worldwide. DBM has rapidly evolved high resistance to most conventional insecticides such as pyrethroids, organophosphates, fipronil, spinosad, Bacillus thuringiensis, and diamides. Therefore, it is important to develop genomic and transcriptomic DBM resources for analysis of genes related to insecticide resistance, both to clarify the mechanism of resistance of DBM and to facilitate the development of insecticides with a novel mode of action for more effective and environmentally less harmful insecticide rotation. To contribute to this goal, we developed KONAGAbase, a genomic and transcriptomic database for DBM (KONAGA is the Japanese word for DBM).KONAGAbase provides (1) transcriptomic sequences of 37,340 ESTs/mRNAs and 147,370 RNA-seq contigs which were clustered and assembled into 84,570 unigenes (30,695 contigs, 50,548 pseudo singletons, and 3,327 singletons); and (2) genomic sequences of 88,530 WGS contigs with 246,244 degenerate contigs and 106,455 singletons from which 6,310 de novo identified repeat sequences and 34,890 predicted gene-coding sequences were extracted. The unigenes and predicted gene-coding sequences were clustered and 32,800 representative sequences were extracted as a comprehensive putative gene set. These sequences were annotated with BLAST descriptions, Gene Ontology (GO) terms, and Pfam descriptions, respectively. KONAGAbase contains rich graphical user interface (GUI)-based web interfaces for easy and efficient searching, browsing, and downloading sequences and annotation data. Five useful search interfaces consisting of BLAST search, keyword search, BLAST result-based search, GO tree-based search, and genome browser are provided. KONAGAbase is publicly available from our website (http://dbm.dna.affrc.go.jp/px/) through standard web browsers.KONAGAbase provides DBM comprehensive transcriptomic and draft genomic sequences with useful annotation information with easy-to-use web interfaces, which helps researchers to efficiently search for target sequences such as insect resistance-related genes. KONAGAbase will be continuously updated and additional genomic/transcriptomic resources and analysis tools will be provided for further efficient analysis of the mechanism of insecticide resistance and the development of effective insecticides with a novel mode of action for DBM.  KEYWORDS:  MeSH: | Animals| Computer Graphics| Databases, Genetic/majr| Gene Expression Profiling/majr| Genomics/majr| Internet| Molecular Sequence Data| Moths/majr/genetics| Organ Specificity| User-Computer Interface</t>
  </si>
  <si>
    <t>Amblyomma cajennense (Acari: Ixodidae) tick populations susceptible or resistant to acaricides in the Mexican Tropics.    ABSTRACT:  The objectives of the present study were: (i) to identify the frequency of cattle farms with a cohabitation of Amblyomma cajennense and Rhipicephalus microplus, (ii) to determine the status of susceptibility or resistance to acaricides used in Veracruz, Mexico, on A. cajennense populations and (iii) to identify factors associated with A. cajennense resistant to acaricides. Fifty farms were visited to determine the presence of ticks (A. cajennense and R. microplus) and to collect engorged A. cajennense individuals. From these, 24 A. cajennense populations were evaluated in resistance bioassays using discriminating doses of acaricides. The acaricides tested were organophosphates (chlorpiriphos, coumaphos and diazinon), pyrethroids (flumethrin, deltamethrin and cypermethrin), amidines (amitraz) and fipronil (a broad spectrum N-phenylpyrazole insecticide). A. cajennense infesting bovines were identified in 86% (43/50) of the farms visited, and 100% of the farms sampled (43/43) had cohabitation between R. microplus and A. cajennense. Of the farm owners or managers surveyed, 87.5% could not distinguish the morphological difference between tick genera. Populations of A. cajennense were 100%, 91.7% and 12.5% resistant to diazinon, coumaphos and chlorpyriphos (organophosphates), respectively, and 12.5% to amitraz, as were those susceptible to flumethrin and fipronil. In conclusions, populations of A. cajennense showed a high frequency of resistance to the organophosphates tested and to amitraz. Factors associated with the resistance to acaricides in A. cajennense were not identified. Copyright © 2013 Elsevier B.V. All rights reserved.  KEYWORDS:  MeSH Chemical: Acaricides MeSH: | Acaricides/majr/pharmacology| Animal Husbandry| Animals| Cattle| Cattle Diseases/epidemiology/parasitology| Data Collection| Humans| Insecticide Resistance/majr| Ixodidae/majr/drug effects| Mexico/epidemiology| Risk Factors| Surveys and Questionnaires| Tick Infestations/majr/epidemiology/parasitology/veterinary| Tropical Climate Other:Acaricides|Amblyomma cajennense|Mexico|Resistance|Risk factors</t>
  </si>
  <si>
    <t>Further studies on wireworm management in Canada: damage protection versus wireworm mortality in potatoes.    ABSTRACT:  The efficacy of various insecticides and application methods in protecting potatoes from wireworm (Agriotes obscurus L.) damage as well as reducing wireworm populations was studied over 5 yr in Agassiz, British Columbia. Protection from wireworm damage was measured by the number of blemishes to daughter tubers, and effects on wireworm populations were measured by sampling soil around seed potatoes and/or by bait traps the following spring. Organophosphates registered for wireworm control in the United States and/or Canada (phorate and chlorpyrifos), significantly reduced blemishes to tubers by, respectively, 92.2 and 90.2%, and populations of large (&gt; or = 9 mm long = 'resident') wireworms by 83.4 and 71.0% relative to controls. Similar reductions in smaller (&lt; 9 mm long = 'neonate') wireworms were also observed. Neonicotinoids (imidacloprid, clothianidin, and thiamethoxam) tested as seed piece treatments at approximately 12.5 g active ingredient/100 kg potato seed reduced blemishes by, respectively, 19.1, 71.6, and 90.6%, but resident wireworms were only reduced by, respectively, 22.0, 29.1, and 51.8%. Significant mortality of neonates was not observed with any neonicotinoid treatment. With the possible exception of thiamethoxam, where significant reduction in resident wireworms occurred, it is likely that the blemish protection provided without significant wireworm mortality with imidacloprid and clothianidin treatments was because of long-term wireworm intoxication followed by population recovery. The phenyl pyrazole, fipronil, applied as an in-furrow spray reduced blemishes by 94.3%, and resident wireworm populations could not be detected in plots the following spring. Neonates were reduced by 93.3%, indicating excellent residual conotrol had occurred with fipronil. These studies indicate that tuber protection by fipronil and currently registered organophosphates is likely because of significant early season mortality of wireworms, whereas neonicotinoids generally provide control through long-term morbidity without high levels of mortality occurring.  KEYWORDS:  MeSH Chemical: Insecticides MeSH: | Animals| British Columbia| Coleoptera/majr| Insect Control/majr| Insecticides/majr| Solanum tuberosum/majr</t>
  </si>
  <si>
    <t>Insecticide susceptibilities in populations of two rice planthoppers, Nilaparvata lugens and Sogatella furcifera, immigrating into Japan in the period 2005-2012.    ABSTRACT:  The brown planthopper Nilaparvata lugens and the whitebacked planthopper Sogatella furcifera are both important pests on rice throughout Asia. The major cause of recent outbreaks is thought to be the development of insecticide resistance. Thus, the authors monitored insecticide susceptibilities in populations of these two insects immigrating into Japan in the period 2005-2012. Ten insecticides were tested, including members of the organophosphate, carbamate, pyrethroid, neonicotinoid and phenylpyrazole groups.The LD50 values of N. lugens against imidacloprid increased from 2005 (0.7 µg g(-1)) to 2012 (98.5 µg g(-1)). The resistance ratio (LD50 value in 2012/baseline LD50 value in 1992) was 615.5. In contrast, LD50 values of N. lugens against fipronil were &lt;1.0 µg g(-1) up to 2012, suggesting that N. lugens had developed no insecticide resistance to this insecticide. However, S. furcifera exhibited resistance against fipronil up to 2012. Except for the case of malathion, the resistances of N. lugens against members of the organophosphate and carbamate groups were closely similar in the period 2005-2012 to earlier determinations in 1984 and 1985.Species-specific insecticide resistance (imidacloprid resistance in N. lugens and fipronil resistance in S. furcifera) is ongoing in populations of the two planthoppers immigrating into Japan.© 2013 Society of Chemical Industry.  KEYWORDS:  MeSH Chemical: Carbamates| Imidazoles| Insecticides| Neonicotinoids| Nitro Compounds| Organothiophosphates| Pyrazoles| Pyrethrins| Thiazoles| imidacloprid| fipronil MeSH: | Animals| Carbamates/toxicity| Female| Hemiptera/majr| Imidazoles/toxicity| Insecticide Resistance/majr/physiology| Insecticides/majr/toxicity| Introduced Species/majr| Japan| Neonicotinoids| Nitro Compounds/toxicity| Organothiophosphates/toxicity| Oryza| Pyrazoles/toxicity| Pyrethrins/toxicity| Thiazoles/toxicity Other:brown planthopper|fipronil|imidacloprid|insecticide resistance|topical application|whitebacked planthopper</t>
  </si>
  <si>
    <t>Removal of mixed pesticides from aqueous solutions using organoclays: evaluation of equilibrium and kinetic model.    ABSTRACT:  Removal of mixed pesticides, namely alachlor, metolachlor, chlorpyriphos, fipronil, α-endosulfan, β-endosulfan, p,p'-DDT and two metabolites p,p'-DDE and endosulfan sulphate from aqueous solution by batch adsorption onto three commercial organo-modified montmorillonite clays [modified with octadecylamine (ODA-M), modified with dimethyl- dialkylamine (DMDA-M) and modified with octadecylamine and aminopropyltriethoxysilane (ODAAPS-M)] were investigated. Effect of process variables, mainly contact time and initial concentration of mixed pesticides, on adsorption phenomenon were evaluated. To understand the adsorption kinetic pseudo-first-order and pseudo-second-order models were tested. The pseudo-second-order model provided the best fit for explaining adsorption kinetics, on the basis of high correlation coefficient (r) and normalized percent deviation values. The adsorption equilibrium was explained by the Freundlich isotherm (r = 0.951-0.992). High values (0.17-0.52 mg g⁻¹) of Freundlich constant (K(f)) indicated higher affinity of pesticides towards all three organoclays, as a result of hydrophobic interaction between the adsorbent/adsorbate systems. Pesticides with high octanol-water partition coefficient (K(ow)) and low water solubility showed faster adsorption with higher K(f) values as compared to the pesticides with low K(ow) and high water solubility. The order of organoclays for removal efficiency of mixed pesticide was ODAAPS-M &gt; DMDA-M &gt; ODA-M. These findings may find application to decontaminate or treat mixed pesticide contaminated industrial/agricultural waste waters.  KEYWORDS:  MeSH Chemical: Aluminum Silicates| Herbicides| Insecticides| Organic Chemicals| Water Pollutants, Chemical| Bentonite| Clay MeSH: | Adsorption| Aluminum Silicates/majr/chemistry| Bentonite/majr/chemistry| Chromatography, Gas| Clay| Herbicides/majr/chemistry| Insecticides/majr/chemistry| Kinetics| Models, Theoretical| Organic Chemicals/chemistry| Waste Disposal, Fluid/majr/methods| Water Pollutants, Chemical/majr/chemistry</t>
  </si>
  <si>
    <t>Enzymatic biomarkers as tools to assess environmental quality: a case study of exposure of the honeybee Apis mellifera to insecticides.    ABSTRACT:  The present study was intended to evaluate the responses of enzymes in the honeybee Apis mellifera after exposure to deltamethrin, fipronil, and spinosad and their use as biomarkers. After determination of the median lethal doses (LD50), honeybees were exposed at doses of 5.07 ng/bee and 2.53 ng/bee for deltamethrin, 0.58 ng/bee and 0.29 ng/bee for fipronil, and 4.71 ng/bee and 2.36 ng/bee for spinosad (equivalent to 1/10th [LD50/10] and 1/20th [LD50/20] of the LD50, respectively). The responses of acetylcholinesterase (AChE), carboxylesterases (CaEs-1-3), glutathione-S-transferase (GST), catalase (CAT), and alkaline phosphatase (ALP) were assessed. The results showed that deltamethrin, fipronil, and spinosad modulated these biomarkers differentially. For the enzyme involved in the defense against oxidative stress, fipronil and spinosad induced CAT activity. For the remaining enzymes, 3 response profiles were identified. First, exposure to deltamethrin induced slight effects and modulated only CaE-1 and CaE-2, with opposite effects. Second, spinosad exhibited an induction profile for most of the biomarkers, except AChE. Third, fipronil did not modulate AChE, CaE-2, or GST, increased CAT and CaE-1, and decreased ALP. Thus, this set of honeybee biomarkers appears to be a promising tool to evaluate environmental and honeybee health, and it could generate fingerprints to characterize exposures to pesticides.Copyright © 2013 SETAC.  KEYWORDS:  MeSH Chemical: Biomarkers| Drug Combinations| Environmental Pollutants| Insecticides| Macrolides| Nitriles| Pyrazoles| Pyrethrins| decamethrin| Catalase| Glutathione Transferase| Carboxylic Ester Hydrolases| Alkaline Phosphatase| fipronil| spinosad MeSH: | Alkaline Phosphatase/metabolism| Animals| Bees/majr/drug effects/enzymology| Biomarkers/metabolism| Carboxylic Ester Hydrolases/metabolism| Catalase/metabolism| Drug Combinations| Environmental Pollutants/majr/toxicity| Glutathione Transferase/metabolism| Insecticides/majr/toxicity| Macrolides/toxicity| Nitriles/toxicity| Pyrazoles/toxicity| Pyrethrins/toxicity Other:Biomarker|Honeybee|Insecticide|Sublethal effect</t>
  </si>
  <si>
    <t>Supplementation of microbial levan in the diet of Cyprinus carpio fry (Linnaeus, 1758) exposed to sublethal toxicity of fipronil: effect on growth and metabolic responses.    ABSTRACT:  A 60-day feeding trial was conducted to study the effect of dietary microbial levan on growth performance and metabolic responses of Cyprinus carpio fry exposed to sublethal dose (1/10th LC₅₀) of fipronil [(±)-5-amino-1-(2,6-dichloro-α,α,α-trifluoro-p-tolyl)-4-trifluoromethylsulfinylpyrazole-3-carbonitrile]. Two hundred and twenty five fry were randomly distributed in five treatments in triplicates. Four purified diets were prepared with graded levels of microbial levan. Five different treatment groups were levan control L₀P₀ (basal feed + 0 % levan without exposure to pesticide); pesticide control L₀P₁ (basal feed + 0 % levan with exposure to pesticide); L₀.₂₅P₁ (basal feed + 0.25 % levan with exposure to pesticide); L₀.₅₀P₁ (basal feed + 0.50 % levan with exposure to pesticide); and L₀.₇₅P₁ (basal feed + 0.75 % levan with exposure to pesticide). Weight gain% and specific growth rate were significantly higher (p &lt; 0.05) in levan fed groups compared to their non-levan fed counterpart. Highest (p &lt; 0.05) content of ascorbic acid in muscle, liver and brain tissues was observed with higher level of dietary levan. Glucose-6-phosphate dehydrogenase activity decreased with the increasing level of dietary levan in the liver and muscle. Aspartate aminotransferase activity exhibited a second order polynomial relationship with the dietary levan, both in liver (Y = -1.001x² + 5.366x + 5.812, r² = 0.887) and muscle (Y = -0.566x² + 2.833x + 6.506, r² = 0.858) while alanine aminotransferase activity showed third order polynomial relationship both in liver (Y = 1.195x³ - 12.30x² + 35.23x + 9.874, r² = 0.879) and muscle (Y = 0.527x³ - 8.429x² + 31.80x + 8.718, r² = 0.990). Highest (p &lt; 0.05) superoxide dismutase activity in gill was observed in the group fed with 0.75 % levan supplemented diet. Overall results indicated that dietary microbial levan at 0.75 % in C. carpio fry ameliorated the negative effects of fipronil and augmented the growth.  KEYWORDS:  MeSH Chemical: Fructans| Insecticides| Pyrazoles| levan| Ascorbic Acid| fipronil MeSH: | Animal Feed| Animals| Aquaculture/majr| Ascorbic Acid/metabolism| Carps/majr/growth &amp; development/metabolism| Dietary Supplements| Fructans/majr| Insecticides/majr/toxicity| Pyrazoles/majr/toxicity| Random Allocation</t>
  </si>
  <si>
    <t>Insecticide mixtures could enhance the toxicity of insecticides in a resistant dairy population of Musca domestica L [corrected].    ABSTRACT:  House flies, Musca domestica L., are important pests of dairy operations worldwide, with the ability to adapt wide range of environmental conditions. There are a number of insecticides used for their management, but development of resistance is a serious problem. Insecticide mixtures could enhance the toxicity of insecticides in resistant insect pests, thus resulting as a potential resistance management tool. The toxicity of bifenthrin, cypermethrin, deltamethrin, chlorpyrifos, profenofos, emamectin benzoate and fipronil were assessed separately, and in mixtures against house flies. A field-collected population was significantly resistant to all the insecticides under investigation when compared with a laboratory susceptible strain. Most of the insecticide mixtures like one pyrethroid with other compounds evaluated under two conditions (1∶1-"A" and LC50: LC50-"B") significantly increased the toxicity of pyrethroids in the field population. Under both conditions, the combination indices of pyrethroids with other compounds, in most of the cases, were significantly below 1, suggesting synergism. The enzyme inhibitors, PBO and DEF, when used in combination with insecticides against the resistant population, toxicities of bifenthrin, cypermethrin, deltamethrin and emamectin were significantly increased, suggesting esterase and monooxygenase based resistance mechanism. The toxicities of bifenthrin, cypermethrin and deltamethrin in the resistant population of house flies could be enhanced by the combination with chlorpyrifos, profenofos, emamectin and fipronil. The findings of the present study might have practical significance for resistance management in house flies.  KEYWORDS:  MeSH Chemical: Disaccharides| Drug Combinations| Insecticides| Nitriles| Pyrazoles| Pyrethrins| cypermethrin| decamethrin| bifenthrin| Ivermectin| emamectin| Chlorpyrifos| fipronil MeSH: | Animals| Chlorpyrifos/pharmacology| Disaccharides/pharmacology| Drug Combinations| Houseflies/majr/drug effects| Insecticide Resistance| Insecticides/majr/pharmacology| Ivermectin/analogs &amp; derivatives/pharmacology| Nitriles/pharmacology| Pyrazoles/pharmacology| Pyrethrins/pharmacology</t>
  </si>
  <si>
    <t>Ant control efficacy of pyrethroids and fipronil on outdoor concrete surfaces.    ABSTRACT:  Urban and residential concrete surfaces are often treated with pesticides to control ants. Run-off from irrigation/rainfall can remove pesticides from concrete and contaminate urban waterways. Recent regulations and mitigations in regions such as California aim to reduce insecticide run-off (e.g. pyrethroids), but are often proposed without adequate consideration of their impact on ant control efficacy.We carried out an outdoor study with a side-by-side comparison between pesticide run-off potential and residual ant toxicity after exposing treated concrete to summer conditions and simulated precipitations.Treatments with bifenthrin, permethrin or fipronil all showed fast ant knockdown initially, and over 50% of ants were killed within 16 h after 1-min contact with the treated surfaces. Shorter ant median lethal time (LT50) was observed on concrete treated with over-the-counter (OTC) granule/dust formulations than OTC liquid or professional formulations. However, the treated surfaces rapidly lost ant control efficacy after outdoor exposure and repeated precipitations. Except for OTC solid permethrin treatment, the ant toxicity disappeared after 20 days for all other formulation treatments. In contrast, pesticides were detected in run-off water from simulated precipitations even 89 days after the treatment, with levels above 0.5 µg L(-1) for bifenthrin, 30 µg L(-1) for permethrin and 0.15 µg L(-1) for fipronil. Pyrethroid run-offs from OTC solid formulations were &gt;10 times higher than the other two formulations.The results suggested viable options for run-off mitigation include decreasing use on concrete such as using crack/spot treatments instead of broadcast applications, limiting pesticide use on hardscapes away from water contact, and avoiding using dust/granule formulations on hardscapes.© 2013 Society of Chemical Industry.  KEYWORDS:  MeSH Chemical: Insecticides| Pyrazoles| Pyrethrins| Water Pollutants, Chemical| fipronil MeSH: | Animals| Ants/majr| Chemistry, Pharmaceutical| Insect Control/majr| Insecticides/majr/chemistry| Models, Theoretical| Pyrazoles/majr/chemistry| Pyrethrins/majr/chemistry| Rain/chemistry| Risk| Seasons| Surface Properties| Time Factors| Water Pollutants, Chemical/majr/chemistry Other:ant control|bifenthrin|concrete|fipronil|hardscapes|permethrin</t>
  </si>
  <si>
    <t>Effects of termiticide exposure on mutual interactions between the treated and untreated workers of the Asian subterranean termite Coptotermes gestroi.    ABSTRACT:  Mutual interactions, including reciprocal food sharing and grooming between chlorantraniliprole- and fipronil-treated, and untreated Asian subterranean termites, Coptotermes gestroi (Wasmann), were examined using rubidium as a tracer. Two questions were addressed in this study: (1) After insecticide treatment, does the mutual interaction between termiticide-treated termites and untreated nestmates increase? (2) Does the nutritional status of both termiticide-treated termites and untreated nestmates affect the mutual interaction?The comparative data suggested that chlorantraniliprole-treated termites were more regularly attended by untreated termites than the fipronil-treated termites. Mutual interaction between the chlorantraniliprole-treated termites and untreated termites was not affected by their nutritional status. A high level of rubidium was present in the reciprocal exchange from fipronil-treated termites to starved untreated termites, indicating that intoxication induced alimentary or anal fluids served as a food source for starved termites.The results of the present study indicated that termites exposed to chlorantraniliprole were more likely to cease feeding and then undergo starvation. Thus, the treated termites were subject to intensive reciprocal food exchange and frequent attention from untreated nestmates. In the fipronil treatment, starvation status facilitated the reciprocal food exchange rate from treated termites to starved untreated termites.© 2013 Society of Chemical Industry.  KEYWORDS:  MeSH Chemical: Insecticides| Pyrazoles| ortho-Aminobenzoates| chlorantranilipole| Rubidium| fipronil MeSH: | Animals| Eating/drug effects| Insecticides/majr/pharmacology| Interpersonal Relations| Isoptera/majr/drug effects/metabolism| Paper| Pyrazoles/pharmacology| Rubidium/metabolism| Survival Analysis| ortho-Aminobenzoates/pharmacology Other:feeding cessation|food tracer|horizontal transfer|nutritional status|repetitive transfer|slow-acting effect</t>
  </si>
  <si>
    <t>Seasonal and spatial distribution of ixodid tick species feeding on naturally infested dogs from Eastern Austria and the influence of acaricides/repellents on these parameters.    ABSTRACT:  Effective control of tick infestation and pathogen transmission requires profound knowledge of tick biology in view of their vector function. The particular time of the year when the different tick species start to quest and the favoured sites on the canine host are of major interest. The efficacy of acaricides/repellents to control ticks in the field requires observation.To address these issues, 90 dogs, grouped in "untreated", "acaricide/repellent" (permethrin) and "acaricide only" (fipronil) animals and subjected to tick infestation under natural conditions in Burgenland (Eastern Austria), were examined. The number and species of ticks occurring during and outside the protection time was evaluated during a period of 11 months and the biting location on the dogs' skin was recorded.Of the 700 ticks collected, the most common species in that particular walking area was Ixodes ricinus, followed by Dermacentor reticulatus and Haemaphysalis concinna. Regarding the on-host activity, D. reticulatus displayed more infestations in early spring and late autumn, whereas I. ricinus occurred almost one month later in spring and one month earlier in autumn. H. concinna followed a monophasic pattern of activity with a peak in summer. The preferred feeding sites of the ticks on the dogs were on the head, neck, shoulder and chest. This distribution over the dog's body was not influenced by the use of the drugs, although on the whole fewer ticks (22.5% of all ticks) were found during the protection time. Interestingly, differences occurred with the use of drugs compared to non-protected dogs with regard to the infestation over the year. Acaricide-treated dogs displayed a higher prevalence in April, May and September, whereas dogs of the acaricide/repellent group showed a higher infestation in March, July, October and November.The different tick species display different on-dog activity peaks over the year, during which particular canine diseases can be expected and predicted, considering the specific incubation times for each pathogen.The tick species occurring in this study do not seem to choose particular sites on the dogs. Their arrival place seems to represent the attachment and consequently the feeding sites. The use of acaricides leads to a significantly (p&lt;0.01) lower number of infesting ticks but no change of the distribution pattern on the dogs was observed.  KEYWORDS:  MeSH Chemical: Acaricides| Insect Repellents MeSH: | Acaricides/majr/therapeutic use| Animals| Austria/epidemiology| Dog Diseases/majr/drug therapy/epidemiology/parasitology| Dogs| Female| Insect Repellents/majr/therapeutic use| Ixodidae/majr/growth &amp; development/pathogenicity| Male| Seasons| Tick Infestations/majr/drug therapy/epidemiology/parasitology/veterinary</t>
  </si>
  <si>
    <t>Pesticide management and their residues in sediments and surface and drinking water in the Mekong Delta, Vietnam.    ABSTRACT:  Public concern in Vietnam is increasing with respect to pesticide pollution of the environment and of drinking water resources. While established monitoring programs in the Mekong Delta (MD) focus on the analysis of organochlorines and some organophosphates, the environmental concentrations of more recently used pesticides such as carbamates, pyrethroides, and triazoles are not monitored. In the present study, household level pesticide use and management was therefore surveyed and combined with a one year environmental monitoring program of thirteen relevant pesticides (buprofezin, butachlor, cypermethrin, α-endosulfan, β-endosulfan, endosulfan-sulfate, fenobucarb, fipronil, isoprothiolane, pretilachlor, profenofos, propanil, and propiconazole) in surface water, soil, and sediment samples. The surveys showed that household level pesticide management remains suboptimal in the Mekong Delta. As a consequence, a wide range of pesticide residues were present in water, soil, and sediments throughout the monitoring period. Maximum concentrations recorded were up to 11.24 μg l(-1) in water for isoprothiolane and up to 521 μg kg(-1) dm in sediment for buprofezin. Annual average concentrations ranged up to 3.34 μg l(-1) in water and up to 135 μg kg(-1) dm in sediment, both for isoprothiolane. Occurrence of pesticides in the environment throughout the year and co-occurrence of several pesticides in the samples indicate a considerable chronic exposure of biota and humans to pesticides. This has a high relevance in the delta as water for drinking is often extracted from canals and rivers by rural households (GSO, 2005, and own surveys). The treatment used by the households for preparing surface water prior to consumption (flocculation followed by boiling) is insufficient for the removal of the studied pesticides and boiling can actually increase the concentration of non-volatile pollutants.Copyright © 2012 Elsevier B.V. All rights reserved.  KEYWORDS:  MeSH Chemical: Drinking Water| Pesticide Residues| Pesticides| Soil Pollutants| Water Pollutants, Chemical MeSH: | Agriculture/methods| Drinking Water/majr/analysis/chemistry| Environmental Exposure/adverse effects/analysis| Environmental Monitoring| Family Characteristics| Geologic Sediments/majr/analysis/chemistry| Humans| Pesticide Residues/analysis| Pesticides/majr/analysis| Rural Population| Seasons| Soil Pollutants/analysis| Vietnam| Water Pollutants, Chemical/majr/analysis| Water Purification/methods</t>
  </si>
  <si>
    <t>Effect of owner-controlled acaricidal treatment on tick infestation and immune response to tick-borne pathogens in naturally infested dogs from Eastern Austria.    ABSTRACT:  Tick-borne infections resulting from regular tick infestation in dogs are a common veterinary health problem all over the world. The application of repellent and acaricidal agents to prevent transmission of pathogens is a major protection strategy and has been proven to be highly effective in several trials under laboratory and natural conditions in dogs. Despite such promising results, many dog owners still report tick infestation in their dogs although acaricidal agents are used. Information about the current infection status and changes of the infection status regarding tick-borne diseases (TBD) in dogs treated by the owner's controlled acaricide application is lacking.In this study 30 dogs were each treated with permethrin, fipronil + S-methoprene, or served as untreated controls. Application of the acaricide was performed by the owner who decided when and how often to use the spot on preparation. Over a period of 11 months, dogs were clinically examined and sampled for antibody responses against Babesia canis, Anaplasma phagocytophilum, Borrelia burgdorferi s. l., and TBE virus before the study started, 6 months later and at the end of the investigation period.The permethrin acaricide was applied on average 3.40 times within the examination period, whereas the fipronil + S-methoprene medication was applied 3.03 times. Approximately 2/3 of all dogs, independent of the group, had a positive immune response to one or more pathogens. Three dogs developed clinical symptoms of canine babesiosis, all other dogs remained healthy. Individual number of ticks per dog or number of infections per dog did not correlate with the application rate, and the number of ticks per dog did not influence the number of infections per dog. As owners did not apply the acaricides regularly no influence on the number of infections could be documented although the number of ticks was clearly reduced by the application of the spot-on drugs.Clinical disease in dogs exposed to tick-borne pathogens is rare, although a humoral immune response reflecting infection is common. More educational training for dog owners is necessary to make the application of acaricides effective regarding the prevention of tick-borne diseases.  KEYWORDS:  MeSH Chemical: Acaricides| Pyrazoles| Permethrin| Methoprene| fipronil MeSH: | Acaricides/majr/administration &amp; dosage| Animals| Austria/epidemiology| Dog Diseases/majr/drug therapy/immunology/parasitology| Dogs| Female| Humans| Male| Methoprene/administration &amp; dosage| Permethrin/administration &amp; dosage| Prevalence| Pyrazoles/administration &amp; dosage| Tick Infestations/majr/drug therapy/parasitology/veterinary| Tick-Borne Diseases/majr/epidemiology/immunology/veterinary</t>
  </si>
  <si>
    <t>Biochemical biomarkers in Scinax fuscovarius tadpoles exposed to a commercial formulation of the pesticide fipronil.    ABSTRACT:  One of the main pesticides used in the cultivation of sugarcane in São Paulo State, Brazil, is Regent(®)800WG, the main active compound of which is fipronil. Fipronil is a potent insecticide that eliminates pests, including insects resistant to pyrethroids, organophosphates (OP) and carbamates (CA). There is little known on the toxic effects of fipronil on non-target organisms, such as tadpoles of frogs. It is possible that this compound carries a high toxicity for these organisms, since the pesticide can be incorporated into aquatic environments during the rainy season, a time which coincides with the time of amphibian reproduction and the occurrence of tadpoles in the aquatic environment in this region. Thus, the pesticide could be contributing to the decline of amphibians in the northwest region of São Paulo state due to its wide use. This study aimed to test the influence of Regent(®)800WG on some biochemical systems of tadpoles (such as antioxidant defense systems) at different stages of development. The results of analysis from in vivo exposures demonstrated that only a few parameters in the groups exposed to fipronil responded to exposure to Regent(®)800WG, results which indicate that the pesticide instigates biochemical responses in tadpoles. Although catalase and glucose-6-phosphate dehydrogenase (G6PDH) were unchanged during the experiments, glutathione-S-transferase (GST) was inhibited in tadpoles, and the activity of glutathione reductase (GR) varied according to the exposure period and pesticide concentration. This data demonstrated the influence of the fipronil formulation on the metabolism of tadpoles, and showed that it can increase their susceptibility to environmental contaminants.Copyright © 2013 Elsevier Ltd. All rights reserved.  KEYWORDS:  MeSH Chemical: Biomarkers| Pesticides| Pyrazoles| Water Pollutants, Chemical| Glutathione Reductase| Glutathione Transferase| fipronil MeSH: | Animals| Biomarkers/majr/analysis| Environmental Exposure| Enzyme Activation/drug effects| Glutathione Reductase/metabolism| Glutathione Transferase/metabolism| Larva/majr/drug effects| Pesticides/majr/toxicity| Pyrazoles/majr/toxicity| Water Pollutants, Chemical/majr/toxicity Other:Biochemical biomarkers|Fipronil|Pesticide|Scinax fuscovarius|Tadpoles</t>
  </si>
  <si>
    <t>Survey of neonicotinoids and fipronil in corn seeds for agriculture.    ABSTRACT:  Recently, legislative decisions withdrew or temporarily suspended the use of neonicotinoids and fipronil as seeds tanning in many countries because of their endocrine-disrupting activity imputable to the bees' toxicity. In this study, the occurrence of acetamiprid, fipronil, clothianidin, flonicamid, imidacloprid, nitenpyram, thiacloprid and thiamethoxam was detected in 66 samples of commercial treated corn seeds, collected in the Italian market in the frame of ministerial institutional quality control activity. Because of the lack of a validated analytical protocol for neonicotinoid detection in seeds, a routinely suitable liquid chromatography-tandem mass spectroscopy (LC-MS/MS) analytical method was developed and statistically validated on fortified corn seeds. Survey results demonstrated that 88% of the investigated seed samples showed the presence of residues of clothianidin, fipronil, thiamethoxam and thiacloprid, either individually or simultaneously, with values that ranged from about 0.002 to 20 mg kg(-1), which evidenced the alarming illicit use of these pesticides in seed treatments.  KEYWORDS:  MeSH Chemical: Endocrine Disruptors| Guanidines| Imidazoles| Insecticides| Neonicotinoids| Nitro Compounds| Oxazines| Pesticide Residues| Pyrazoles| Pyridines| Thiazines| Thiazoles| clothianidin| nitenpyram| imidacloprid| acetamiprid| Thiamethoxam| thiacloprid| Anabasine| fipronil MeSH: | Agriculture/majr/legislation &amp; jurisprudence| Anabasine/majr/analysis/toxicity| Animals| Bees/drug effects| Chromatography, Liquid| Endocrine Disruptors| Guanidines/analysis| Humans| Imidazoles/analysis| Insecticides/majr/analysis/toxicity| Italy| Legislation, Drug| Neonicotinoids| Nitro Compounds/analysis| Oxazines/analysis| Pesticide Residues/analysis| Pyrazoles/majr/analysis/toxicity| Pyridines/analysis| Reproducibility of Results| Seeds/majr/chemistry| Tandem Mass Spectrometry| Thiamethoxam| Thiazines/analysis| Thiazoles/analysis| Zea mays/majr/chemistry Other:bees|insecticides|mass spectrometry|neonicotinoids|seed treatments</t>
  </si>
  <si>
    <t>A simple non-powered passive trap for the collection of mosquitoes for arbovirus surveillance.    ABSTRACT:  Mosquitoes often are collected as part of an arbovirus surveillance program. However, trapping and processing of mosquitoes for arbovirus detection is often costly and difficult in remote areas. Most traps, such as the gold standard Center for Disease control light trap, require batteries that must be charged and changed overnight. To overcome this issue we have developed several passive traps for collection of mosquitoes that have no power requirements. The passive traps capture mosquitoes as they follow a CO2 plume up a polyvinyl chloride pipe leading to a clear chamber consisting of a plastic crate. We believe the translucent, clear windows created by the crate inhibits escape. Once inside the crate mosquitoes readily feed on honey-treated Flinders Technology Associates cards that then can be processed by polymerase chain reaction for viral ribonucleic acid. Of the two designs tested, the box or crate-based passive trap (passive box trap, PBT) generally caught more mosquitoes than the cylinder trap. In Latin square field trials in Cairns and Florida, PBTs collected mosquitoes at rates of 50 to 200% of Center for Disease Control model 512 light traps. Mosquito collections by PBTs can be increased by splitting the CO2 gas line so it services two traps, or by placing an octenol lure to the outside of the box. Very large collections can lead to crowding at honey-treated cards, reducing feeding rates. Addition of fipronil to the honey killed mosquitoes and did not impact feeding rates nor the ability to detect Kunjin viral ribonucleic acid by polymerase chain reaction; this could be used to minimize crowding affects on feeding caused by large collections. The passive traps we developed are made from inexpensive, commonly available materials. Passive traps may thus be suitable for collection of mosquitoes and potentially other hematophagous dipterans for pathogen surveillance.  KEYWORDS:  MeSH Chemical: Insecticides| Octanols| Pyrazoles| Carbon Dioxide| fipronil| 1-octen-3-ol MeSH: | Animals| Arbovirus Infections/transmission| Carbon Dioxide| Culicidae/majr/virology| Florida| Honey| Insecticides| Mosquito Control/majr/instrumentation| Octanols| Pyrazoles| Queensland| Ross River virus/isolation &amp; purification| West Nile virus/isolation &amp; purification</t>
  </si>
  <si>
    <t>Preventive efficacy of Frontline® Combo and Certifect® against Dipylidium caninum infestation of cats and dogs using a natural flea (Ctenocephalides felis) infestation model.    ABSTRACT:  Two studies were performed to evaluate the effectiveness of two monthly topical anti-flea products for the prevention of Dipylidium caninum infestations in cats and dogs. A single treatment with Frontline(®) Combo spot-on for cats (fipronil-(S)-methoprene) and two successive monthly treatments of Certifect(®) for dogs (fipronil-amitraz-(S)-methoprene) were assessed for the prevention of D. caninum infestations following weekly challenges of treated cats or dogs with metacestode naturally-infected fleas. The rate of infestations using the model in cats versus dogs explains the choice of a 1-month trial in cats and a 2-month trial in dogs. The experimental flea-infection model resulted in a range of 22-53% of the fleas being infected by Dipylidium cysticercoids. The arithmetic mean flea counts recorded for the untreated cats ranged from 51.2 to 68. The geometric mean flea counts recorded for the Frontline Combo treated cats differed significantly (p &lt; 0.05) from those of the untreated control cats on all assessment days. The arithmetic mean flea counts recorded for the untreated dogs ranged from 166.6 to 238.6. The geometric mean flea counts recorded for the Certifect treated dogs differed significantly (p &lt; 0.001) from those of the untreated group on all assessment days. Frontline Combo treatment on cats provided ≥99.8% persistent anti-flea efficacy throughout the 30-day treatment period. In the dog study, the two Certifect treatments provided ≥97% persistent efficacy throughout the 60-day study. Based on the collection of expelled D. caninum proglottids by cats, 100% (6/6) of the control cats and 0% (0/6) of Frontline Combo treated cats were infested with D. caninum. Frontline Combo spot-on for cats was therefore 100% effective in preventing infection with D. caninum. In dogs, 7 out of the 8 control group dogs (87.5%) produced proglottids following infestation of infected fleas, whereas 0 out of 8 dogs (0%) in the treated group were infected. The infection rates of the two groups were significantly different. The percent effectiveness for the Certifect treatment group for the prevention of D. caninum infection was 100% during this 2-month trial. No treatment-related adverse events were observed in either cats or dogs during these studies.© F. Beugnet et al., Published by EDP Sciences 2013.  KEYWORDS:  MeSH Chemical: Drug Combinations| Insecticides| Pyrazoles| Toluidines| amitraz| Methoprene| fipronil MeSH: | Administration, Topical| Animals| Cat Diseases/majr/parasitology/prevention &amp; control| Cats| Cestode Infections/majr/complications/parasitology/prevention &amp; control/veterinary| Dog Diseases/majr/parasitology/prevention &amp; control| Dogs| Drug Combinations| Feces/parasitology| Female| Flea Infestations/majr/complications/parasitology/prevention &amp; control/veterinary| Insecticides/majr/administration &amp; dosage| Male| Methoprene/administration &amp; dosage| Pyrazoles/administration &amp; dosage| Toluidines/administration &amp; dosage</t>
  </si>
  <si>
    <t>Meta-diamide insecticides acting on distinct sites of RDL GABA receptor from those for conventional noncompetitive antagonists.    ABSTRACT:  The RDL GABA receptor is an attractive target of insecticides. Here we demonstrate that meta-diamides [3-benzamido-N-(4-(perfluoropropan-2-yl)phenyl)benzamides] are a distinct class of RDL GABA receptor antagonists showing high insecticidal activity against Spodoptera litura. We also suggest that the mode of action of the meta-diamides is distinct from that of conventional noncompetitive antagonists (NCAs), such as fipronil, picrotoxin, lindane, dieldrin, and α-endosulfan. Using a membrane potential assay, we examined the effects of the meta-diamide 3-benzamido-N-(2-bromo-4-(perfluoropropan-2-yl)-6-(trifluoromethyl)phenyl)-2-fluorobenzamide (meta-diamide 7) and NCAs on mutant Drosophila RDL GABA receptors expressed in Drosophila Mel-2 cells. NCAs had little or no inhibitory activity against at least one of the three mutant receptors (A2'S, A2'G, and A2'N), which were reported to confer resistance to NCAs. In contrast, meta-diamide 7 inhibited all three A2' mutant receptors, at levels comparable to its activity with the wild-type receptor. Furthermore, the A2'S·T6'V mutation almost abolished the inhibitory effects of all NCAs. However, meta-diamide 7 inhibited the A2'S・T6'S mutant receptor at the same level as its activity with the wild-type receptor. In contrast, a G336M mutation in the third transmembrane domain of the RDL GABA receptor abolished the inhibitory activities of meta-diamide 7, although the G336M mutation had little effect on the inhibitory activities of conventional NCAs. Molecular modeling studies also suggested that the binding site of meta-diamides was different from those of NCAs. Meta-diamide insecticides are expected to be prominent insecticides effective against A2' mutant RDL GABA receptors with a different mode of action.Copyright © 2013 Elsevier Ltd. All rights reserved.  KEYWORDS:  MeSH Chemical: GABA Antagonists| Insect Proteins| Insecticides| Receptors, GABA| Diamide MeSH: | Amino Acid Sequence| Animals| Binding Sites| Diamide/majr/chemistry/metabolism/pharmacology| Drosophila/chemistry/drug effects/genetics/metabolism| GABA Antagonists/majr/chemistry/metabolism/pharmacology| Insect Proteins/antagonists &amp; inhibitors/chemistry/genetics/metabolism| Insecticides/majr/chemistry/metabolism/pharmacology| Molecular Sequence Data| Protein Binding| Receptors, GABA/majr/chemistry/genetics/metabolism| Sequence Alignment| Spodoptera/majr/chemistry/drug effects/genetics/metabolism</t>
  </si>
  <si>
    <t>Cellular responses in the Malpighian tubules of Scaptotrigona postica (Latreille, 1807) exposed to low doses of fipronil and boric acid.    ABSTRACT:  Studies of sub-lethal effects of pesticide residues on stingless bees are scarce and morphological analysis of organs would add information to toxicological analysis in order to clarify the continuous exposure of Scaptotrigona postica to insecticides. The aim of this study was to evaluate the morphology and histochemistry of the Malpighian tubules (excretory organ) of S. postica exposed to fipronil or boric acid to detect cellular responses that indicate toxicity or adaptative mechanisms to stress induced by exposure of worker bees to low doses of these chemical compounds. Newly emerged bees were submitted to toxicological bioassays and morphological analyses by optical microscopy and Transmission Electron Microscopy, as well as histochemical methods, were performed to detect proteins and glycoconjugates. Additionally, immunohistochemical detection of DNA fragmentation and HSP70 (70-kDa Heat shock protein) were performed to detect cell death and stress response, respectively. Statistical analysis, for the bioassays conducted with ingestion of contaminated diet with boric acid at 0.75% (w/w) or with fipronil at 0.1μg/kg of food, showed that the survival of bees that ingested the contaminated diets were significantly different to the survival rate presented by the control group (P&lt;0.0001). Although some characteristics indicative of initiation of cell death were observed, the cells remained metabolically active in the processes of excretion and inactivation of chemical compounds. The data from this study reinforce the importance of research on sublethal effects of low doses of pesticides on bees in an attempt to assess a possible realistic dose and evaluate the risk assessment of stingless bee S. postica foraging in the vicinity of cultivated fields and/or in green urban areas.Copyright © 2013 Elsevier Ltd. All rights reserved.  KEYWORDS:  MeSH Chemical: Boric Acids| HSP70 Heat-Shock Proteins| Insecticides| Pyrazoles| fipronil| boric acid MeSH: | Animals| Bees/majr/drug effects/ultrastructure| Boric Acids/majr/toxicity| DNA Fragmentation| HSP70 Heat-Shock Proteins/analysis| Histocytochemistry| Immunohistochemistry| Insecticides/majr/toxicity| Malpighian Tubules/drug effects/ultrastructure| Microscopy, Electron, Transmission| Pyrazoles/majr/toxicity</t>
  </si>
  <si>
    <t>Prevention of transmission of Ehrlichia canis by Rhipicephalus sanguineus ticks to dogs treated with a combination of fipronil, amitraz and (S)-methoprene (CERTIFECT®).    ABSTRACT:  The ability of CERTIFECT(®) (a combination of fipronil, amitraz and (S)-methoprene) to prevent transmission of Ehrlichia canis was studied in two groups of eight dogs. One group was treated with CERTIFECT while the other group remained untreated. All dogs were exposed to E. canis-infected Rhipicephalus sanguineus ticks on Days 7, 14, 21 and again on day 28 post-treatment by releasing ticks into the kennels of the dogs to simulate the natural way of infestation. Animals were examined in situ for ticks on Days 9, 16 and 23 and any ticks present were counted and removed on Day 30. The efficacy of CERTIFECT against R. sanguineus was 100%, since no ticks were found on the treated dogs at any time. Clinical examinations (including monitoring body temperature and blood collections for PCR analysis and serology) were performed at intervals throughout the study until Day 56. Five out of 8 untreated control dogs (62.5%) became infected with E. canis, as demonstrated by detection of specific E. canis antibodies and the presence of E. canis DNA in blood samples by PCR. These dogs displayed fever and thrombocytopenia and were rescue-treated with doxycline. None of the 8 dogs treated with CERTIFECT became infected with E. canis, in comparison to the 5/8 control dogs, as confirmed by the lack of specific antibodies and absence of any ehrlichial DNA in blood samples by PCR. CERTIFECT prevented transmission of E. canis and effectively provided protection against monocytic ehrlichiose for at least 4 weeks post treatment.Copyright © 2012 Elsevier B.V. All rights reserved.  KEYWORDS:  MeSH Chemical: Drug Combinations| Insecticides| Pyrazoles| Toluidines| amitraz| Methoprene| fipronil MeSH: | Administration, Topical| Animals| Dog Diseases/majr/parasitology/prevention &amp; control| Dogs| Drug Combinations| Ehrlichia canis/majr| Ehrlichiosis/majr/prevention &amp; control/veterinary| Insecticides/administration &amp; dosage/pharmacology| Methoprene/majr/administration &amp; dosage/pharmacology| Pyrazoles/majr/administration &amp; dosage/pharmacology| Rhipicephalus sanguineus/majr/microbiology| Tick Infestations/prevention &amp; control/veterinary| Toluidines/majr/administration &amp; dosage/pharmacology</t>
  </si>
  <si>
    <t>[Determination of eight pesticide residues in tea by liquid chromatography-tandem mass spectrometry and its uncertainty evaluation].    ABSTRACT:  A method was developed for the determination of eight pesticide residues (fipronil, imidacloprid, acetamiprid, buprofezin, triadimefon, triadimenol, profenofos, pyridaben) in tea by liquid chromatography-tandem mass spectrometry. The sample was extracted by accelerated solvent extraction with acetone-dichloromethane (1:1, v/v) as solvent, and the extract was then cleaned-up with a Carb/NH2 solid phase extraction (SPE) column. The separation was performed on a Hypersil Gold C, column (150 mm x 2. 1 mm, 5 microm) and with the gradient elution of acetonitrile and 0. 1% formic acid. The eight pesticides were determined in the modes of electrospray ionization (ESI) and multiple reaction monitoring (MRM). The analytes were quantified by matrix-matched internal standard method for imidacloprid and acetamiprid, by matrix-matched external standard method for the other pesticides. The calibration curves showed good linearity in 1 - 100 microg/L for fipronil, and in 5 -200 microg/L for the other pesticides. The limits of quantification (LOQs, S/N&gt; 10) were 2 p.g/kg for fipronil and 10 microg/kg for the other pesticides. The average recoveries ranged from 75. 5% to 115.0% with the relative standard deviations of 2.7% - 7.7% at the spiked levels of 2, 5, 50 microg/kg for fipronil and 10, 50, 100 microg/kg for the other pesticides. The uncertainty evaluation for the results was carried out according to JJF 1059-1999 "Evaluation and Expression of Uncertainty in Measurement". Items constituting measurement uncertainty involved standard solution, weighing of sample, sample pre-treatment, and the measurement repeatability of the equipment were evaluated. The results showed that the measurement uncertainty is mainly due to sample pre-treatment, standard curves and measurement repeatability of the equipment. The method developed is suitable for the conformation and quantification of the pesticides in tea.  KEYWORDS:  MeSH Chemical: Imidazoles| Neonicotinoids| Nitro Compounds| Pesticide Residues| Pyrazoles| Pyridines| Tea| imidacloprid| acetamiprid| fipronil MeSH: | Chromatography, Liquid/majr/methods| Food Contamination/majr/analysis| Imidazoles/analysis| Neonicotinoids| Nitro Compounds/analysis| Pesticide Residues/majr/analysis| Pyrazoles/analysis| Pyridines/analysis| Tandem Mass Spectrometry/majr/methods| Tea/majr/chemistry| Uncertainty</t>
  </si>
  <si>
    <t>Scientific evidence of three different insecticide-resistant profiles in Triatoma infestans (Hemiptera: Reduviidae) populations from Argentina and Bolivia.    ABSTRACT:  Triatoma infestans (Klug, 1834) (Hemiptera, Reduviidae) is the main vector of Chagas disease in the southern cone South America. Chemical control to the vectors appears to be the best option to reduce the incidence of the disease. However, since 2002, high resistance to insecticides that correlated with field control failures was detected in T. infestans from Argentina and Bolivia. In this paper, we analyzed three T. infestans populations whose pyrethroid-resistance had been recently detected, and we defined at least three resistant profiles according to the toxicological and biochemical characteristics of the studied resistant populations. The resistance profiles were identified as Ti-R1, Ti-R2, and Ti-R3, corresponding to the Argentinean Acambuco, and the Bolivians Entre Ríos and Mataral. Ti-R1 exhibited nymphs and eggs with medium resistance level to deltamethrin (RR = 32.5 and 28.6; respectively). Pyrethroid-esterases played a relevant role in deltamethrin resistance. Ti-R2 exhibited nymphs with high resistance to deltamethrin (RR = 173.8) and low resistance to fipronil (RR = 12.4). Pyrethroid-esterases were involved in resistance. Moreover, eggs showed medium resistance level to deltamethrin (RR = 39.1). Ti-R3 had nymphs with low resistance to deltamethrin (RR = 17.4), and medium resistance to fipronil (RR = 66.8). Pyrethroid-esterases showed increased activity, and eggs possessed low resistance to deltamethrin (RR = 8.4). The characterization of the resistance to pyrethroid in these T. infestans populations from Argentina and Bolivia do not permit the generalization of three forms of resistance profile. So far as we appear to know, the forms of mechanisms and their frequencies reported here are selected independently, so additional sites might well show additional combinations of resistance mechanisms and their frequencies.  KEYWORDS:  MeSH Chemical: Insecticides MeSH: | Animals| Arachnid Vectors/majr| Argentina| Bolivia| Insecticide Resistance/majr| Insecticides/majr| Triatoma/majr</t>
  </si>
  <si>
    <t>Seroprevalence of tick-borne infections in military working dogs in the Republic of Korea.    ABSTRACT:  In this study we endeavored to determine the seroprevalence of tick-borne infections in the military working dog (MWD) population in the Republic of Korea (ROK). Our sample population consisted of 182 serum samples from MWDs for 3 different years (1996, 2002, and 2007). In addition, 63 whole blood samples from 2007 were available for polymerase chain reaction (PCR). Serum samples were evaluated by a commercially available enzyme-linked immunosorbent assay (ELISA) and immunofluorescence assay (IFA) for Ehrlichia canis and Anaplasma phagocytophilum, and by ELISA only for Borrelia burgdorferi. PCR amplification of DNA was performed to screen for Ehrlichia canis, E. chaffeensis, E. ewingii, Anaplasma phagocytophilum, A. platys, Borrelia burgdorferi, and Rickettsia rickettsii, as well as Babesia and Theileria species using previously published primers and probes. A total of 56 (30.8%) MWDs were positive by at least one serologic test. Seroprevalences for Anaplasma and Ehrlichia were 4.4% and 0.6% based on the ELISA, and 24.7% and 22.5% based on the IFA, respectively. ELISA testing for Borrelia yielded 2 (1.1%) positive results. In parallel testing using both the ELISA and IFA tests, the percentages of dogs with one or more positive results were 34.1%, 25.9%, and 28.4%, for 1996, 2002, and 2007, respectively. There was no significant differences in seroprevalence based on location, year, breed, or sex of the MWD. There was poor agreement between IFA and ELISA test results. No MWD sample had a positive PCR result. MWDs stationed in Korea had serologic evidence of exposure to several tick-borne pathogens, but PCR testing did not identify any active infections.  KEYWORDS:  MeSH Chemical: Insecticides| Organophosphates| Pyrazoles| fipronil MeSH: | Anaplasma phagocytophilum/majr/genetics/immunology/isolation &amp; purification| Anaplasmosis/epidemiology/prevention &amp; control| Animals| Borrelia burgdorferi/majr/genetics/immunology/isolation &amp; purification| Dog Diseases/majr/epidemiology/microbiology/parasitology/prevention &amp; control| Dogs| Ehrlichia canis/majr/genetics/immunology/isolation &amp; purification| Ehrlichiosis/epidemiology/prevention &amp; control/veterinary| Female| Humans| Insecticides/administration &amp; dosage| Lyme Disease/epidemiology/prevention &amp; control/veterinary| Male| Organophosphates/administration &amp; dosage| Pyrazoles/administration &amp; dosage| Republic of Korea/epidemiology| Retrospective Studies| Seroepidemiologic Studies| Tick-Borne Diseases/majr/epidemiology/prevention &amp; control/veterinary| United States| Veterinary Service, Military| Zoonoses</t>
  </si>
  <si>
    <t>Toxicity and horizontal transfer of 0.5% fipronil dust against Formosan subterranean termites.    ABSTRACT:  The toxicity and horizontal transfer of a new formulation of fipronil, 0.5% fipronil dust, was tested against Coptotermes formosanus Shiraki in the laboratory. The formulation was applied in three different ways: 1) Directly applied to termites (donors) and mixed with untreated termites (recipients) at three ratios, viz., 50 donors: 50 recipients, 20 donors: 80 recipients and 10 donors: 90 recipients. 2) Applied onto the surface of 3 mm thick sand or soil substrate in a petri dish and then topped with another 3 mm thick sand or soil layer whereupon termites were released. 3) Applied to the inner surface of a tube (either 5 cm or 15 cm long) that connected two foraging dishes, one containing dry sand and the other moist sand plus a wood block and termites were released into the dry sand dish. All donors and &gt;93% of the recipients were dead by 42 h after treatment in the direct treatment experiment. Significant mortalities of both donors and recipients were observed at 5 h after treatment at all donor: recipient ratios. During this period, the mortality of the recipients (but not donors) at 10:90 was significantly lower than those at the other two ratios. All termites were dead at 65 h after exposure (HAE) on the sand treatment and at 190 HAE on soil treatment. More than 96% mortality was observed at 40 HAE on the sand treatment as compared with only 6% mortality onsoil treatment during the same time period. In the tube treatment experiment, &gt; 97% mortality was observed at 90 h after release for both tube lengths as compared with &lt; 3% mortality in controls. About half of the termites were dead by 15 h after release regardless of the tube length. Our results showed that 0.5% fipronil dust is nonrepellent and readily transferred from treated to nontreated termites.  KEYWORDS:  MeSH Chemical: Dust| Insecticides| Pyrazoles| Soil| Silicon Dioxide| fipronil MeSH: | Animals| Behavior, Animal| Dust| Insect Control/majr/methods| Insecticides/majr/chemistry/metabolism/toxicity| Isoptera/majr/drug effects| Pyrazoles/majr/chemistry/metabolism/toxicity| Silicon Dioxide/chemistry| Soil/chemistry</t>
  </si>
  <si>
    <t>Assessment of owner-administered monthly treatments with oral spinosad or topical spot-on fipronil/(S)-methoprene in controlling fleas and associated pruritus in dogs.    ABSTRACT:  Monitoring of the performance of flea control products under conditions of natural challenge is valuable in assessing continued effectiveness and determining the ongoing relevance of laboratory studies. A multi-clinic, investigator-blinded study was undertaken in client-owned dogs to investigate and compare the flea control provided by 3 consecutive monthly treatments of oral spinosad (SPN) or fipronil/(S)-methoprene topical (FSM) spot-on. The first household dog meeting enrollment criteria and with at least 10 fleas (whole-body flea count) served as the index dog in a household against which primary objectives were set. Stratification was based on pruritus scores at the enrollment visit and on single or multiple pet household. Index pets were randomized to treatment with either SPN or FSM, dispensed on day 0 for at-home administration by owners. All other household dogs and cats, maximum 4 pets per household, were dispensed the same treatment as the index dog (spinetoram was dispensed for cats in SPN households). Subsequent treatments were dispensed when index dogs were returned for whole-body flea counts and pruritus-scoring at visits on days 30 and 60, with final assessments on day 90 (±5 days on each occasion). Primary endpoints were the number of flea-free index dogs in each group one month after the final treatment, the reduction in owner-reported pruritus, and the reduction from baseline mean flea counts. One hundred twenty eight index dogs were enrolled (65 in the SPN arm; 63 in the FSM arm) at 10 clinics in FL (6), NC (2), LA (1), and TX (1). On day 0, geometric mean flea counts were 57.7 (range: 10-1469) and 44.8 (10-717) for the SPN and FSM groups, respectively. On Day 90, 55 of 58 (95%) and 21 of 55 (38%) index dogs completing the study were flea-free in SPN and FSM groups, respectively; mean SPN pruritus scores declined to 0.92 (6.67 on day 0), and to 3.83 (6.33 on day 0) for FSM; geometric mean flea counts (% control) were 0.08 (99.9%) and 5.19 (88.4%), for SPN and FSM groups, respectively. Between-treatment differences were highly statistically significant (p&lt;0.0001). In conclusion, SPN provided reliable flea control in client-owned dogs, regardless of challenge level.Copyright © 2012 Elsevier B.V. All rights reserved.  KEYWORDS:  MeSH Chemical: Drug Combinations| Macrolides| Pyrazoles| Methoprene| fipronil| spinosad MeSH: | Animals| Communicable Disease Control/majr/standards| Dog Diseases/majr/drug therapy| Dogs| Drug Combinations| Female| Flea Infestations/majr/drug therapy/veterinary| Macrolides/majr/administration &amp; dosage| Male| Methoprene/majr/administration &amp; dosage| Pruritus/majr/drug therapy/veterinary| Pyrazoles/majr/administration &amp; dosage| Siphonaptera</t>
  </si>
  <si>
    <t>Acute toxicities and sublethal effects of some conventional insecticides on Trichogramma chilonis (Hymenoptera: Trichogrammatidae).    ABSTRACT:  The acute toxicity of 10 conventional insecticides to adult of Trichogramma chilonis Ishii (Hymenoptera: Trichogrammatidae) was bioassayed by membrane method, and then their sublethal effects on the parasitoid were evaluated in the laboratory. Based on sublethal concentration (LC30) values at 8 h after treatment, we determined that adult T. chilonis were the most susceptible to chlorfenapyr, followed by fipronil, spinosad, avermectins, beta-cypermethrin, and cartap, with lethal concentration (LC)30 values of 0.3133, 0.3269, 1.5408, 3.2961, 6.1469, and 9.021 mg/liter, respectively. The field-recommended concentrations of chlorfluazuron, indoxacarb, Bacillus thuringiensis, and tebufenozide caused &lt;30% mortality of treated adults; therefore, they were used to evaluate sublethal effects on the parasitoid. After treatment with sublethal concentration of fipronil and avermectins, the longevity of treated females (1.2 and 1.6 d) was significantly shortened and fecundity (34.7 and 1.6) was remarkably decreased; consequently, the life-table parameters (R0, r(m), lambda, and T) of T. chilonis were statistically lower than those in the control. Cartap and spinosad also reduced longevity (8 and 7.9 d) and fecundity (110.77 and 117.2) of treated adults, but cartap enhanced the female percentage of F1 offspring (61.6%), resulting a statistical higher R0, r(m), and lambda of treated T. chilonis. In contrast, chlorfluazuron and tebufenozide increased longevity (16.4 and 15.4 d) and fecundity (248 and 256.9) of treated adults but slightly decreased the female percentage of F1 offspring (31.4 and 38.1%). Although chlorfenapyr showed no adverse influence on longevity and fecundity, it remarkably reduced the female percentage of F1 offspring (13.5%), leading to a lower R0, r(m), and lambda of treated T. chilonis. Indoxacarb, B. thuringiensis, and beta-cypermethrin had no obvious sublethal effects on the longevity and fecundity of treated adults. Based on these results, we consider B. thuringienesis, chlorfluazuron, indoxacarb, beta-cypermethrin, and tebufenozide safe to T. chilonis, suggesting that these insecticides are compatible with this parasitoid when being used in the field. However, fipronil, chlorfenapyr, spinosad, and avermectins were very harmful to T. chilonis. Timing of application of these insecticides was critical.  KEYWORDS:  MeSH Chemical: Insecticides MeSH: | Animals| Female| Insecticides/majr| Lethal Dose 50| Male| Wasps/majr</t>
  </si>
  <si>
    <t>Pesticide occurrence and aquatic benchmark exceedances in urban surface waters and sediments in three urban areas of California, USA, 2008-2011.    ABSTRACT:  Urban pesticide use has a direct impact on surface water quality. To determine the extent of pesticide contamination, the California Department of Pesticide Regulation initiated a multi-area urban monitoring program in 2008. Water and sediment samples were collected at sites unaffected by agricultural inputs in three areas: Sacramento (SAC), San Francisco Bay (SFB), and Orange County (OC). Samples were analyzed for up to 64 pesticides or degradates. Multiple detections were common; 50 % of the water samples contained five or more pesticides. Statewide, the most frequently detected insecticides in water were bifenthrin, imidacloprid, fipronil, fipronil sulfone, fipronil desulfinyl, carbaryl, and malathion. Bifenthrin was the most common contaminant in sediment samples. Key differences by area: OC had more pesticides detected than SAC or SFB with higher concentrations of fipronil, whereas SAC had higher concentrations of bifenthrin. The most frequently detected herbicides were 2,4-D, triclopyr, dicamba, diuron, and pendimethalin. Key differences by area: OC and SFB had higher concentrations of triclopyr, whereas SAC had higher concentrations of 2,4-D and dicamba. Detection frequency, number of pesticides per sample, and pesticide concentration increased during rainstorm events. In water samples, all of the bifenthrin, malathion, fipronil, permethrin, and λ-cyhalothrin detections, and most of the fipronil sulfone and cyfluthrin detections were above their lowest US EPA aquatic benchmark. Diuron was the only herbicide that was detected above its lowest benchmark. Based on the number of pesticides and exceedances of aquatic benchmarks or the high number of sediment toxicity units, pesticides are abundant in California surface waters.  KEYWORDS:  MeSH Chemical: Pesticides| Water Pollutants, Chemical MeSH: | California| Cities/statistics &amp; numerical data| Environmental Monitoring/majr| Geologic Sediments/majr/chemistry| Pesticides/majr/analysis| Rivers/majr/chemistry| Water Pollutants, Chemical/majr/analysis| Water Pollution, Chemical/statistics &amp; numerical data</t>
  </si>
  <si>
    <t>Truncated transcripts of nicotinic acetylcholine subunit gene Bdα6 are associated with spinosad resistance in Bactrocera dorsalis.    ABSTRACT:  Spinosad-resistance mechanisms of Bactrocera dorsalis, one of the most important agricultural pests worldwide, were investigated. Resistance levels to spinosad in a B. dorsalis strain from Taiwan were more than 2000-fold, but showed no cross resistance to imidacloprid or fipronil. Combined biochemical and synergistic data indicated that target-site insensitivity is the major resistance component. The gene encoding the nAChR subunit alpha 6 (Bdα6), the putative molecular target of spinosad, was isolated using PCR and RACE techniques. The full-length cDNA of Bdα6 from spinosad-susceptible strains had an open reading frame of 1467 bp and codes for a typical nAChR subunit. Two isoforms of exon 3 (3a and 3b) and exon 8 (8a and 8b), and four full-length splicing variants were found in the susceptible strain. All transcripts from the spinosad-resistant strain were truncated and coded for apparently non-functional Bdα6. Genetic linkage analysis further associated spinosad-resistance phenotype with the truncated Bdα6 forms. This finding is consistent with a previous study in Plutella xylostella. Small deletions and insertions and consequent premature stop codons in exon 7 were associated with the truncated transcripts at the cDNA level. Analysis of genomic DNA sequences (intron 2 and exons 3-6) failed to detect exon 5 in resistant flies. In addition, a mutation in Bdα6 intron 2, just before the truncated/mis-splicing region and in same location with a mutation previously reported in the Pxylα6 gene, was identified in the resistant flies. RNA editing was investigated but was not found to be associated with resistance. While the demonstration of truncated transcripts causing resistance was outlined, the mechanism responsible for generating truncated transcripts remains unknown.Copyright © 2012 Elsevier Ltd. All rights reserved.  KEYWORDS:  MeSH Chemical: Drug Combinations| Insecticides| Macrolides| Protein Subunits| Receptors, Nicotinic| spinosad MeSH: | Amino Acid Sequence| Animals| Base Sequence| Drug Combinations| Insecta/classification/genetics| Insecticide Resistance/majr| Insecticides/pharmacology| Macrolides/majr/pharmacology| Molecular Sequence Data| Phylogeny| Protein Subunits/genetics/metabolism| Receptors, Nicotinic/majr/genetics/metabolism| Sequence Deletion| Tephritidae/majr/classification/drug effects/genetics/metabolism</t>
  </si>
  <si>
    <t>Alteration of leaf metabolism in Bt-transgenic rice (Oryza sativa L.) and its wild type under insecticide stress.    ABSTRACT:  Insecticide is always used to control the damage from pests, while the potential influence on plants is rarely known. Time-course metabolic changes of wild and Bacillus thuringiensis (Bt) transgenic rice (Oryza sativa L.) plants after insecticide treatment were investigated by using gas chromatography-mass spectrometry (GC-MS). A combined statistical strategy of 2-way ANOVA and multivariate analyses (principal component analysis and hierarchal cluster analysis) was performed to find the stress-associated effects. The results reveal that a wide range of metabolites were dynamically varied in both varieties as a response to insecticide, in multiple metabolic pathways, such as biosynthesis and metabolism of amino acids, carbohydrates, fatty acids, TCA cycle, and the shikimate/phenylpropanoid pathway, and most of the changes were correlated with the exposure time and dependent on the variety. A set of stress defenses were activated, including phytohormone signaling pathway, antioxidant defense system, shikimate-mediated secondary metabolism, and so on. In particular, insecticide led to much stronger regulations of signaling molecules (salicylate and the precursor of jasmonate) and antioxidants (α-tocopherol and dehydroascorbate/ascorbate) in Bt-transgenic variety at the early stage. Our results demonstrated that the Bt-transgenic rice had a more acute and drastic response to insecticide stress than its non-transgenic counterpart in antioxidant system and signaling regulation.  KEYWORDS:  MeSH Chemical: Antioxidants| Insecticides| Pyrazoles| Thiadiazines| dimethoxon| buprofezin| fipronil| Dimethoate MeSH: | Antioxidants/metabolism| Bacillus thuringiensis/genetics| Cluster Analysis| Dimethoate/majr/analogs &amp; derivatives/pharmacology| Genes, Bacterial| Insecticides/majr/pharmacology| Metabolic Networks and Pathways/drug effects| Metabolome/drug effects| Multivariate Analysis| Oryza/majr/drug effects/genetics/metabolism| Plant Leaves/majr/drug effects/genetics/metabolism| Plants, Genetically Modified/majr/drug effects/genetics/metabolism| Principal Component Analysis| Pyrazoles/majr/pharmacology| Signal Transduction| Stress, Physiological| Thiadiazines/majr/pharmacology</t>
  </si>
  <si>
    <t>Effects of fipronil on dogs over Triatoma infestans, the main vector of Trypanosoma cruzi, causative agent of Chagas disease.    ABSTRACT:  Chagas disease is the most important endemic disease in Latin America, mainly transmitted by Triatoma infestans in the Southern Cone countries of South America. Dogs are one of the main domestic reservoirs of Trypanosoma cruzi, the etiological agent of Chagas disease. The presence of dogs in rural households of endemic areas significantly increases the likelihood of the vectorial transmission of the parasite. We studied the mortality and blood intake of T. infestans exposed to dogs treated with different doses and formulations of fipronil. Two doses, two formulations, and different distances to the application point of fipronil were compared. Third instar nymphs of T. infestans were fed at different time intervals after the insecticide application up to 45 days post-application. No significant difference was found between the blood intake of nymphs fed on control and treated dogs with different doses and formulations (p &gt; 0.05). The spray formulation showed lower effect and persistence than the spot-on formulation. The mortality rate caused by the spot-on formulation in the 26.8-mg active ingredient (a.i.)/kg dose was higher (48%) than with the 13.4-mg a.i./kg dose (25%), 24 h after the insecticide application. The effect was highly heterogeneous among replicates of the same treatment. The mortality rate of nymphs fed over the point of the insecticide application was higher than the mortality of nymphs fed over places 12 cm apart from the fipronil application point, suggesting that the distribution of fipronil over the dog body is lower than the needed one to obtain a persistent triatomicide effect.  KEYWORDS:  MeSH Chemical: Antiparasitic Agents| Pyrazoles| fipronil MeSH: | Animals| Antiparasitic Agents/majr/administration &amp; dosage| Dog Diseases/majr/prevention &amp; control| Dogs| Ectoparasitic Infestations/majr/prevention &amp; control/veterinary| Feeding Behavior/drug effects| Nymph/drug effects| Pyrazoles/majr/administration &amp; dosage| Survival Analysis| Treatment Outcome| Triatoma/majr/drug effects/growth &amp; development</t>
  </si>
  <si>
    <t>Potential exposure of bees, Apis mellifera L., to particulate matter and pesticides derived from seed dressing during maize sowing.    ABSTRACT:  This paper assessed the potential exposure of bees (Apis mellifera L.) to pesticides during maize (Zea mays L.) sowing with pneumatic drills. Data were derived from tests carried out in field tests, comparing two configurations of a pneumatic precision drill: conventional drill; drill with air deflectors. In addition, static tests simulating the sowing under controlled conditions, were performed on the drill equipped with an innovative system developed at CRA-ING. During the field tests, the concentrations in the air of the active ingredients of four insecticides used in maize seed dressing (imidacloprid, clothianidin, thiamethoxam and fipronil) were recorded. The concentrations of active ingredients in the air were used for assessing the quantities of active ingredients that a bee might intercept as it flies in a sort of virtual tunnel, the dimensions of which were dependent upon the bee body cross-section and the length of flight. The results of the field tests show that the air deflectors were not completely effective in reducing the amount of active ingredients dispersed in the air. The results of the static tests with drill equipped with the prototype indicated reductions of the active ingredient air concentrations ranging from 72 % up to 95 %, with reference to the conventional drill. Such ratios were applied to the amounts of active ingredients intercepted by the bees in the virtual tunnel contributing to a consistent reduction of the probability that sub-lethal effects can occur.  KEYWORDS:  MeSH Chemical: Guanidines| Imidazoles| Neonicotinoids| Nitro Compounds| Oxazines| Particulate Matter| Pesticide Residues| Pesticides| Thiazoles| clothianidin| imidacloprid| Thiamethoxam MeSH: | Animals| Bees/majr/drug effects/growth &amp; development| Environmental Exposure/majr/adverse effects/analysis| Environmental Monitoring/methods| Guanidines/analysis| Imidazoles/analysis| Neonicotinoids| Nitro Compounds/analysis| Oxazines/analysis| Particulate Matter/majr/analysis| Pesticide Residues/analysis| Pesticides/majr/analysis| Seeds/majr/chemistry| Thiamethoxam| Thiazoles/analysis| Zea mays</t>
  </si>
  <si>
    <t>Comparative efficacy on dogs of a single topical treatment with fipronil/(S)-methoprene or weekly physiological hygiene shampoos against Ctenocephalides felis in a simulated flea-infested environment.    ABSTRACT:  Flea infestations of pets continue to persist due to the lack of knowledge of flea biology and ecology. It is not unusual that pet owners believe regular hygiene, such as shampooing their dogs can replace regular insecticidal treatment. The objective of this study was to compare in a flea simulated environment, modelling exposure similar to that found in a home, that the use of regular physiological shampoo does not control fleas adequately when compared to a long acting topical formulation. Three groups of six dogs were formed: one untreated control group, one group treated monthly with the topical formulation of fipronil/(S)-methoprene, and a third group treated weekly with a hygiene shampoo. All dogs were infested with adult unfed Ctenocephalides felis fleas (200±5) on Days -28 and -21. Each animal's sleeping box was fitted with a plastic cup mounted to the inside roof of the box. The sleeping bench of each animal was covered with a carpet to accommodate flea development. The dogs were maintained in their kennels throughout the study. In order to maintain the environmental flea challenge, C. felis pupae (100±5) were placed in the plastic cup in each animal's sleeping box on Days -14, -7, 0, 7, 14, 21, 28, 35 and 42. The dogs were combed and fleas counted weekly on Days -1, 3, 10, 17, 24, 31, 38, 45, and 51. The fleas were placed immediately back on the dogs. On Day 60, fleas were counted and removed. Flea infestations in the untreated control group at each count averaged between 46.2 and 74.2 fleas throughout the study. The average number of fleas infesting dogs was significantly different (p&lt;0.05) between the untreated and the two treatment groups and between the two treatment groups at all counts throughout the two months study (Days 3, 10, 17, 24, 31, 38, 45, 51 and 60). The efficacy was never below 99.1% in the fipronil/(S)-methoprene group, and efficacy in the shampoo group was never above 79.2%. Weekly shampooing in treatment group 3 was intentionally delayed after Day 42, to evaluate wether missing a weekly bath would affect the flea population. The Day 48 data indicate that forgetting or delaying a single weekly shampooing resulted in a clear increase in flea numbers and a significant decrease in efficacy from 68.2% to 34.8%. The fipronil(S)/methoprene treatment allowed a continuous control as demonstrated by the high efficacy against fleas, and also the number of flea-free dogs on seven of the nine weekly assessments, in spite of what was essentially a continuous flea challenge model.  KEYWORDS:  MeSH Chemical: Insecticides| Pyrazoles| Soaps| Methoprene| fipronil MeSH: | Administration, Topical| Animals| Baths/veterinary| Ctenocephalides/majr| Dog Diseases/majr/drug therapy/parasitology/prevention &amp; control| Dogs| Female| Flea Infestations/majr/drug therapy/prevention &amp; control/veterinary| Floors and Floorcoverings| Housing, Animal| Hygiene| Insecticides/majr/administration &amp; dosage/therapeutic use| Male| Methoprene/majr/administration &amp; dosage/therapeutic use| Pyrazoles/majr/administration &amp; dosage/therapeutic use| Soaps</t>
  </si>
  <si>
    <t>Apparent tick paralysis by Rhipicephalus sanguineus (Acari: Ixodidae) in dogs.    ABSTRACT:  Certain tick species including Ixodes holocyclus can inoculate neurotoxins that induce a rapid, ascending flaccid paralysis in animals. Rhipicephalus sanguineus, the most widespread tick of dogs, is recognized as a vector of several pathogens causing diseases in dogs and humans. A single report suggests its role as cause of paralysis in dogs. This study presents the clinical history of 14 young dogs heavily infested by R. sanguineus (intensity of infestation, 63-328) in an endemic area of southern Italy. During May to June of 2011, dogs were presented at the clinical examination with neurological signs of different degrees (e.g., hind limb ataxia, generalized lethargy, and difficulty in movements). All animals were treated with acaricides and by manual tick removal but ten of them died within a day, displaying neurological signs. The other 4 dogs recovered within 3 days with acaricidal and supportive treatment. Twelve dogs were positive by blood smear examination for Hepatozoon canis with a high parasitemia, two also for Babesia vogeli and two were negative for hemoparasites. Low-grade thrombocytopenia, hypoalbuminemia, and pancytopenia were the haematological alterations most frequently recorded. Other causes of neurological disease in dogs were excluded and the diagnosis of tick paralysis by R. sanguineus was confirmed (ex juvantibus) by early and complete recovery of 4 dogs following acaricidal treatment and tick removal.Copyright © 2012 Elsevier B.V. All rights reserved.  KEYWORDS:  MeSH Chemical: Acaricides| Pyrazoles| Methoprene| fipronil MeSH: | Acaricides/majr/therapeutic use| Animals| Dog Diseases/majr/drug therapy/mortality/parasitology| Dogs| Female| Italy/epidemiology| Male| Methoprene/administration &amp; dosage| Parasitemia| Pyrazoles/administration &amp; dosage| Rhipicephalus sanguineus/majr/drug effects/physiology| Tick Infestations/majr/drug therapy/parasitology/veterinary| Tick Paralysis/majr/mortality/parasitology/veterinary</t>
  </si>
  <si>
    <t>Impacts of the phenylpyrazole insecticide fipronil on larval fish: time-series gene transcription responses in fathead minnow (Pimephales promelas) following short-term exposure.    ABSTRACT:  The utilization of molecular endpoints in ecotoxicology can provide rapid and valuable information on immediate organismal responses to chemical stressors and is increasingly used for mechanistic interpretation of effects at higher levels of biological organization. This study contributes knowledge on the sublethal effects of a commonly used insecticide, the phenylpyrazole fipronil, on larval fathead minnow (Pimephales promelas), utilizing a quantitative transcriptomic approach. Immediately after 24h of exposure to fipronil concentrations of ≥31 μg.L(-1), highly significant changes in gene transcription were observed for aspartoacylase, metallothionein, glucocorticoid receptor, cytochrome P450 3A126 and vitellogenin. Different mechanisms of toxicity were apparent over the course of the experiment, with short-term responses indicating neurotoxic effects. After 6 days of recovery, endocrine effects were observed with vitellogenin being up-regulated 90-fold at 61 μg.L(-1) fipronil. Principal component analysis demonstrated a significant increase in gene transcription changes over time and during the recovery period. In conclusion, multiple mechanisms of action were observed in response to fipronil exposure, and unknown delayed effects would have been missed if transcriptomic responses had only been measured at a single time-point. These challenges can be overcome by the inclusion of multiple endpoints and delayed effects in experimental designs.Copyright © 2012 Elsevier B.V. All rights reserved.  KEYWORDS:  MeSH Chemical: Biomarkers| Insecticides| Pyrazoles| Receptors, Glucocorticoid| Vitellogenins| Water Pollutants, Chemical| Metallothionein| Cytochrome P-450 CYP3A| Amidohydrolases| aspartoacylase| fipronil MeSH: | Amidohydrolases/genetics/metabolism| Animals| Biomarkers/metabolism| Cyprinidae| Cytochrome P-450 CYP3A/genetics/metabolism| Female| Gene Expression/majr/drug effects| Insecticides/majr/toxicity| Larva/drug effects| Male| Metallothionein/genetics/metabolism| Principal Component Analysis| Pyrazoles/majr/toxicity| Receptors, Glucocorticoid/genetics/metabolism| Vitellogenins/metabolism| Water Pollutants, Chemical/majr/toxicity</t>
  </si>
  <si>
    <t>Identification and expression profiles of nine glutathione S-transferase genes from the important rice phloem sap-sucker and virus vector Laodelphax striatellus (Fallén) (Hemiptera: Delphacidae).    ABSTRACT:  Glutathione S-transferases (GSTs) have received considerable attention in insects for their roles in insecticide resistance. Laodelphax striatellus (Fallén) is a serious rice pest. L. striatellus outbreaks occur frequently throughout eastern Asia. A key problem in controlling this pest is its rapid adaptation to numerous insecticides. In this research, nine cDNAs encoding GSTs in L. striatellus were cloned and characterised.The cloned GSTs of L. striatellus belonged to six cytosolic classes and a microsomal subgroup. Exposure to sublethal concentrations of each of the six insecticides, DDT, chlorpyrifos, fipronil, imidacloprid, buprofezin and beta-cypermethrin, quickly induced (6 h) up-expression of LsGSTe1. The expression of LsGSTs2 was increased by chlorpyrifos, fipronil and beta-cypermethrin. Furthermore, exposure of L. striatellus to fipronil, imidacloprid, buprofezin and beta-cypermethrin increased the expression of the LsGSTm gene after 24 or 48 h.This work is the first identification of GST genes from different GST groups in Auchenorrhyncha species and their induction characteristics with insecticide types and time. The elevated expression of GST genes induced by insecticides might be related to the enhanced tolerance of this insect to insecticides and xenobiotics.Copyright © 2012 Society of Chemical Industry.  KEYWORDS:  MeSH Chemical: Insect Proteins| Insecticides| Glutathione Transferase MeSH: | Amino Acid Sequence| Animals| Glutathione Transferase/majr/genetics/metabolism| Hemiptera/majr/classification/drug effects/enzymology/virology| Insect Proteins/majr/genetics/metabolism| Insecticide Resistance| Insecticides/pharmacology| Molecular Sequence Data| Oryza/majr/parasitology/virology| Phloem/parasitology| Phylogeny| Plant Diseases/majr/parasitology/virology| Sequence Alignment| Transcriptome</t>
  </si>
  <si>
    <t>Cumulative ecological impacts of two successive annual treatments of imidacloprid and fipronil on aquatic communities of paddy mesocosms.    ABSTRACT:  Agricultural landscapes, including paddies, play an important role in maintaining biodiversity, but this biodiversity has been under the threat of toxic agro-chemicals. Our knowledge about how aquatic communities react to, and recover from, pesticides, particularly in relation to their residues, is deficient, despite the importance of such information for realistic environmental impact assessment of pesticides. The cumulative ecological impacts on aquatic paddy communities and their recovery processes after two successive annual applications of two systemic insecticides, imidacloprid and fipronil, were monitored between mid-May and mid-September each year. The abundance of benthic organisms during both years was significantly lower in both insecticide-treated fields than in the controls. Large-impacts of fipronil on aquatic arthropods were found after the two years. Growth of medaka fish, both adults and their juveniles, was affected by the application of the two insecticides. A Principal Response Curve analysis (PRC) showed the escalation and prolongation of changes in aquatic community composition by the successive annual treatments of each insecticide over two years. Residues of fipronil in soil, which are more persistent than those of imidacloprid, had a high level of impact on aquatic communities over time. For some taxonomic groups, particularly for water surface-dwelling and water-borne arthropods, the second annual treatment had far greater impacts than the initial treatment, indicating that impacts of these insecticides under normal use patterns cannot be accurately assessed during short-term monitoring studies, i.e., lasting less than one year. It is concluded that realistic prediction and assessment of pesticide effects at the community level should also include the long-term ecological risks of their residues whenever these persist in paddies over a year.Copyright © 2012 Elsevier Inc. All rights reserved.  KEYWORDS:  MeSH Chemical: Imidazoles| Insecticides| Neonicotinoids| Nitro Compounds| Pyrazoles| Water Pollutants, Chemical| imidacloprid| fipronil MeSH: | Agriculture| Animals| Aquatic Organisms/classification/drug effects/growth &amp; development| Ecosystem| Environment| Environmental Monitoring| Imidazoles/majr/toxicity| Insecticides/majr/toxicity| Neonicotinoids| Nitro Compounds/majr/toxicity| Oryza| Pyrazoles/majr/toxicity| Water Pollutants, Chemical/majr/toxicity</t>
  </si>
  <si>
    <t>Efficacy of slow-release collar formulations of imidacloprid/flumethrin and deltamethrin and of spot-on formulations of fipronil/(s)-- methoprene, dinotefuran/pyriproxyfen/permethrin and (s) -methoprene/amitraz/fipronil against Rhipicephalus sanguineus and Ctenocephalides felis felis on dogs.    ABSTRACT:  Two studies evaluating the efficacy of an imidacloprid/flumethrin collar (Seresto®, Bayer Animal Health, IVP), a deltamethrin collar (Scalibor®, MSD, CP1), a fipronil/(s)-methoprene spot-on (Frontline Combo®, Merial, CP2), a dinotefuran/pyriproxyfen/permethrin spot-on (Vectra 3D®, Ceva, CP3) and an amitraz/fipronil/(s)-methoprene spot-on (Certifect®, Merial, CP4/CP5) against repeated infestations with Rhipicephalus sanguineus and Ctenocephalides felis felis on dogs were conducted over periods of 226 days and 71 days respectively.The first study comprised 4 groups of treated dogs and one untreated control group, and the second 3 groups of treated dogs and one control group. Each group consisted of 8 dogs. All dogs were infested with ticks and fleas at regular intervals. Ticks were counted 6 h, 18 h or 48 h after infestations and fleas 24 h after infestations. Efficacies of the treatments were calculated by comparison with the untreated control groups using standard descriptive statistics.The protective 48 h tick efficacy was 97.8% to 100% for the IVP (226 days), 69.3% to 97.4% for CP1 (170 days), 99.6% to 43.4% for CP2 (35 days) and 98% to 61.4% for CP3 (35 days).The protective 18 h tick efficacy was 98% to 99.6% for the IVP (71 days), 100% to 86.5% for CP4 (29 days), 100% to 72.8% for CP4 after re-treatment (35 days) and 98.8% to 54.3% for CP5 (35 days).The protective 6 h tick efficacy was 85.6% at Day 7 and 90.1% to 97.1% from Day 14 onwards for the IVP (70 days), 92.3% to 70.7% for CP4 (35 days), 97.5% to 65.2% for CP4 after re-treatment (35 days) and 95.1% to 51.8% for CP5 (35 days).The protective 24 h flea efficacy was 99.5/90.9% to 100% for the IVP (71/226 days), 66.7% to 83% for CP1 (170 days), 100% to 88.5% for CP2 (35 days), 100% to 73.3% for CP3 (35 days), 100% to 98.7% for CP4 (35 days), 100% to 87.5% for CP4 after re-treatment (35 days) and 100% to 79.5% for CP5 (35 days).These data suggest that the long-term efficacy provided by a medicated collar that is effective, is a means to overcome the fluctuating efficacy of spot-on treatments resulting from a lack of pet owner re-treatment compliance, and consequently protect animals successfully against ectoparasites and probably vector-borne diseases.  KEYWORDS:  MeSH Chemical: Delayed-Action Preparations| Insecticides MeSH: | Administration, Topical| Animals| Ctenocephalides/majr| Delayed-Action Preparations| Dog Diseases/majr/parasitology/prevention &amp; control| Dogs| Female| Flea Infestations/majr/prevention &amp; control/veterinary| Insecticides/majr/administration &amp; dosage| Male| Rhipicephalus sanguineus/majr| Tick Infestations/majr/prevention &amp; control/veterinary</t>
  </si>
  <si>
    <t>CYP450-dependent biotransformation of the insecticide fipronil into fipronil sulfone can mediate fipronil-induced thyroid disruption in rats.    ABSTRACT:  In rats, the widely used insecticide fipronil increases the clearance of thyroxine (T(4)). This effect is associated with a high plasma concentration of fipronil sulfone, the fipronil main metabolite in several species including rats and humans. In sheep, following fipronil treatment, fipronil sulfone plasma concentration and thyroid disruption are much lower than in rats. We postulated that fipronil biotransformation into fipronil sulfone by hepatic cytochromes P450 (CYP) could act as a potential thyroid disruptor. The aim of this study was to determine if fipronil sulfone treatment could reproduce the fipronil treatment effects on T(4) clearance and CYP induction in rats. Fipronil and fipronil sulfone treatments (3.4 μmol/kg/day per os, 14 days) increased total and free T(4) clearances to the same extent in THX + T(3), euthyroid-like rats. Both treatments induced a 2.5-fold increase in Ugt1a1 and Sult1b1 messenger RNA (mRNA) expressions and a twofold increase in UGT1A activity suggesting that T(4) elimination was mediated, at least in part, by hepatic uridine 5'-diphospho-glucuronosyltransferases (UGT) and/or sulfotransferases (SULT) induction. Both treatments induced a 10-fold increase in Cyp3a1 and Cyp2b2 mRNA expressions concomitant with a threefold increase in CYP3A immunoreactivity and a 1.7-fold increase in antipyrine clearance, a biomarker of CYP3A activity. All these results showed that fipronil sulfone treatment could reproduce the fipronil treatment effects on T(4) clearance and hepatic enzyme induction in rats. The potential of fipronil sulfone to act as a thyroid disruptor is all the more critical because it persists much longer in the organism than fipronil itself.  KEYWORDS:  MeSH Chemical: Endocrine Disruptors| Insecticides| Pyrazoles| Thyroid Hormones| Ugt1a1 protein, rat| Cytochrome P-450 Enzyme System| Glucuronosyltransferase| Sulfotransferases| iodothyronine sulfotransferase| fipronil sulfone| fipronil MeSH: | Animals| Cytochrome P-450 Enzyme System/majr/biosynthesis| Endocrine Disruptors/majr| Enzyme Induction/drug effects/genetics| Female| Gene Expression Regulation, Enzymologic| Glucuronosyltransferase/genetics/metabolism| Insecticides/majr/pharmacokinetics/toxicity| Liver/drug effects/metabolism| Pyrazoles/majr/metabolism/pharmacokinetics/toxicity| Rats| Rats, Wistar| Sulfotransferases/genetics/metabolism| Thyroid Gland/majr/drug effects/metabolism| Thyroid Hormones/metabolism| Thyroidectomy</t>
  </si>
  <si>
    <t>Reactive oxygen species and mitogen-activated protein kinase induce apoptotic death of SH-SY5Y cells in response to fipronil.    ABSTRACT:  There are multiple lines of evidence showing that environmental toxicants including pesticides may contribute to neuronal cell death. Fipronil (FPN) is a phenylpyrazole insecticide that acts on insect GABA receptors. Although the action of FPN is restricted to insect neuronal or muscular transmitter systems, a few studies have assessed the effects of this neurotoxicant on neuronal cell death distinct from an insect. To determine the mechanisms underlying FPN-induced neuronal cell death, we evaluated the ability of this chemical to induce oxidative stress and studied the involvement of mitogen activated protein kinases (MAPKs) in FPN-induced apoptosis stress in human neuroblastoma SH-SY5Y (SH-SY5Y) cells. Exposure of SH-SY5Y cells to FPN led to the production of reactive oxygen species (ROS) and apoptotic cell death via activation of caspase-9 and caspase-3. Interestingly, the antioxidant, N-acetyl-cysteine (NAC) attenuated apoptotic cell death and ROS production induced by FPN. These results indicated that oxidative stress plays a central role in FPN-induced cytotoxicity. Mitochondrial complex I activity was also inhibited by FPN treatment. These finding indicate that FPN triggers intrinsic apoptosis via the mitochondrial signaling pathway that is initiated by the generation of ROS. Furthermore, FPN treatment induced phosphorylation of MAPK members. Activation of these protein kinases by FPN was involved in the onset of apoptosis as inhibitors specific to these kinases protect against FPN-induced cell death as well as ROS generation. Our data indicate that FPN-induced apoptosis is mediated primarily by the generation of ROS and activation of MAPK members followed by activation of the intrinsic apoptotic pathway.Crown Copyright © 2012. Published by Elsevier Ireland Ltd. All rights reserved.  KEYWORDS:  MeSH Chemical: Antioxidants| Insecticides| Pyrazoles| Reactive Oxygen Species| Mitogen-Activated Protein Kinases| Caspase 3| Caspase 9| fipronil| Acetylcysteine MeSH: | Acetylcysteine/pharmacology| Antioxidants/pharmacology| Apoptosis/majr/drug effects| Caspase 3/metabolism| Caspase 9/metabolism| Cell Line, Tumor| Humans| Insecticides/majr/pharmacology| Mitogen-Activated Protein Kinases/majr/metabolism| Neuroblastoma/metabolism| Oxidative Stress/drug effects| Pyrazoles/majr/pharmacology| Reactive Oxygen Species/majr/metabolism</t>
  </si>
  <si>
    <t>Assessment of toxicity risk of insecticides used in rice ecosystem on Trichogramma japonicum, an egg parasitoid of rice lepidopterans.    ABSTRACT:  Both chemical and biological methods are essential for control of insects, for example, lepidopterans, on rice. Thus, it is important to know the effect of chemicals on the biological control agents. In this study, we assessed the toxicity of commonly used insecticides on a biological control agent, Trichogramma japonicum Ahmead (an egg parasitoid of rice lepidopterans) by using a dry film residue method. Results showed that thirty insecticides from seven chemical classes exhibited various degree of toxicity to this parasitoid. Among the seven classes of chemicals tested, organophosphates (chlorpyrifos, fenitrothion, phoxim, profenofos, and triazophos) and carbamates (carbaryl, carbsulfan, isoprocarb, metolcarb, and promecarb) exhibited the highest intrinsic toxicity to T. japponicum, with an LC50 of 0.035 (0.029-0.044) to 0.49 (0.34-0.87) mg active ingredient (a.i.) L(-1), followed by antibiotics (abamectin, emamectin benzoate, and ivermectin), phenylpyrazoles (butane-fipronil, ethiprole, and fipronil), pyrethroids (cyhalthrin, cypermethrin, fenpropathrin, and lambda-cyhaothrin), and neonicotinoids (acetamiprid, imidacloprid, imidaclothiz, nitenpyram, thiacloprid, and thiamethoxam). Moreover, the insect growth regulator insecticides (chlorfluazuron, fufenozide, hexaflumuron and tebufenozide) exhibited the lowest toxicity to the wasps with an LC50 of 3,383 (2406-5499) to 30206 (23107-41008) mg ai. L(-1). Risk quotient analysis showed that phenylpyrazoles, pyrethroids, insect growth regulators, neonicotinoids (with the exception of thiamethoxam), and antibiotics (with the exception of abamectin) are classified as safe agents to the parasitoid, while organophosphates and carbamates are classified as slightly, moderately, or highly toxic agents to the parasitoid. The data presented in this paper provided useful information on the selection of compatible insecticides with T. japonicum.  KEYWORDS:  MeSH Chemical: Biological Control Agents| Insecticides MeSH: | Animals| Biological Control Agents| Dose-Response Relationship, Drug| Insecticides/majr/classification/toxicity| Lethal Dose 50| Moths/parasitology| Oryza| Risk Assessment| Toxicity Tests/majr/methods| Wasps/majr/drug effects</t>
  </si>
  <si>
    <t>A critical body residue approach for predicting persistent bioaccumulative toxicant effects on reproduction and population dynamics of meiobenthic copepods.    ABSTRACT:  Critical body residues (CBRs) are the measured tissue toxicant concentrations yielding a median dose-response on a dry-weight or lipid-normalized basis. They facilitate management decisions for species protection using tissue analysis. Population CBR is the mean dose yielding 50% population suppression and was predicted here in Amphiascus tenuiremis for fipronil sulfide (FS) using lifetables and the Leslie matrix. Microplate bioassays (ASTM E-2317-14) produced biomass sufficient for dry mass and lipid-normalized CBR estimates of reproduction (fertility) and population growth suppression. Significant FS toxic effects were delayed naupliar development (at ≥0.10 µg L(-1)), delayed copepodite development (at 0.85 µg L(-1)), decreased reproductive success (at ≥ 0.39 µg L(-1)), and decreased offspring production (at 0.85 µg L(-1)). A reproductive median effective concentration (EC50) of 0.16 µg L(-1) (95% CI: 0.12-0.21 µg L(-1)) corresponded to an adult all-sex CBR and lipid-normalized CBR of 0.38 pg FS · µg(-1) dry weight (95% CI: 0.27-0.52 pg FS · µg(-1)) or 2.8 pg FS · µg(-1) lipid (95% CI: 2.2-3.6 pg FS · µg(-1)), respectively. Copepod log bioconcentration factor (BCF) = 4.11 ± 0.2. Leslie matrix projections regressed against internal dose predicted fewer than five gravid females in a population by the third generation at 0.39 and 0.85 µg FS · L(-1) (i.e., 9.6-10.2 µg FS · µg(-1) lipid), and 50% population suppression at a CBR of 1.6 pg FS · µg(-1) lipid. This more integrative population CBR as a management tool would fall 1.75 times below the CBR for the single most sensitive endpoint-fertility rate.Copyright © 2012 SETAC.  KEYWORDS:  MeSH Chemical: Lipids| Pyrazoles| Water Pollutants, Chemical| fipronil MeSH: | Animals| Biological Assay| Copepoda/majr/drug effects/growth &amp; development/physiology| Female| Fertility/drug effects| Lipids/analysis| Male| Models, Biological/majr| Population Dynamics| Pyrazoles/toxicity| Reproduction/drug effects| Seawater/chemistry| Water Pollutants, Chemical/majr/toxicity</t>
  </si>
  <si>
    <t>Mechanisms underlying fipronil resistance in a multiresistant field strain of the German cockroach (Blattodea: Blattellidae).    ABSTRACT:  German cockroaches (Blattella germanica L.) have significant impacts on human health, most notably they are implicated as causes of childhood asthma. Gel bait formulations of fipronil, a phenylpyrazole insecticide, have been in use for German cockroach control in the United States since 1998. Previously, dieldrin resistant German cockroach strains were shown to have 7- to 17-fold cross-resistance to fipronil. More recently, a field-collected strain (GNV-R) displayed approximately 36-fold resistance to topically applied fipronil at the LD50 level, which is the highest level of fipronil resistance reported to date in the German cockroach. The aim of the current research was to identify mechanism(s) responsible for high-level fipronil resistance in the GNV-R strain. Synergist bioassays conducted using topical and injection application methods implicated cytochrome P450-mediated detoxification in resistance. Electrophysiological recordings using the suction-electrode technique revealed the nervous system of the GNV-R strain is insensitive to fipronil. In agreement with electrophysiology results, the alanine to serine (A302S) mutation encoded by the gamma-amino butyric acid-gated chloride channel subunit gene resistance to dieldrin, which confers limited cross-resistance to fipronil, was detected in 95% of GNV-R strain individuals. Logistic regression analysis showed that A302S mutation frequency correlates with neurological insensitivity as shown by electrophysiology data. Overall, results of synergism bioassays, electrophysiological recordings, and A302S mutation frequency measurements suggest that fipronil resistance in the GNV-R strain is caused by the combined effects of enhanced metabolism by cytochrome P450s and target-site insensitivity caused by the A302S-encoding mutation in the resistance to dieldrin gene.  KEYWORDS:  MeSH Chemical: Insecticides| Pesticide Synergists| Pyrazoles| fipronil MeSH: | Animals| Blattellidae/majr/drug effects/genetics| Insecticide Resistance/majr/genetics| Insecticides/majr/pharmacology| Mutation| Pesticide Synergists/pharmacology| Polymorphism, Genetic| Pyrazoles/majr/pharmacology</t>
  </si>
  <si>
    <t>Occurrence of fipronil and its biologically active derivatives in urban residential runoff.    ABSTRACT:  Insecticides are commonly used around homes for controlling insects such as ants, termites, and spiders. Such uses have been linked to pesticide contamination and toxicity in urban aquatic ecosystems. Fipronil is a relatively new and popular urban-use insecticide that has acute toxicity to arthropods at low-ppb levels. In this study, we collected runoff water from 6 large communities, each consisting of 152 to 460 single-family homes, in Sacramento County and Orange County, California, and evaluated the occurrence of fipronil and its biologically active derivatives over 26 months under dry weather conditions. Statistical modeling showed that the levels of fipronil and derivatives in the runoff water were both spatially and temporally correlated. More than 10-fold differences were observed between the Sacramento and Orange County sites, with the much higher levels for Orange County (southern California) coinciding with heavier use. The median concentrations of combined fipronil and derivatives for the Orange County sites were 204-440 ng L(-1), with the 90th percentile levels ranging from 340 to 1170 ng L(-1). These levels frequently exceeded the LC50 values for arthropods such as mysid shrimp and grass shrimp. The highest levels occurred from April to October, while decreases were seen from October to December and from January to March, likely reflecting seasonal use patterns and the effect of rain-induced washoff. Fipronil and fipronil sulfone (oxidation derivative) each accounted for about 35% of the total concentrations, with desulfinyl fipronil (a photolytic product) contributing about 25%. Results of this study clearly established residential drainage as a direct source for pesticide contamination in urban waterways, and for the first time, identified fipronil as a new and widespread contaminant with potential ecotoxicological significance.  KEYWORDS:  MeSH Chemical: Pesticide Residues| Pyrazoles| Water Pollutants, Chemical| fipronil MeSH: | California| Cities/majr| Environmental Monitoring/majr/methods/statistics &amp; numerical data| Fresh Water/majr/chemistry| Gas Chromatography-Mass Spectrometry| Models, Statistical/majr| Pesticide Residues/majr/analysis/metabolism| Pyrazoles/majr/analysis/metabolism| Water Pollutants, Chemical/majr/analysis</t>
  </si>
  <si>
    <t>In vitro effect of pesticides on the germination, vegetative growth, and conidial production of two strains of Metarhizium anisopliae.    ABSTRACT:  Entomopathogenic fungi are widely used as biological control agents against a broad range of insect and arachnid pests. However, the control efficacy of entomopathogenic fungi is variable because of unfavourable and fluctuating environmental conditions and intrinsic factors. One strategy to enhance entomopathogenic fungi efficacy is a combined use of entomopathogenic fungi and low dosages of pesticides. These sub-lethal dosages of chemicals can increase the control efficiency of entomopathogenic fungi but only if they do not affect the fungi. Adverse effects could include the inhibition of germination and/or vegetative growth as well as conidiogenesis. The present study investigated the in vitro effects of different concentrations of fipronil, permethrin, imidacloprid, NeemAzal, and amitraz as potential candidates for combined applications on two strains of the entomopathogenic fungus Metarhizium anisopliae (MA). MA was inoculated on a medium amended with five different concentrations (0.32-200 ppm) of the abovementioned pesticides. The germination, vegetative growth, and sporulation were evaluated. The results showed, according to a physiology parameter compatibility classification, that all pesticides were compatible with both tested MA strains. Only fipronil in the higher dose rates of 40 and 200 ppm was close to moderately toxic to MA-7. Furthermore, only higher concentrations of the pesticides caused a slight inhibition (about 15%) of conidial germination and a reduction in colony size. Sporulation was reduced at most by approximately 50% by 40 or 200 ppm of fipronil or amitraz, respectively. Therefore, it is possible to use the tested pesticides in combination with either strain of MA for an integrated pest management approach. Studies on the effect of these combinations on target organisms are in progress.Copyright © 2011 British Mycological Society. Published by Elsevier Ltd. All rights reserved.  KEYWORDS:  MeSH Chemical: Antifungal Agents| Culture Media| Pesticides MeSH: | Antifungal Agents/majr/pharmacology| Culture Media/chemistry| Metarhizium/majr/drug effects/growth &amp; development| Microbial Sensitivity Tests| Pesticides/majr/pharmacology| Spores, Fungal/drug effects</t>
  </si>
  <si>
    <t>Wash off of imidacloprid and fipronil from turf and concrete surfaces using simulated rainfall.    ABSTRACT:  The surface runoff of imidacloprid granular product (GR) from turf surfaces, and imidacloprid emulsifiable concentrate (EC), fipronil suspension concentrate (SC) products and fipronil byproducts from concrete surfaces was investigated during 1h rainfall simulations at 50 mm/h or 25 mm/h with product incubation times of 1.5 h, 1 d, 7 d, and 14 d. About 57.3% of the applied mass of imidacloprid, corresponding to an event mean concentration of 392.0 μg/L, was washed off from the concrete surfaces after 1.5h of incubation. After 1 d, 7 d, and 14 d of incubation on either turf or concrete surfaces, up to 5.9% of the applied mass of pesticide was removed in each of the run-off events. The maximum concentrations of pesticides were observed in the initial fraction of the runoff collected in the first rainfall event. They were 157.8, 3267.8 and 143.3 μg/L for imidacloprid GR, imidacloprid EC and fipronil SC, respectively. Imidacloprid was not persistent on concrete surfaces, with run-off concentrations below detection limits in 7d incubation experiments. The cumulative mass losses of imidacloprid from turf and fipronil from concrete had a linear relation with cumulative surface run-off depth, while cumulative mass losses of imidacloprid from concrete surfaces were better fit by a power function of the cumulative surface run-off depth. The concentrations of fipronil in the runoff from the third rainfall event at 14 d incubation time were still relatively high and ranged from 12.0 to 31.0 μg/L. A toxicity unit approach was also employed to evaluate the potential acute toxicity of fipronil and its byproducts to aquatic organisms.Copyright © 2011 Elsevier B.V. All rights reserved.  KEYWORDS:  MeSH Chemical: Imidazoles| Insecticides| Neonicotinoids| Nitro Compounds| Pyrazoles| Water Pollutants, Chemical| imidacloprid| fipronil MeSH: | Chromatography, High Pressure Liquid| Construction Materials/majr| Gas Chromatography-Mass Spectrometry| Imidazoles/majr/analysis| Insecticides/majr/analysis| Neonicotinoids| Nitro Compounds/majr/analysis| Poaceae/majr/chemistry| Pyrazoles/majr/analysis| Rain| Surface Properties| Time Factors| Toxicity Tests| Water Pollutants, Chemical/majr/analysis</t>
  </si>
  <si>
    <t>Comparative efficacy on dogs of a single topical treatment with the pioneer fipronil/(S)-methoprene and an oral treatment with spinosad against Ctenocephalides felis.    ABSTRACT:  In the study reported here, the pioneer fipronil/(S)-methoprene topical product (Frontline® Plus, Merial Limited, Duluth, GA) was compared to the oral spinosad product (Comfortis® Elanco, Greenfield, IN) for efficacy against adult fleas and preventing egg production. The product presentations, doses and labelling were the one applicable in the USA. Using a standard protocol, 200 cat fleas of mixed sex were applied to dogs on Days 1, 7, 14, 21, 28, 35, and 42. Dogs were combed to remove fleas 24 hours post-infestation, the fleas were counted, collected, and then reapplied to each dog following completion of their respective count. At 48 hours post-infestation, comb counts were performed and fleas were removed. No fleas were collected from any dog in the fipronil/(S)-methoprene group at any 24 or 48 hours post-infestation assessment throughout the six weeks study, yielding a preventive efficacy of 100%. For the spinosad treatment, efficacy was 100% at 24 hours and 48 hours through Day 16, and thereafter declined. The results observed in the spinosad-treated dogs were highly variable between animals. At the 24 and 48 hours counts following the Day 21 infestation, only five of eight spinosad-treated dogs (62.5%) were flea-free. Following the Day  28 infestation, spinosad efficacy fell to 85% and 89%, for the 24 hours and 48 hours counts, and only two dogs (25%) were flea free, compared to 100% flea-free dogs in the fipronil/(S)-methoprene group. No fleas were collected from the fipronil/(S)-methoprene treated dogs throughout the entire study, therefore, no eggs were collected at any time from any dog in the group. However, in the spinosad group adult fleas were found on dogs starting on Day 21 and by Day 30, 42 eggs were collected from one dog that had 107 adult fleas counted at 48 hours. At Day 37 and Day 49, more than 100 eggs were collected from each dog in the spinosad-treated and control groups.  KEYWORDS:  MeSH Chemical: Drug Combinations| Insecticides| Juvenile Hormones| Macrolides| Pyrazoles| Methoprene| fipronil| spinosad MeSH: | Administration, Oral| Administration, Topical| Animals| Ctenocephalides/majr| Dog Diseases/majr/drug therapy/parasitology/prevention &amp; control| Dogs| Drug Combinations| Female| Flea Infestations/majr/drug therapy/prevention &amp; control/veterinary| Insecticides/majr/administration &amp; dosage| Juvenile Hormones/majr/administration &amp; dosage| Macrolides/administration &amp; dosage| Male| Methoprene/administration &amp; dosage| Parasite Egg Count/veterinary| Pyrazoles/administration &amp; dosage</t>
  </si>
  <si>
    <t>Study of the sustained speed of kill of the combination of fipronil/amitraz/(S)-methoprene and the combination of imidacloprid/permethrin against Dermacentor reticulatus, the European dog tick.    ABSTRACT:  The sustained speed of kill against Dermacentor reticulatus of two topical combinations, one containing fipronil/amitraz/(S)-methoprene and the other, imidacloprid/permethrin, was evaluated in dogs. Two treated groups and one untreated control group of eight adult Beagle dogs each were randomly formed based on pre-infestation rates and bodyweight. Each treatment was administered topically once on Day 0, according to the recommended label dose and instructions for use. All dogs were infested with 50 adult unfed D. reticulatus starting on Day 1, then weekly, for a total of five weeks. While most studies determine tick efficacy at 48 hours (h), in this study, all remaining ticks were counted and categorized 24 h following each infestation. The numbers of ticks (living or dead) that remained attached on treated dogs were compared to those on the control animals. The percent reduction of attached ticks (disruption of attachment) at 24 h on dogs treated with fipronil/amitraz/(S)-methoprene remained above 92% for four weeks. The reduction of attached ticks at 24 h on dogs treated with imidacloprid/permethrin did not reach 80% during the entire study. The number of ticks attached at 24 h was significantly (p&lt;0.05) lower in the fipronil/amitraz/(S)-methoprene group than in the imidacloprid/permethrin group in assessments on Days 2, 15, 22, 29 and 36. When assessing efficacy based upon live ticks on treated versus control dogs, fipronil/amitraz/(S)-methoprene 24 h efficacy was above 95% for four weeks, decreasing to 77.8% at Day 36. The 24 h efficacy of imidacloprid/permethrin ranged from 56.2% to 86.7% through Day 29, never achieving 90% throughout the study. The 24-hour efficacy of fipronil/amitraz/(S)-methoprene was significantly (p&lt;0.05) higher than imidacloprid/permethrin at all time points, including Day 36.  KEYWORDS:  MeSH Chemical: Antiparasitic Agents| Drug Combinations| Imidazoles| Insecticides| Juvenile Hormones| Neonicotinoids| Nitro Compounds| Pyrazoles| Toluidines| amitraz| imidacloprid| Permethrin| Methoprene| fipronil MeSH: | Animals| Antiparasitic Agents/majr/administration &amp; dosage| Dermacentor/majr| Dog Diseases/majr/drug therapy/parasitology| Dogs| Drug Combinations| Imidazoles/administration &amp; dosage| Insecticides/majr/administration &amp; dosage| Juvenile Hormones/majr/administration &amp; dosage| Methoprene/administration &amp; dosage| Neonicotinoids| Nitro Compounds/administration &amp; dosage| Permethrin/administration &amp; dosage| Pyrazoles/administration &amp; dosage| Single-Blind Method| Tick Infestations/majr/drug therapy/parasitology/veterinary| Time Factors| Toluidines/administration &amp; dosage</t>
  </si>
  <si>
    <t>Effects of the commercial formulation containing fipronil on the non-target organism Cyprinus carpio: implications for rice-fish cultivation.    ABSTRACT:  The aim of this research was to evaluate possible toxic effects of commercial formulation containing fipronil on Cyprinus carpio tissues under rice field conditions. Antioxidant profile (SOD, catalase, glutathione S-transferase), oxidative stress parameters (thiobarbituric acid-reactive substances, protein carbonyl), and growth were investigated in carp exposed to fipronil under rice field conditions for 7, 30, and 90 days. Waterborne insecticide concentrations were measured and the detectable concentration of fipronil was observed up to 45 day after application. Common carp survival and growth was not affected by fipronil. Liver superoxide dismutase activity was enhanced while liver catalase activity was inhibited at 7, 30, and 90 days. Alterations were not observed in the glutathione S-transferase activity in any experimental periods. Protein carbonyl increased only after 30 and 90 days of exposure. The thiobarbituric acid-reactive substances levels were enhanced in all analyzed tissues (liver, muscle, and brain) and periods of exposure. This study demonstrates that fipronil insecticides cause alterations in the biochemical parameters in different tissues of carp without affecting the growth or the survival of the fish.Copyright © 2011 Elsevier Inc. All rights reserved.  KEYWORDS:  MeSH Chemical: Antioxidants| Insecticides| Pyrazoles| Thiobarbituric Acid Reactive Substances| Water Pollutants, Chemical| Catalase| Glutathione Peroxidase| Glutathione Reductase| Glutathione Transferase| Glutathione| fipronil MeSH: | Agriculture/majr/methods| Animals| Antioxidants/metabolism| Carps/majr/metabolism| Catalase/metabolism| Glutathione/metabolism| Glutathione Peroxidase/metabolism| Glutathione Reductase/metabolism| Glutathione Transferase/metabolism| Insecticides/majr/toxicity| Liver/drug effects/metabolism| Muscles/drug effects/metabolism| Oryzias/majr| Oxidation-Reduction| Oxidative Stress/drug effects/physiology| Pyrazoles/majr/toxicity| Thiobarbituric Acid Reactive Substances/metabolism| Water Pollutants, Chemical/majr/toxicity</t>
  </si>
  <si>
    <t>Pharmacological characterization of the Haemonchus contortus GABA-gated chloride channel, Hco-UNC-49: modulation by macrocyclic lactone anthelmintics and a receptor for piperazine.    ABSTRACT:  Invertebrate ligand-gated chloride channels are well recognized as important targets for several insecticides and anthelmintics. Hco-UNC-49 is a GABA-gated chloride channel from the parasitic nematode Haemonchus contortus and is an orthologue to the neuromuscular receptor (Cel-UNC-49) from the free-living nematode Caenorhabditis elegans. While the receptors from the two nematodes are similar in sequence, they exhibit different sensitivities to GABA which may reflect differences in in vivo function. The aim of the current study was to further characterize the pharmacology of the Hco-UNC-49 receptor by examining its sensitivity to various insecticides and anthelmintics using two-electrode voltage clamp. Specifically, the insecticides fipronil and picrotoxin appear to inhibit the channel in a similar manner. The IC(50) of picrotoxin on the homomeric channel was 3.65 ± 0.64 μM and for the heteromeric channel was 134.56 ± 44.12 μM. On the other hand, dieldrin, a well-known insect GABA receptor blocker, had little effect on the UNC-49 channel. The anthelmintics ivermectin and moxidectin both moderately potentiated the activation of Hco-UNC-49 by GABA, while piperazine was able to directly activate both the Hco-UNC-49 homomeric and heteromeric channels with EC(50) values of 6.23 ± 0.45 mM and 5.09 ± 0.32 mM, respectively. This piperazine current was reversibly blocked by picrotoxin which demonstrates that the anthelmintic specifically targets Hco-UNC-49. These results demonstrate that Hco-UNC-49 exhibits binding sites for several molecules including piperazine and macrocyclic lactone anthelmintics. In addition, this is the first report of the heterologous expression and subsequent characterization of a receptor for piperazine.Copyright Â© 2011 Elsevier B.V. All rights reserved.  KEYWORDS:  MeSH Chemical: Anthelmintics| Chloride Channels| Helminth Proteins| Insecticides| Lactams, Macrocyclic| Macrolides| Piperazines| Pyrazoles| Receptors, Cell Surface| Picrotoxin| Piperazine| gamma-Aminobutyric Acid| Ivermectin| moxidectin| fipronil MeSH: | Animals| Anthelmintics/metabolism/pharmacology| Chloride Channels/majr/metabolism| Gene Expression Regulation| Haemonchus/majr/metabolism| Helminth Proteins/metabolism| Insecticides/pharmacology| Ion Channel Gating/majr/drug effects| Ivermectin/pharmacology| Lactams, Macrocyclic/pharmacology| Macrolides/pharmacology| Oocytes| Picrotoxin/pharmacology| Piperazine| Piperazines/metabolism/pharmacology| Pyrazoles/pharmacology| Receptors, Cell Surface/majr/metabolism| Xenopus laevis| gamma-Aminobutyric Acid/majr/metabolism</t>
  </si>
  <si>
    <t>Mechanism of action of the insecticides, lindane and fipronil, on glycine receptor chloride channels.    ABSTRACT:  Docking studies predict that the insecticides, lindane and fipronil, block GABA(A) receptors by binding to 6' pore-lining residues. However, this has never been tested at any Cys-loop receptor. The neurotoxic effects of these insecticides are also thought to be mediated by GABA(A) receptors, although a recent morphological study suggested glycine receptors mediated fipronil toxicity in zebrafish. Here we investigated whether human α1, α1β, α2 and α3 glycine receptors were sufficiently sensitive to block by either compound as to represent possible neurotoxicity targets. We also investigated the mechanisms by which lindane and fipronil inhibit α1 glycine receptors.Glycine receptors were recombinantly expressed in HEK293 cells and insecticide effects were studied using patch-clamp electrophysiology.Both compounds completely inhibited all tested glycine receptor subtypes with IC(50) values ranging from 0.2-2 µM, similar to their potencies at vertebrate GABA(A) receptors. Consistent with molecular docking predictions, both lindane and fipronil interacted with 6' threonine residues via hydrophobic interactions and hydrogen bonds. In contrast with predictions, we found no evidence for lindane interacting at the 2' level. We present evidence for fipronil binding in a non-blocking mode in the anaesthetic binding pocket, and for lindane as an excellent pharmacological tool for identifying the presence of β subunits in αβ heteromeric glycine receptors.This study implicates glycine receptors as novel vertebrate toxicity targets for fipronil and lindane. Furthermore, lindane interacted with pore-lining 6' threonine residues, whereas fipronil may have both pore and non-pore binding sites.© 2011 The Authors. British Journal of Pharmacology © 2011 The British Pharmacological Society.  KEYWORDS:  MeSH Chemical: Chloride Channels| DNA, Complementary| Insecticides| Pyrazoles| Receptors, Glycine| Recombinant Proteins| Hexachlorocyclohexane| fipronil MeSH: | Chloride Channels/majr/physiology| DNA, Complementary/genetics| HEK293 Cells| Hexachlorocyclohexane/majr/pharmacology| Humans| Insecticides/majr/pharmacology| Mutation| Pyrazoles/majr/pharmacology| Receptors, Glycine/majr/physiology| Recombinant Proteins/genetics/metabolism</t>
  </si>
  <si>
    <t>Identification and expression of the ecdysone receptor in the harpacticoid copepod, Amphiascus tenuiremis, in response to fipronil.    ABSTRACT:  The marine copepod, Amphiascus tenuiremis (A. tenuiremis), is a well characterized invertebrate model for the screening and evaluation of endocrine and reproductive toxins using life-cycle assays. These tests evaluate phenotypic endpoints related to development and reproduction, which are utilized to predict population outcomes. Some of these endpoints in arthropods, including sexual maturation and molting, are controlled by the hormone ecdysone which acts through its cognate receptor, the ecdysone receptor. The purpose of this research was to obtain and characterize sequence information for the A. tenuiremis ecdysone receptor and investigate modulation of expression levels by fipronil, an insecticide that causes infertility in males and reduced egg extrusion in female copepods, and ponasterone, a natural ecdysone receptor agonist. Results show successful cloning and phylogenetic analysis of the ecdysone receptor for A. tenuiremis, providing the first genetic information for a hormone receptor in this species. Exposure of copepodites to fipronil for 1, 2, 4, 18 and 30 h caused a significant increase in ecdysone receptor transcriptional expression at 30 h compared to control unexposed animals. This work illustrates a potential mechanism whereby exposure to fipronil, and potentially other endocrine disrupting compounds, results in impacted reproduction. Furthermore, this exemplifies the potential utility of ecdysone receptor transcriptional measurement as a sensitive and rapid biomarker of ecological relevance when linked to traditional A. tenuiremis bioassays.Copyright © 2011 Elsevier Inc. All rights reserved.  KEYWORDS:  MeSH Chemical: Biomarkers| Endocrine Disruptors| Insecticides| Pyrazoles| Receptors, Steroid| ecdysone receptor| Ecdysone| fipronil MeSH: | Amino Acid Sequence| Animals| Biological Assay| Biomarkers/metabolism| Copepoda/majr/drug effects/genetics/metabolism| Ecdysone/metabolism| Endocrine Disruptors/toxicity| Environmental Monitoring| Female| Insecticides/majr/toxicity| Life Cycle Stages| Male| Molecular Sequence Data| Pyrazoles/majr/toxicity| Receptors, Steroid/majr/metabolism| Reproduction/drug effects</t>
  </si>
  <si>
    <t>Differences in susceptibility of five cladoceran species to two systemic insecticides, imidacloprid and fipronil.    ABSTRACT:  Differences in susceptibility of five cladocerans to the neonicotinoid imidacloprid and the phenyl-pyrazole fipronil, which have been dominantly used in rice fields of Japan in recent years, were examined based on short-term (48-h), semi-static acute immobilization exposure tests. Additionally, we compared the species sensitivity distribution (SSD) patterns of both insecticides between two sets of species: the five tested cladocerans and all other aquatic organisms tested so far, using data from the ECOTOX database of U.S. Environmental Protection Agency (USEPA). The sensitivity of the test species to either imidacloprid or fipronil was consistent, spanning similar orders of magnitude (100 times). At the genus level, sensitivities to both insecticides were in the following descending order: Ceriodaphnia &gt; Moina &gt; Daphnia. A positive relationship was found between body lengths of each species and the acute toxicity (EC(50)) of the insecticides, in particular fipronil. Differences in SSD patterns of imidacloprid were found between the species groups compared, indicating that test cladocerans are much less susceptible than other aquatic species including amphibians, crustaceans, fish, insects, mollusks and worms. However, the SSD patterns for fipronil indicate no difference in sensitivity between cladocerans tested and other aquatic organisms despite the greater exposure, which overestimates the results, of our semi-static tests. From these results, Ceriodaphnia sp. should be considered as more sensitive bioindicators (instead of the standard Daphnia magna) for ecotoxicological assessments of aquatic ecosystems. In addition, we propose that ecotoxicity data associated with differences in susceptibility among species should be investigated whenever pesticides have different physicochemical properties and mode of action.  KEYWORDS:  MeSH Chemical: Imidazoles| Insecticides| Neonicotinoids| Nitro Compounds| Pyrazoles| Water Pollutants, Chemical| imidacloprid| fipronil MeSH: | Animals| Cladocera/majr/drug effects/physiology| Databases, Factual| Imidazoles/majr/toxicity| Insecticides/majr/toxicity| Lethal Dose 50| Neonicotinoids| Nitro Compounds/majr/toxicity| Pyrazoles/majr/toxicity| Species Specificity| Toxicity Tests, Acute| United States| United States Environmental Protection Agency| Water Pollutants, Chemical/majr/toxicity| Zooplankton</t>
  </si>
  <si>
    <t>Insecticide resistance in bedbugs in Thailand and laboratory evaluation of insecticides for the control of Cimex hemipterus and Cimex lectularius (Hemiptera: Cimicidae).    ABSTRACT:  Bedbugs are found in many countries around the world, and in some regions they are resistant to numerous insecticides. This study surveyed bedbugs in Thailand and determined their resistance to insecticides. The surveys were carried out in six provinces that attract large numbers of foreign tourists: Bangkok, Chonburi, Chiang Mai, Ubon Ratchathani, Phuket, and Krabi. Bedbugs were collected from hotels and colonized in the laboratory to evaluate their resistance to insecticides. Cimex hemipterus (F.) was found in some hotels in Bangkok, Chonburi, Phuket, and Krabi, whereas Cimex lectularius L. was found only in hotels in Chiang Mai. No bedbugs were found in Ubon Ratchathani. The colonized bedbugs showed resistance to groups of insecticides, including organochlorines (dichlorodiphenyl trichloroethane, dieldrin), carbamates (bendiocarb, propoxur), organophosphates (malathion, fenitrothion), and pyrethroids (cyfluthrin, deltamethrin, permethrin, lambda-cyhalothrin, etofenprox) in tests using World Health Organization insecticide-impregnated papers. The new insecticides imidacloprid (neonicotinoid group), chlorfenapyr (pyrrole group), and fipronil (phenylpyrazole group) were effective against the bedbugs; however, organophosphate (diazinon), carbamates (fenobucarb, propoxur), and pyrethroids (bifenthrin, cypermethrin, esfenvalerate, etofenprox) were ineffective. Aerosols containing various pyrethroid insecticides with two to four different active ingredients were effective against the bedbugs. The results obtained from this study suggested that both species of bedbugs in Thailand have developed marked resistance to various groups of insecticides, especially those in the pyrethroid group, which are the most common insecticides used for pest control. Therefore, an integrated pest management should be implemented for managing bedbugs in Thailand.  KEYWORDS:  MeSH Chemical: Insecticides MeSH: | Animals| Bedbugs/majr/classification| Female| Insecticide Resistance/majr| Insecticides/majr| Male| Species Specificity| Thailand| Travel</t>
  </si>
  <si>
    <t>Differences in ecological impacts of systemic insecticides with different physicochemical properties on biocenosis of experimental paddy fields.    ABSTRACT:  The environmental risks of pesticides are typically determined by laboratory single-species tests based on OECD test guidelines, even if biodiversity should also be taken into consideration. To evaluate how realistic these assessments are, ecological changes caused by the systemic insecticides imidacloprid and fipronil, which have different physicochemical properties, when applied at recommended commercial rates on rice fields were monitored using experimental paddy mesocosms. A total of 178 species were observed. There were no significant differences in abundance of crop arthropods among the experimental paddies. However, zooplankton, benthic and neuston communities in imidacloprid-treated field had significantly less abundance of species than control and fipronil fields. Significant differences in abundance of nekton community were also found between both insecticide-treated paddies and control. Influences on the growth of medaka fish were also found in both adults and their fries. Both Principal Response Curve analysis (PRC) and Detrended Correspondence Analysis (DCA) showed the time series variations in community structure among treatments, in particular for imidacloprid during the middle stage of the experimental period. These results show the ecological effect-concentrations (LOEC ~ 1 μg/l) of these insecticides in mesocosms, especially imidacloprid, are clearly different from their laboratory tests. We suggest that differences in the duration of the recovery process among groups of species are due to different physicochemical properties of the insecticides. Therefore, realistic prediction and assessment of pesticide effects at the community level should consider not only the sensitivity traits and interaction among species but also the differences in physicochemical characteristics of each pesticide.  KEYWORDS:  MeSH Chemical: Imidazoles| Insecticides| Neonicotinoids| Nitro Compounds| Pyrazoles| Water Pollutants, Chemical| imidacloprid| fipronil MeSH: | Animals| Arthropods/drug effects| Biota/majr| Chemical Phenomena| Ecosystem| Environmental Monitoring/majr/methods| Imidazoles/analysis/toxicity| Insecticides/majr/analysis| Multivariate Analysis| Neonicotinoids| Nitro Compounds/analysis/toxicity| Oryza/majr/growth &amp; development| Pyrazoles/analysis/toxicity| Risk Assessment| Water Pollutants, Chemical/majr/analysis/toxicity</t>
  </si>
  <si>
    <t>The prevention of transmission of Babesia canis canis by Dermacentor reticulatus ticks to dogs using a novel combination of fipronil, amitraz and (S)-methoprene.    ABSTRACT:  Four groups of seven dogs were treated topically with a novel combination of fipronil, amitraz and (S)-methoprene in a spot-on formulation (CERTIFECT™, Merial Limited, GA, USA) on 28, 21, 14 and 7 days prior to tick infestation, respectively and acaricidal efficacy and transmission blocking compared with an untreated control group (seven dogs). All dogs were infested with adult Dermacentor reticulatus ticks harbouring Babesia canis canis. Babesia canis canis was transmitted by D. reticulatus to all seven untreated control dogs, confirmed following demonstration of clinical signs, by the detection of B. canis parasites in thin blood smears and B. canis canis PCR-RLB DNA assay on blood and the development of B. canis canis antibody titres by 14-21 days after tick infestation. The majority of treated dogs remained sero-negative for 42 days after infestation. Therefore, the treatment of dogs with CERTIFECT applied up to 28 days prior to infestation with D. reticulatus harbouring B. canis canis, successfully prevented the development of clinical signs of canine babesiosis.Copyright © 2011 Elsevier B.V. All rights reserved.  KEYWORDS:  MeSH Chemical: Drug Combinations| Insecticides| Pyrazoles| Toluidines| amitraz| Methoprene| fipronil MeSH: | Administration, Topical| Animals| Arachnid Vectors/majr/drug effects/parasitology/physiology| Babesia/physiology| Babesiosis/majr/parasitology/prevention &amp; control/transmission/veterinary| Dermacentor/majr/drug effects/parasitology/physiology| Dog Diseases/majr/drug therapy/parasitology/prevention &amp; control/transmission| Dogs| Double-Blind Method| Drug Combinations| Europe| Female| Insecticides/majr/pharmacology/therapeutic use| Male| Methoprene/pharmacology/therapeutic use| Pyrazoles/pharmacology/therapeutic use| Tick Control/methods| Tick Infestations/majr/drug therapy/parasitology/prevention &amp; control/veterinary| Time Factors| Toluidines/pharmacology/therapeutic use</t>
  </si>
  <si>
    <t>The ability of a topical novel combination of fipronil, amitraz and (S)-methoprene to protect dogs from Borrelia burgdorferi and Anaplasma phagocytophilum infections transmitted by Ixodes scapularis.    ABSTRACT:  Healthy, purpose-bred laboratory beagle dogs that had not been exposed to ticks and were seronegative for Borrelia burgdorferi and Anaplasma phagocytophilum were randomly assigned to four groups of eight dogs each. Control group 1 was not treated. Groups 2, 3 and 4 were treated with a single topical application of a new formulation of fipronil, amitraz and (S)-methoprene (CERTIFECT™, Merial Limited, GA, USA) at 28, 21 or 14 days prior to tick infestation, respectively. Each dog was infested with 25 female and 25 male field-collected adult Ixodes scapularis ticks that had infection rates of 66% for B. burgdorferi sensu stricto and 23% for A. phagocytophilum, as determined by polymerase chain reaction. Two and five days after tick infestation, control dogs had an average of 9.5 and 13.9 attached adult female ticks, respectively, whilst the 24 treated dogs remained tick-free aside from a single tick on the 2nd day after infestation. Serial serological tests demonstrated that the ticks successfully infected 8/8 control dogs with B. burgdorferi and co-infected 6/8 with A. phagocytophilum. B. burgdorferi infection also was confirmed in most control dogs by culture (6/8) and PCR (7/8) of skin biopsies. In contrast, CERTIFECT protected all 24 treated dogs against infection by both B. burgdorferi and A. phagocytophilum, as demonstrated by their negative serological tests throughout the study and the absence of any positive skin biopsy culture or PCR in these dogs.Copyright © 2011 Elsevier B.V. All rights reserved.  KEYWORDS:  MeSH Chemical: Antibodies, Bacterial| Drug Combinations| Insecticides| Pyrazoles| Toluidines| amitraz| Methoprene| fipronil MeSH: | Administration, Topical| Anaplasma phagocytophilum/physiology| Animals| Antibodies, Bacterial| Arachnid Vectors/majr/drug effects/microbiology/physiology| Borrelia burgdorferi/physiology| Dog Diseases/majr/drug therapy/parasitology/prevention &amp; control/transmission| Dogs| Double-Blind Method| Drug Combinations| Ehrlichiosis/parasitology/prevention &amp; control/transmission/veterinary| Female| Insecticides/majr/pharmacology/therapeutic use| Ixodes/majr/drug effects/microbiology/physiology| Lyme Disease/parasitology/prevention &amp; control/transmission/veterinary| Male| Methoprene/pharmacology/therapeutic use| Pyrazoles/pharmacology/therapeutic use| Rhode Island| Tick Control/methods| Tick Infestations/majr/drug therapy/parasitology/prevention &amp; control/veterinary| Time Factors| Toluidines/pharmacology/therapeutic use</t>
  </si>
  <si>
    <t>Efficacy of a novel combination of fipronil, amitraz and (S)-methoprene for treatment and control of tick species infesting dogs in Europe.    ABSTRACT:  Four studies were conducted to show the effectiveness of a novel combination of fipronil, amitraz and (S)-methoprene in a spot-on formulation (CERTIFECT™, Merial Limited, GA, USA) for the therapeutic and preventive control of Ixodid tick species affecting dogs in Europe: Ixodes ricinus, Dermacentor reticulatus and Rhipicephalus sanguineus. In each, untreated control dogs were compared to others treated with the novel combination. All dogs were infested with 50 adult, unfed ticks prior to treatment and at 7-day intervals after treatment. Ticks on all dogs were counted at 18, 24 and 48 h after treatment (therapeutic efficacy) or infestation (preventive efficacy). Therapeutic efficacy of fipronil, amitraz and (S)-methoprene was excellent as shown by significant (p&lt;0.05) and greater than 97% and up to 100% reductions in the 48 h tick counts and significant (p&lt;0.05) detachment/death of ticks evident at 18-24h after treatment for all three tick species. Preventive efficacy was demonstrated by significant (p&lt;0.05) and greater than 93% and up to 100% reductions in tick counts at 48 h after repeat infestations out to 35 days after treatment for I. ricinus and out to 42 days after treatment for D. reticulatus and R. sanguineus. The time to substantial disruption of establishment of new tick infestations after treatment was less than 18-24h and was maintained for up to 28 days after treatment of I. ricinus and D. reticulatus infestations, and 4h to at most 18 h and maintained up to 35 days after treatment of R. sanguineus. Similar preventive efficacy profiles for each of the Ixodid species tested suggest that CERTIFECT kills all Ixodid species starting 4h after contact as demonstrated for R. sanguineus.Copyright © 2011 Elsevier B.V. All rights reserved.  KEYWORDS:  MeSH Chemical: Drug Combinations| Insecticides| Pyrazoles| Toluidines| amitraz| Methoprene| fipronil MeSH: | Administration, Topical| Animals| Dermacentor/majr/drug effects/growth &amp; development/physiology| Dog Diseases/majr/drug therapy/parasitology/prevention &amp; control| Dogs| Double-Blind Method| Drug Combinations| Europe| Female| Insecticides/majr/pharmacology/therapeutic use| Ixodes/majr/drug effects/growth &amp; development/physiology| Male| Methoprene/pharmacology/therapeutic use| Pyrazoles/pharmacology/therapeutic use| Rhipicephalus sanguineus/majr/drug effects/growth &amp; development/physiology| Tick Control/methods| Tick Infestations/majr/drug therapy/parasitology/prevention &amp; control/veterinary| Toluidines/pharmacology/therapeutic use| Treatment Outcome</t>
  </si>
  <si>
    <t>Efficacy of a novel topical combination of fipronil, amitraz and (S)-methoprene for treatment and control of induced infestations with four North American tick species (Dermacentor variabilis, Ixodes scapularis, Amblyomma americanum and Amblyomma maculatum) on dogs.    ABSTRACT:  Five laboratory studies were conducted to confirm that a single topical dose of the novel combination of fipronil, amitraz and (S)-methoprene, CERTIFECT™ (Merial Limited, GA, USA), is efficacious for the rapid control of pre-existing infestations and the prevention of new infestations with Ixodes scapularis, Dermacentor variabilis, Amblyomma americanum and Amblyomma maculatum for at least 28 days on dogs. In each study, 8 male and 8 female purpose-bred, laboratory beagles were randomly assigned to one of two study groups (treated and untreated). Starting on the day before treatment, each dog was infested weekly with about 30 or 50 ticks, depending on the study. Treatment with the novel combination rapidly eliminated pre-existing infestations and controlled weekly re-infestations for at least 28 days. Pre-existing infestations with all four tick species were rapidly and effectively reduced, with post-treatment therapeutic efficacies ranging from 91.7 to 99.5% within 18-48 h post treatment. Amblyomma maculatum numbers were significantly (p&lt;0.05) reduced on treated dogs from the first tick counts as early as 6h post-treatment. All subsequent infestations with each of the 4 tick species were quickly disrupted, with prophylactic efficacies greater than 90% within 18-48 h post-infestation for at least a full month. Because the combination of fipronil, amitraz and (S)-methoprene quickly starts disrupting and killing ixodid ticks within hours of treatment, with similar high levels of efficacy maintained for at least 28 days in these and other studies, the authors conclude that a single topical treatment with CERTIFECT may prevent the transmission of most infectious agents carried by ixodid ticks for at least one month.Copyright © 2011 Elsevier B.V. All rights reserved.  KEYWORDS:  MeSH Chemical: Drug Combinations| Insecticides| Pyrazoles| Toluidines| amitraz| Methoprene| fipronil MeSH: | Administration, Topical| Animals| Dog Diseases/majr/drug therapy/parasitology/prevention &amp; control| Dogs| Double-Blind Method| Drug Combinations| Female| Insecticides/majr/pharmacology/therapeutic use| Ixodidae/majr/drug effects/growth &amp; development/physiology| Male| Methoprene/pharmacology/therapeutic use| Pyrazoles/pharmacology/therapeutic use| Tick Control/methods| Tick Infestations/majr/drug therapy/parasitology/prevention &amp; control/veterinary| Time Factors| Toluidines/pharmacology/therapeutic use| Treatment Outcome| United States</t>
  </si>
  <si>
    <t>Efficacy of a novel topical combination of fipronil, amitraz and (S)-methoprene for treatment and control of induced infestations of brown dog ticks (Rhipicephalus sanguineus) on dogs.    ABSTRACT:  Four laboratory studies were conducted to demonstrate that a single topical dose of a novel spot-on combination containing fipronil, amitraz and (S)-methoprene (CERTIFECT™, Merial Limited, GA, USA) is efficacious against the brown dog tick, Rhipicephalus sanguineus. In each study, 6-8 male and 6-8 female purpose-bred, laboratory mongrels, terrier cross or Beagles were randomly assigned to one of two study groups (treated and untreated), based on pre-treatment parasite counts. Starting on the day before treatment, each dog was infested weekly with 50 ticks. Ticks were thumb counted at various time points after treatment and weekly infestations starting as early as 6h and continued at 12, 18 and 24h depending on the study. Ticks were removed and counted at 48 h after treatment and weekly infestations. CERTIFECT provided rapid and excellent control of pre-existing and newly acquired infestations of R. sanguineus with efficacy as high as 93% within the first 12h after a single topical treatment. Excellent control (&gt;96%) of R. sanguineus as early as 18 h, following post treatment infestations was maintained for at least 35 days.Copyright © 2011 Elsevier B.V. All rights reserved.  KEYWORDS:  MeSH Chemical: Drug Combinations| Insecticides| Pyrazoles| Toluidines| amitraz| Methoprene| fipronil MeSH: | Administration, Topical| Animals| Dog Diseases/majr/drug therapy/parasitology/prevention &amp; control| Dogs| Drug Combinations| Female| Insecticides/majr/pharmacology/therapeutic use| Male| Methoprene/pharmacology/therapeutic use| Pyrazoles/pharmacology/therapeutic use| Random Allocation| Rhipicephalus sanguineus/majr/drug effects/growth &amp; development/physiology| South Africa| Tick Control/methods| Tick Infestations/majr/drug therapy/parasitology/prevention &amp; control/veterinary| Toluidines/pharmacology/therapeutic use| Treatment Outcome| United States</t>
  </si>
  <si>
    <t>The prevention of attachment and the detachment effects of a novel combination of fipronil, amitraz and (S)-methoprene for Rhipicephalus sanguineus and Dermacentor variabilis on dogs.    ABSTRACT:  A novel combination of fipronil, amitraz and (S)-methoprene (CERTIFECT™, Merial Limited, GA, USA) was evaluated for the prevention of attachment of ticks and its ability to cause detachment of ticks. For the two prevention of attachment studies, 20 purpose-bred beagles were allocated each to two equal groups based on pretreatment tick counts (treated and untreated). Each dog was exposed to 50 adult Rhipicephalus sanguineus and Dermacentor variabilis weekly starting 24h after treatment. In study 1 infestations with R. sanguineus were discontinued after Day 7 but continued to Day 28 for D. variabilis in both studies. Counts of ticks by species were made 2, 4 and 24h after exposure to ticks. Ticks not attaching to dogs were evaluated for viability. For the evaluation of detachment study, 16 purpose-bred beagles were allocated each to two equal groups based on pretreatment tick counts (treated and untreated). Each dog was infested with 50 unfed R. sanguineus and D. variabilis adults on Day -2. Ticks were thumb counted without removal on all dogs on Day -1, and at 4, 12, and 24h after treatment. Ticks were counted and removed at 48 h after treatment. Dogs treated with the novel combination had significantly (p&lt;0.05) lower total numbers of attached R. sanguineus and D. variabilis than untreated controls at 4h through Day 7. For R. sanguineus, percent reduction of attachment at 24h after infestation through Day 29 ranged from 94.5% to 100%. For D. variabilis, the percent reduction of attachment at 24h through Day 22 was above 98.0%. These studies demonstrate that novel combination can disrupt attachment of R. sanguineus and D. variabilis for up to 28 days following treatment. Of those ticks that are exposed to the treatment, even if they do not attach to the dog and remain in the environment, greater than 90% (p&lt;0.05) die within 24h for 2-3 weeks following treatment. Also, for those dogs infested with ticks at the time of treatment, the novel combination causes significant detachment (p&lt;.05) starting at 12h and reaching 98.9% by 48 h after treatment. This product provides an effective means for controlling ticks infesting dogs and limiting the spread of tick transmitted diseases. Additionally, the mortality of ticks exposed to CERTIFECT will reduce infestation of the dog's environment.Copyright © 2011 Elsevier B.V. All rights reserved.  KEYWORDS:  MeSH Chemical: Drug Combinations| Insecticides| Pyrazoles| Toluidines| amitraz| Methoprene| fipronil MeSH: | Administration, Topical| Animals| Dermacentor/majr/drug effects/physiology| Dog Diseases/majr/parasitology/prevention &amp; control/transmission| Dogs| Drug Combinations| Female| Insecticides/majr/pharmacology| Male| Methoprene/pharmacology| Pyrazoles/pharmacology| Random Allocation| Rhipicephalus sanguineus/majr/drug effects/physiology| Tick Infestations/majr/parasitology/prevention &amp; control/transmission/veterinary| Toluidines/pharmacology</t>
  </si>
  <si>
    <t>The combined mode of action of fipronil and amitraz on the motility of Rhipicephalus sanguineus.    ABSTRACT:  The motility of adult Rhipicephalus sanguineus was evaluated subsequent to treatments of amitraz, fipronil and the combination of fipronil plus amitraz against a vehicle control in a Petri dish assay using the LemnaTec Scanalyzer Imaging System. The assay was run using a fixed dilution of amitraz (0.32μg/cm(2)); serial dilutions of fipronil (1.3, 0.33, 0.08, 0.02, or 0.005μg/cm(2)); and the same serial dilutions of fipronil in combination with the fixed dilution of amitraz. Measurement of motility was made of unstimulated ticks and then after stimulation at 1, 4, 18-22, and 24h post exposure (hpe) of the Petri dishes. For the unstimulated ticks, there was no difference in motility between the amitraz treatment group and the fipronil plus amitraz treatment group at the early time points. However, these two treatment groups had significantly higher motility than the solvent control and fipronil treatment groups. The unstimulated ticks in the amitraz treatment group had significantly higher motility than the fipronil plus amitraz treatment group at the later time points. Measurements after stimulation demonstrated there was no difference in motility between the amitraz treatment group and the fipronil plus amitraz treatment group at the early time points. By 18 hpe, the fipronil plus amitraz treatment group had significantly lower motility than all other treatment groups and at 21-22 and 24 hpe the other treatment groups did not differ from the control group. The action could be divided in two phases in the combination experiment: phase 1: an early increase in motility due to amitraz is identified in both amitraz alone or fipronil plus amitraz groups; phase 2: the combination of fipronil plus amitraz caused a significantly greater reduction in motility, suggesting mortality of the ticks, compared to fipronil or amitraz alone. These results demonstrate a synergism resulting from the combination of fipronil plus amitraz.Copyright © 2011 Elsevier B.V. All rights reserved.  KEYWORDS:  MeSH Chemical: Acaricides| Drug Combinations| Pyrazoles| Toluidines| amitraz| fipronil MeSH: | Acaricides/majr/chemistry/pharmacology| Animals| Dog Diseases/majr/parasitology| Dogs| Drug Combinations| Drug Synergism| Movement/drug effects| Pyrazoles/majr/chemistry/pharmacology| Rhipicephalus sanguineus/majr/drug effects/physiology| Tick Infestations/majr/parasitology/veterinary| Time Factors| Toluidines/majr/chemistry/pharmacology</t>
  </si>
  <si>
    <t>Action of the chemical agent fipronil (active ingredient of acaricide Frontline®) on the liver of mice: an ultrastructural analysis.    ABSTRACT:  Fipronil, active ingredient of the acaricide Frontiline®, is a phenyl-pyrazolic derivative, and its efficacy in the elimination of several plagues, even in low concentrations, has already been demonstrated; however, its effect on nontarget organisms has not been thoroughly explained. In this sense, the objective of this study was to evaluate the effects of different dosages of fipronil on the liver of mice in artificial conditions. Results showed that the animals exposed to fipronil present significant ultrastrucutural changes in hepatic cells with evident cellular and cytoplasm disorganization in hepatocytes characterized by an increase in the number of organelles, mainly mitochondria and rough endoplasmic reticulum, organelles that, in the case of the exposed animals, were probably responsible for the enzymes' synthesis that have the function of inactivating the toxic metabolites. A fat accumulation in the hepatocytes' cytoplasm (steatosis) was observed, in addition to extended vacuolated areas, mainly in regions next to the cell nucleus. Alterations observed in the nuclei of the hepatocytes pointed out cell death processes. Moreover, Kupffer cells increased in number (hyperplasia) suggesting an increase in the phagocytic activity of the liver in the exposed animals.Copyright © 2011 Wiley Periodicals, Inc.  KEYWORDS:  MeSH Chemical: Acaricides| Pyrazoles| fipronil MeSH: | Acaricides/toxicity| Animals| Cell Death| Cell Nucleus/drug effects| Chemical and Drug Induced Liver Injury/pathology| Cytoplasm/drug effects/ultrastructure| Endoplasmic Reticulum/drug effects| Fatty Liver/chemically induced| Female| Hepatocytes/majr/drug effects/ultrastructure| Hyperplasia/chemically induced| Kupffer Cells/drug effects/ultrastructure| Lethal Dose 50| Liver/majr/cytology/drug effects| Mice| Microscopy, Electron| Mitochondria/drug effects| Phagocytosis| Pyrazoles/majr/administration &amp; dosage/toxicity| Toxicity Tests/majr</t>
  </si>
  <si>
    <t>Exposure to sublethal doses of fipronil and thiacloprid highly increases mortality of honeybees previously infected by Nosema ceranae.    ABSTRACT:  The honeybee, Apis mellifera, is undergoing a worldwide decline whose origin is still in debate. Studies performed for twenty years suggest that this decline may involve both infectious diseases and exposure to pesticides. Joint action of pathogens and chemicals are known to threaten several organisms but the combined effects of these stressors were poorly investigated in honeybees. Our study was designed to explore the effect of Nosema ceranae infection on honeybee sensitivity to sublethal doses of the insecticides fipronil and thiacloprid.Five days after their emergence, honeybees were divided in 6 experimental groups: (i) uninfected controls, (ii) infected with N. ceranae, (iii) uninfected and exposed to fipronil, (iv) uninfected and exposed to thiacloprid, (v) infected with N. ceranae and exposed 10 days post-infection (p.i.) to fipronil, and (vi) infected with N. ceranae and exposed 10 days p.i. to thiacloprid. Honeybee mortality and insecticide consumption were analyzed daily and the intestinal spore content was evaluated 20 days after infection. A significant increase in honeybee mortality was observed when N. ceranae-infected honeybees were exposed to sublethal doses of insecticides. Surprisingly, exposures to fipronil and thiacloprid had opposite effects on microsporidian spore production. Analysis of the honeybee detoxification system 10 days p.i. showed that N. ceranae infection induced an increase in glutathione-S-transferase activity in midgut and fat body but not in 7-ethoxycoumarin-O-deethylase activity.After exposure to sublethal doses of fipronil or thiacloprid a higher mortality was observed in N. ceranae-infected honeybees than in uninfected ones. The synergistic effect of N. ceranae and insecticide on honeybee mortality, however, did not appear strongly linked to a decrease of the insect detoxification system. These data support the hypothesis that the combination of the increasing prevalence of N. ceranae with high pesticide content in beehives may contribute to colony depopulation.  KEYWORDS:  MeSH Chemical: Insecticides| Neonicotinoids| Pyrazoles| Pyridines| Thiazines| thiacloprid| fipronil MeSH: | Animals| Bees/majr/drug effects/microbiology| Insecticides/majr/toxicity| Neonicotinoids| Nosema/majr/pathogenicity| Pyrazoles/majr/toxicity| Pyridines/majr/toxicity| Thiazines/majr/toxicity</t>
  </si>
  <si>
    <t>Sowing simulation tests of a pneumatic drill equipped with systems aimed at reducing the emission of abrasion dust from maize dressed seed.    ABSTRACT:  The utilization of dressed seed for spring sowing is a widespread practice to control some pests with reduced doses of chemical products. However some insecticides employed in maize seed dressing, namely belonging to the neonicotinoid family and fipronil, have been claimed to play a role in the decline of honeybees (Apis mellifera L.). Pneumatic drills used in maize sowing are charged with contributing to the dispersion of the abrasion dust produced by dressed seeds, favoring the contamination of the honeybee habitat. Different devices similar to air deflectors have been introduced on pneumatic drills in order to reduce dust drift. During previous field tests carried out by the authors during recent years reduction of dust concentration both in the air and at soil surface has been shown as a consequence of their application. As field tests are affected by the variability of environmental parameters (namely wind speed and direction) the results are not always reliable, comparable and of a general validity. This paper refers to a sowing simulation test system in which pneumatic drills can be tested at a fixed point under controlled conditions of the main environmental parameters. In the test area, protected by external influences, artificial wind conditions are created by means of a fan. The drill, suitably placed in the test area, operates the seed distribution "sur place" by means of an electric engine connected to the drill's driving wheel. A 22.5 m long sampling area, leeward with respect to the drill position, has been identified. Along the sampling area a series of Petri dishes has been placed, with the aim of capturing the depositing dust and providing the concentration of the active ingredients (a.i.) at ground level. At the same time, three air samplers with PTFE diskette filters have been used for the detection of the a.i. The test system has been used for the test of a pneumatic drill, equipped with and without air deflectors, using maize seed dressed with four a. i. (imidacloprid, clothianidin, thiametoxam, fipronil). The results showed regularly decreasing of the concentrations as distance increased, both in the air and at ground level. Moreover, the difference determined by the adoption of the drift reducing device (air deflectors) resulted clear and it can be quantified at around 50 % of the a.i. amounts observed without deflectors. Finally, the paper proposes a data processing method that, from the values observed at fixed point, provides the theoretical a.i. concentration behavior that would occur in field, under the same conditions of wind speed and direction and working speed. The obtained results are coherent with previous field test.  KEYWORDS:  MeSH Chemical: Dust| Guanidines| Imidazoles| Insecticides| Neonicotinoids| Nitro Compounds| Soil| Thiazoles| clothianidin| imidacloprid MeSH: | Agriculture/majr/instrumentation/methods| Animals| Bees| Dust/majr| Guanidines| Imidazoles| Insecticides| Models, Theoretical| Neonicotinoids| Nitro Compounds| Seeds/majr| Soil| Thiazoles| Wind/majr| Zea mays/majr</t>
  </si>
  <si>
    <t>Efficacy of dinotefuran-pyriproxyfen, dinotefuran-pyriproxyfen-permethrin and fipronil-(S)-methoprene topical spot-on formulations to control flea populations in naturally infested pets and private residences in Tampa, FL.    ABSTRACT:  Thirteen cats and 7 dogs living in 14 homes were treated topically with either a dinotefuran (22%, w/w)/pyriproxyfen (3.00%, w/w) (DP) or dinotefuran (4.95%, w/w)/pyriproxyfen (0.44%, w/w)/permethrin (36.08%, w/w) (DPP) topical spot-on, respectively. Twenty cats and 7 dogs living in 16 homes were treated topically with either a fipronil (9.8%, w/w)/(S)-methoprene (11.8%, w/w) or fipronil (9.8%, w/w)/(S)-methoprene (8.8%, w/w) topical spot-on (FM), respectively. All products were applied according to label directions by study investigators on day 0 and again between days 28 and 30. Flea populations on pets were assessed using visual area counts and premise flea infestations were assessed using intermittent-light flea traps on days 0, 7, 14, 21, 28-30, 40-45, and 54-60. A single application of the DP-DPP and FM formations reduced flea populations by 87.35% and 88.44%, respectively within 7 days. Following two monthly applications of either the DP-DPP or FM formulations, pet flea burdens were reduced by 95.24% and 95.47%, respectively. Flea numbers in the indoor-premises were also markedly reduced by days 54-60, with 98.05% and 96.15% reductions in intermittent-light flea trap counts in the DP-DPP or FM treatment groups, respectively.Copyright © 2011 Elsevier B.V. All rights reserved.  KEYWORDS:  MeSH Chemical: Guanidines| Insecticides| Neonicotinoids| Nitro Compounds| Pyrazoles| Pyridines| dinotefuran| pyriproxyfen| Permethrin| Methoprene| fipronil MeSH: | Administration, Topical| Animals| Cat Diseases/majr/epidemiology/prevention &amp; control| Cats| Dog Diseases/majr/epidemiology/prevention &amp; control| Dogs| Flea Infestations/majr/epidemiology/prevention &amp; control/veterinary| Florida/epidemiology| Guanidines/administration &amp; dosage/therapeutic use| Housing| Insecticides/majr/administration &amp; dosage/therapeutic use| Methoprene/administration &amp; dosage/therapeutic use| Neonicotinoids| Nitro Compounds/administration &amp; dosage/therapeutic use| Permethrin/administration &amp; dosage/therapeutic use| Pets| Pyrazoles/administration &amp; dosage/therapeutic use| Pyridines/administration &amp; dosage/therapeutic use</t>
  </si>
  <si>
    <t>Copper clean-up procedure for ultrasonic extraction and analysis of pyrethroid and phenylpyrazole pesticides in sediments by gas chromatography-electron capture detection.    ABSTRACT:  A rapid ultrasonic extraction method coupled with a heated-copper clean-up procedure for removing interfering constituents was developed for analyzing pyrethroid and phenylpyrazole pesticides in sediments. Incubation of the 60 mL extract with 12 g copper granules at 60 °C for 2h was determined to be the optimal conditions for removing the interfering constituents. Eleven pyrethroid and phenylpyrazole pesticides were spiked into sediment samples to determine the effectiveness of the ultrasonic extraction method. The average recoveries of pyrethroids and phenylpyrazoles in sediment at 4 °C storage on day 0, 1, 7, 14, and 21 ranged from 98.6 to 120.0%, 79.2 to 116.0%, 85.0 to 119.7%, 93.6 to 118.7%, and 92.1 to 118.2%, respectively, with all percent relative standard deviations less than 10% (most &lt;6%). This illustrated the stability of pyrethroids and phenylpyrazoles in sediment during sediment aging at 4 °C. Recoveries of the pesticides ranged from 98.6% to 120.0% for lowest fortification level (2-16 μg kg⁻¹), from 97.8% to 117.9% for middle fortification level (10-80 μg kg⁻¹), and from 94.3% to 118.1% for highest fortification level (20-160 μg kg⁻¹). Relative standard deviations of pesticide recoveries were usually less than 7%. Method detection limits of target pesticides ranged from 0.22 μg kg⁻¹ to 3.72 μg kg⁻¹. Furthermore, field sediment samples collected from four residential lakes during a three-month monitoring period were analyzed to evaluate the effectiveness of this method. Bifenthrin was detected in all of sediment samples (highest concentration 260.33±41.71 μg kg⁻¹, lowest concentration 5.68±0.38 μg kg⁻¹, and fipronil sulfone was detected at least once in sediment samples collected from three sites with concentrations ranging from 1.73±0.53 to 7.53±0.01 μg kg⁻¹.Copyright © 2011 Elsevier B.V. All rights reserved.  KEYWORDS:  MeSH Chemical: Environmental Pollutants| Pesticides| Pyrazoles| Pyrethrins| pyrazole| Copper MeSH: | Chemical Fractionation/majr/methods| Chromatography, Gas| Copper/majr/analysis/chemistry| Environmental Monitoring| Environmental Pollutants/majr/analysis/chemistry| Geologic Sediments/majr/chemistry| High-Energy Shock Waves| Pesticides/analysis/chemistry| Pyrazoles/majr/analysis/chemistry| Pyrethrins/majr/analysis/chemistry</t>
  </si>
  <si>
    <t>Inhibition of protein kinase C decreases sensitivity of GABA receptor subtype to fipronil insecticide in insect neurosecretory cells.    ABSTRACT:  Phosphorylation by serine/threonine kinases has been described as a new mechanism for regulating the effects of insecticides on insect neuronal receptors and channels. Although insect GABA receptors are commercially important targets for insecticides (e.g. fipronil), their modulation by kinases is poorly understood and the influence of phosphorylation on insecticide sensitivity is unknown. Using the whole-cell patch-clamp technique, we investigated the modulatory effect of PKC and CaMKinase II on GABA receptor subtypes (GABAR1 and GABAR2) in DUM neurons isolated from the terminal abdominal ganglion (TAG) of Periplaneta americana. Chloride currents through GABAR2 were selectively abolished by PMA and PDBu (the PKC activators) and potentiated by Gö6983, an inhibitor of PKC. Furthermore, using KN-62, a specific CaMKinase II inhibitor, we demonstrated that CaMKinase II activation was also involved in the regulation of GABAR2 function. In addition, using CdCl(2) (the calcium channel blocker) and LOE-908, a blocker of TRPγ, we revealed that calcium influx through TRPγ played an important role in kinase activations. Comparative studies performed with CACA, a selective agonist of GABAR1 in DUM neurons confirmed the involvement of these kinases in the specific regulation of GABAR2. Furthermore, our study reported that GABAR1 was less sensitive than GABAR2 to fipronil. This was demonstrated by the biphasic concentration-response curve and the current-voltage relationship established with both GABA and CACA. Finally, we demonstrated that GABAR2 was 10-fold less sensitive to fipronil following inhibition of PKC, whereas inhibition of CaMKinase II did not alter the effect of fipronil.Copyright Â© 2011 Elsevier Inc. All rights reserved.  KEYWORDS:  MeSH Chemical: Calcium Channel Blockers| Enzyme Activators| GABA Modulators| Insecticides| Protein Kinase Inhibitors| Pyrazoles| Receptors, GABA| Protein Kinase C| Calcium-Calmodulin-Dependent Protein Kinase Type 2| fipronil MeSH: | Animals| Calcium Channel Blockers/pharmacology| Calcium-Calmodulin-Dependent Protein Kinase Type 2/antagonists &amp; inhibitors/metabolism| Dose-Response Relationship, Drug| Enzyme Activators/pharmacology| GABA Modulators/majr/pharmacology| Insecticides/majr/pharmacology| Male| Membrane Potentials| Neurosecretory Systems/majr/cytology/drug effects/enzymology| Patch-Clamp Techniques| Periplaneta/majr/drug effects/enzymology| Phosphorylation| Protein Kinase C/majr/antagonists &amp; inhibitors/metabolism| Protein Kinase Inhibitors/majr/pharmacology| Pyrazoles/majr/pharmacology| Receptors, GABA/majr/drug effects/metabolism| Time Factors</t>
  </si>
  <si>
    <t>Spinosad resistance in female Musca domestica L. from a field-derived population.    ABSTRACT:  Bait-formulated spinosad is currently being introduced for housefly (Musca domestica L.) control around the world. Spinosad resistance was evaluated in a multiresistant field population and strains derived from this by selection with insecticides. Constitutive and spinosad-induced expression levels of three cytochrome P450 genes, CYP6A1, CYP6D1 and CYP6D3, previously reported to be involved in insecticide resistance, were examined.In 2004 a baseline for spinosad toxicity of Danish houseflies where all field populations were considered to be susceptible was established. In the present study, females of a multiresistant field population 791a were, however, 27-fold spinosad resistant at LC(50), whereas 791a male houseflies were susceptible. Strain 791a was selected with spinosad, thiamethoxam, fipronil and imidacloprid, resulting in four strains with individual characteristics. Selection of 791a with spinosad did not alter spinosad resistance in either males or females, but counterselected against resistance to the insecticides thiamethoxam and imidacloprid targeting nicotinic acetylcholine receptors. A synergist study with piperonyl butoxide, as well as gene expression studies of CYP6A1, CYP6D1 and CYP6D3, indicated a partial involvement of cytochrome P450 genes in spinosad resistance.This study reports female-linked spinosad resistance in Danish houseflies. Negative cross-resistance was observed between spinosad and neonicotinoids in one multiresistant housefly strain. Spinosad resistance involved alterations of cytochrome P450 gene expression.Copyright © 2011 Society of Chemical Industry.  KEYWORDS:  MeSH Chemical: Drug Combinations| Insect Proteins| Insecticides| Macrolides| spinosad MeSH: | Animals| Drug Combinations| Female| Gene Expression/drug effects| Houseflies/majr/drug effects/genetics/metabolism| Insect Proteins/genetics/metabolism| Insecticide Resistance/majr| Insecticides/majr/pharmacology| Macrolides/majr/pharmacology| Male</t>
  </si>
  <si>
    <t>Insecticide detoxification indicator strains as tools for enhancing chemical discovery screens.    ABSTRACT:  Insecticide discovery screens carried out on whole organisms screen for potency resulting from chemical activity at the target site. However, many potentially insecticidal compounds are naturally detoxified in vivo and do not make it to the target site. It is hypothesised that insect strains with their xenobiotic detoxification machinery compromised could be used to identify such compounds that normally fail to show up in screens; these compounds could then be more rationally designed to increase their bioavailability. This strategy was tested with transgenic Drosophila lines with altered expression of Cyp6g1 and Dhr96.It was observed that Cyp6g1 knockdown transgenic lines have increased susceptibility to the test compound imidacloprid, while Dhr96 knockdown transgenic lines are resistant. Evidence was found for a systemic response to xenobiotic exposure, uncovered by piperonyl butoxide treatment and by gene expression profiling. Sex-specific gene expression regulated by DHR96 was also observed.The results confirm that this approach to chemical discovery could identify compounds that escape traditional screens. The complexity of the system means that a panel of single and multiple gene knockdown transgenic lines may be required.Copyright © 2011 Society of Chemical Industry.  KEYWORDS:  MeSH Chemical: Drosophila Proteins| Hr96 protein, Drosophila| Imidazoles| Insecticides| Neonicotinoids| Nitro Compounds| Pyrazoles| Receptors, Cytoplasmic and Nuclear| imidacloprid| Cytochrome P-450 Enzyme System| Cyp6g1 protein, Drosophila| fipronil MeSH: | Animals| Animals, Genetically Modified/genetics/metabolism| Biological Assay| Cytochrome P-450 Enzyme System/genetics/metabolism| Drosophila Proteins/genetics/metabolism| Drosophila melanogaster/majr/drug effects/genetics/metabolism| Drug Evaluation, Preclinical/majr/instrumentation/methods| Imidazoles/metabolism/pharmacology| Insecticides/majr/metabolism/pharmacology| Neonicotinoids| Nitro Compounds/metabolism/pharmacology| Pyrazoles/metabolism/pharmacology| Receptors, Cytoplasmic and Nuclear/genetics/metabolism</t>
  </si>
  <si>
    <t>Susceptibility of adult mosquitoes to insecticides in aqueous sucrose baits.    ABSTRACT:  Mosquitoes characteristically feed on plant-derived carbohydrates and honeydew just after emergence and intermittently during their lives. Development of toxic baits focusing on this carbohydrate-seeking behavior may potentially contribute to localized control. In the present study, ten insecticides were fed to female Culex quinquefasciatus, Anopheles quadrimaculatus, and Aedes taeniorhynchus in a 10% sucrose solution. Active ingredients representative of five classes of insecticides (pyrethroids, phenylpyroles, pyrroles, neonicotinoids, and macrocyclic lactones) were selected for comparison with commercial formulations used to facilitate incorporation of active ingredients into aqueous sucrose solutions. Sucrose as a phagostimulant significantly enhanced mortality to toxicants. In general, the most effective active ingredients were fipronil, deltamethrin and imidacloprid, followed by spinosad, thiamethoxam, bifenthrin, permethrin, and cyfluthrin. The least effective ingredients were chlorfenapyr and ivermectin. For some of the ingredients tested, Cx. quinquefasciatus was the least susceptible species. One-day-old male Cx. quinquefasciatus were more susceptible than females; however, no differences existed between one- and seven-day-old mosquitoes. There were no differences in susceptibility between unfed and gravid ten-day-old female Cx. quinquefasciatus to bifenthrin. In conclusion, several pesticides from different classes of compounds have potential for use in development of toxic baits for mosquitoes.© 2011 The Society for Vector Ecology.  KEYWORDS:  MeSH Chemical: Drug Combinations| Imidazoles| Insecticides| Macrocyclic Compounds| Macrolides| Neonicotinoids| Nitriles| Nitro Compounds| Oxazines| Pyrethrins| Pyrroles| Thiazoles| imidacloprid| Permethrin| Sucrose| bifenthrin| Ivermectin| Thiamethoxam| chlorfenapyr| cyfluthrin| spinosad MeSH: | Aedes/drug effects| Animals| Anopheles/drug effects| Culex/drug effects| Culicidae/majr/drug effects| Drug Combinations| Female| Imidazoles/pharmacology| Insecticides/majr/pharmacology| Ivermectin/pharmacology| Macrocyclic Compounds/pharmacology| Macrolides/pharmacology| Male| Mosquito Control| Neonicotinoids| Nitriles/pharmacology| Nitro Compounds/pharmacology| Oxazines/pharmacology| Permethrin/pharmacology| Pyrethrins/pharmacology| Pyrroles/pharmacology| Sucrose/majr/pharmacology| Thiamethoxam| Thiazoles/pharmacology</t>
  </si>
  <si>
    <t>Fipronil is a powerful uncoupler of oxidative phosphorylation that triggers apoptosis in human neuronal cell line SHSY5Y.    ABSTRACT:  Fipronil is a phenylpyrazole insecticide known to elicit neurotoxicity via an interaction with ionotropic receptors, namely GABA and glutamate receptors. Recently, we showed that fipronil and other phenylpyrazole compounds trigger cell death in Caco-2 cells. In this study, we investigated the mode of action and the type of cell death induced by fipronil in SH-SY5Y human neuroblastoma cells. Flow cytometric and western blot analyses demonstrated that fipronil induces cellular events belonging to the apoptosis process, such as mitochondrial potential collapse, cytochrome c release, caspase-3 activation, nuclear condensation and phosphatidylserine externalization. In addition, fipronil induces a rapid ATP depletion with concomitant activation of anaerobic glycolysis. This cellular response is characteristic of mitochondrial injury associated with a defect of the respiration process. Therefore, we also investigated the effect of fipronil on the oxygen consumption in isolated mitochondria. Interestingly, we show for the first time that fipronil is a strong uncoupler of oxidative phosphorylation at relative low concentrations. Thus in this study, we report a new mode of action by which the insecticide fipronil could triggers apoptosis.Copyright Â© 2011 Elsevier Inc. All rights reserved.  KEYWORDS:  MeSH Chemical: Insecticides| Phosphatidylserines| Pyrazoles| Uncoupling Agents| Adenosine Triphosphate| Cytochromes c| CASP3 protein, human| Caspase 3| fipronil MeSH: | Adenosine Triphosphate/metabolism| Apoptosis/majr/drug effects| Blotting, Western| Caspase 3/metabolism| Cell Line, Tumor| Cell Respiration/drug effects| Cytochromes c/metabolism| Dose-Response Relationship, Drug| Flow Cytometry| Glycolysis/drug effects| Humans| Insecticides/majr/toxicity| Membrane Potential, Mitochondrial/drug effects| Mitochondria/drug effects/metabolism/pathology| Neurons/majr/drug effects/metabolism/pathology| Oxidative Phosphorylation/majr/drug effects| Phosphatidylserines/metabolism| Pyrazoles/majr/toxicity| Time Factors| Uncoupling Agents/majr/toxicity</t>
  </si>
  <si>
    <t>Thyroid function tests in persons with occupational exposure to fipronil.    ABSTRACT:  Fipronil represents a chemical class of insecticides acting at the γ-aminobutyric acid receptor in pests. [corrected] Fipronil has been associated with a significant increase in the incidence of thyroid gland tumors concomitant with prolonged exposure to thyroid-stimulating hormone (TSH) in rats. An association between human TSH concentration and thyroid cancer has been also reported. The primary objective of this study was to test the hypothesis that chronic occupational fipronil exposure may be associated with abnormal thyroid function tests.In 2008, 159 workers of a factory manufacturing fipronil-containing veterinary drugs were assessed. Serum concentrations of TSH, total thyroxine, free thyroxine, fipronil, and fipronil sulfone were measured.A positive and significant correlation was observed between serum fipronil or fipronil sulfone levels and duration of fipronil exposure. Serum fipronil sulfone concentration was negatively correlated with TSH concentration in fipronil-exposed workers, but with no significant increase in thyroid function test abnormalities.This study did not show that chronic fipronil exposure was associated with an increase of thyroid function test abnormalities. But, despite the fact that fipronil exposure in rats has been associated with increased serum TSH, fipronil sulfone concentrations were negatively correlated with serum TSH concentrations in fipronil-exposed workers, raising the possibility that fipronil has a central inhibitory effect on TSH secretion in humans. Close occupational medical surveillance, therefore, appears to be required in factory workers manufacturing fipronil-containing veterinary drugs. Larger epidemiological studies as well as investigations on possible thyroid-disrupting mechanisms of fipronil are also required.  KEYWORDS:  MeSH Chemical: Insecticides| Pyrazoles| Thyrotropin| fipronil sulfone| Thyroxine| fipronil MeSH: | Adult| Female| Humans| Insecticides/adverse effects| Male| Occupational Exposure/majr| Pyrazoles/majr/adverse effects/blood| Thyroid Function Tests| Thyroid Gland/majr/drug effects/physiology| Thyrotropin/blood| Thyroxine/blood</t>
  </si>
  <si>
    <t>Effects of predator cues on pesticide toxicity: toward an understanding of the mechanism of the interaction.    ABSTRACT:  Pesticide toxicity may be modified by a number of co-occurring environmental and ecological stressors. Coexposure to predator cues has been shown to potentiate and/or synergize toxicity of pesticides. However, the mechanisms behind these interactions are not well understood. Here we examine the effects of fish predator (bluegill, Lepomis macrochirus) cues on toxicity of five different pesticides to the freshwater cladoceran, Ceriodaphnia dubia. The purpose for examining patterns among pesticides was to test the idea that the mechanism of the interaction could be explained by a general stress response; that is, the interaction patterns would be similar regardless of the pesticide's mechanism of action [MOA]). Acute 96-h concentration-response experiments were conducted for pesticides with and without fish cues. Predator cues influenced the toxicity of pesticides and the interaction patterns varied among pesticides. Fipronil exhibited a synergistic interaction, while predator cues interacted antagonistically for bifenthrin and thiacloprid. Other compounds previously reported to potentiate toxicity (malathion) were found to act additively. The results demonstrate that factors such as pesticide bioavailability, K(OC) , and exposure concentration may be important for predicting the occurrence of these interactions and that patterns were not consistent among pesticides varying in MOA. Predator stress is an important component for structuring communities and ecosystem processes. Fully understanding how this process may interact with organic contaminants may best be achieved by examination at toxicokinetic and toxicodynamic scales.Copyright © 2011 SETAC.  KEYWORDS:  MeSH Chemical: Neonicotinoids| Pesticides| Pheromones| Pyrazoles| Pyrethrins| Pyridines| Thiazines| Water Pollutants, Chemical| bifenthrin| thiacloprid| fipronil| Malathion MeSH: | Animals| Cues/majr| Daphnia| Drug Interactions| Ecosystem| Fresh Water/chemistry| Malathion/chemistry/toxicity| Neonicotinoids| Perciformes| Pesticides/majr/chemistry/toxicity| Pheromones/majr/chemistry| Predatory Behavior/majr/drug effects| Pyrazoles/chemistry/toxicity| Pyrethrins/chemistry/toxicity| Pyridines/chemistry/toxicity| Stress, Physiological| Thiazines/chemistry/toxicity| Water Pollutants, Chemical/majr/chemistry/toxicity</t>
  </si>
  <si>
    <t>Evaluation of the risk of mixtures of paddy insecticides and their transformation products to aquatic organisms in the Sakura River, Japan.    ABSTRACT:  To assess the risk of mixtures of six paddy insecticides and their transformation products (TPs) to aquatic organisms in the Sakura River, Japan, their concentrations in the river water were monitored during the rice cultivation season in 2008 and 2009, and acute toxicity tests for Cheumatopsyche brevilineata (caddisflies) and Daphnia magna (daphnids), surrogate test species for caddisflies and cladocerans, respectively, were conducted. The mixture of fipronil, applied in the rice nursery box, and its desulfinyl, sulfide, and sulfone TPs were detected in the river for several months after transplanting, and they were more toxic to C. brevilineata than the other tested compounds. The toxicities of the parent compound and its TPs, such as fipronil and its TPs, may be related to their hydrophobicities. Risk quotients for mixtures (RQ(mix)) of only parent compounds did not exceed 1, but, in mid-June 2009, the RQ(mix) of parent compounds and TPs for caddisflies exceeded 1. Diazinon, fenitrothion, and fenthion sprayed on the rice crop and their TPs posed a sporadic risk for cladocerans, depending on the application timing, whereas fipronil TPs contributed to the RQ(mix) for caddisflies for several months after transplanting. The risk of mixtures of insecticides and their TPs differed seasonally between caddisflies and cladocerans, depending on insecticide application timing and the persistence and toxicity of TPs.Copyright © 2011 SETAC.  KEYWORDS:  MeSH Chemical: Insecticides| Pyrazoles| Water Pollutants, Chemical| fipronil| Diazinon MeSH: | Agriculture| Animals| Aquatic Organisms/majr/drug effects| Daphnia/drug effects| Diazinon/chemistry/toxicity| Environmental Monitoring| Insecta/drug effects| Insecticides/majr/analysis/chemistry/toxicity| Japan| Pyrazoles/chemistry/toxicity| Risk Assessment| Rivers/majr/chemistry| Water Pollutants, Chemical/majr/analysis/chemistry/toxicity| Water Pollution, Chemical/statistics &amp; numerical data</t>
  </si>
  <si>
    <t>The A2'N mutation of the RDL gamma-aminobutyric acid receptor conferring fipronil resistance in Laodelphax striatellus (Hemiptera: Delphacidae).    ABSTRACT:  The planthopper Laodelphax striatellus (Fallén) (Hemiptera: Delphacidae) is a serious insect pest of rice, Oryza sativa L., and has developed resistance to fipronil in Japan. Sequence analysis of L. striatellus RDL gamma-aminobutyric acid (GABA) receptor subunit (LS-RDL) genes from a fipronil-resistant population and a fipronil-susceptible strain identified the A2'N mutation (index number for M2 membrane-spanning region), that was previously implicated in fipronil resistance in the planthopper Sogatella furcifera (Horváth) (Hemiptera: Delphacidae). Nineteen of 21 fipronil-resistant L. striatellus individuals were genotyped as heterozygous for the A2'N mutation, suggesting that this mutation is associated with fipronil resistance and that most fipronil-resistant L. striatellus express wild-type and A2'N mutant LS-RDL simultaneously. To confirm the role of the A2'N mutation of LS-RDL, Drosophila Mel-2 cells were transfected with wild-type and A2'N mutant LS-RDL genes, either individually or together. A membrane potential assay showed that fipronil had no inhibitory effect at 10 microM on cells transfected with the A2'N mutant LS-RDL gene with or without the wild-type LS-RDL gene. By contrast, the IC50 value of fipronil for wild-type LS-RDL homomers was 14 nM. These results suggest that the A2'N mutation of the RDL GABA receptor subunit confers fipronil resistance in L. striatellus as well as S. furcifera.  KEYWORDS:  MeSH Chemical: Drosophila Proteins| Insect Proteins| Insecticides| Pyrazoles| Rdl protein, Drosophila| Receptors, GABA| Receptors, GABA-A| fipronil MeSH: | Amino Acid Sequence| Animals| Cell Line| Drosophila| Drosophila Proteins/genetics| Hemiptera/majr/drug effects/genetics| Insect Proteins/majr/genetics| Insecticide Resistance/majr/genetics| Insecticides/majr/pharmacology| Membrane Potentials| Molecular Sequence Data| Mutation| Pyrazoles/majr/pharmacology| Receptors, GABA/majr/genetics| Receptors, GABA-A/genetics| Transfection</t>
  </si>
  <si>
    <t>Rapid analysis of neonicotinoid insecticides in guttation drops of corn seedlings obtained from coated seeds.    ABSTRACT:  Regarding the hypothesis that neonicotinoid insecticides used for seed coating of agricultural crops - mainly corn, sunflower and seed rape - are related to the extensive death of honey bees, the phenomenon of corn seedling guttation has been recently considered as a possible route of exposure of bees to these systemic insecticides. In the present study, guttation drops of corn plants obtained from commercial seeds coated with thiamethoxam, clothianidin, imidacloprid and fipronil have been analyzed by an optimized fast UHPLC-DAD procedure showing excellent detection limits and accuracy, both adequate for the purpose. The young plants grown both in pots - in greenhouse - and in open field from coated seeds, produced guttation solutions containing high levels of the neonicotinoid insecticides (up to 346 mg L(-1) for imidacloprid, 102 mg L(-1) for clothianidin and 146 mg L(-1) for thiamethoxam). These concentration levels may represent lethal doses for bees that use guttation drops as a source of water. The neonicotinoid concentrations in guttation drops progressively decrease during the first 10-15 days after the emergence of the plant from the soil. Otherwise fipronil, which is a non-systemic phenylpyrazole insecticide, was never detected into guttation drops. Current results confirm that the physiological fluids of the corn plant can effectively transfer neonicotinoid insecticides from the seed onto the surface of the leaves, where guttation drops may expose bees and other insects to elevated doses of neurotoxic insecticides.  KEYWORDS:  MeSH Chemical: Guanidines| Imidazoles| Insecticides| Neonicotinoids| Nitro Compounds| Oxazines| Thiazoles| clothianidin| imidacloprid| Thiamethoxam MeSH: | Environmental Monitoring/majr/methods| Guanidines/metabolism| Imidazoles/metabolism| Insecticides/majr/metabolism| Neonicotinoids| Nitro Compounds/metabolism| Oxazines/metabolism| Seedlings/majr/metabolism| Seeds/majr/metabolism| Thiamethoxam| Thiazoles/metabolism| Xylem/metabolism| Zea mays/majr/metabolism</t>
  </si>
  <si>
    <t>Occurrence of emerging organic contaminants in a tropical urban catchment in Singapore.    ABSTRACT:  Emerging organic contaminants (EOCs) occurring in urban runoff can negatively impact sensitive ecosystems and drinking water resources. The occurrence of 13 EOCs was characterized in the Marina Catchment, a large urban catchment approximately one-sixth the area of Singapore. The 13 EOCs included alkylphenol ethoxylate metabolites (APEMs), hormones, pharmaceuticals, bisphenol A, and a pesticide (fipronil). The APEMs were most prevalent with concentrations of nonylphenol ethoxyacetic acid (NP1EC) and nonlyphenol (NP) ranging from several ng L(-1) to 6 μg L(-1) and 4 μg L(-1), respectively, while concentrations of octylphenol ethoxyacetic acid (OP1EC), dicarboxylated alkylphenol ethoxyacetic acid (CA3P1EC, CA4P1EC) were as high as 0.9 μg L(-1). Other EOCs were present in the ng L(-1) range: chloramphenicol 1-15 ng L(-1), ibuprofen 2-76 ng L(-1), naproxen 8-108 ng L(-1), bisphenol A 30-625 ng L(-1), fipronil 1-72 ng L(-1), estrone 1-304 ng L(-1), estriol 3-451 ng L(-1). The APEMs and EOCs detected appear to enter canals and rivers from non-point sources, possibly from runoff and leaking sewer lines. The closure of Marina Bay with a barrage has resulted in significantly higher levels of APEMS compared to when the bay was open to the sea. Depth profiles show that NP1EC and OP1EC were notably lower in deep waters compared to surface waters. NP, estrone and estriol exceeded literature-based Predicted No Effect Concentration (PNEC) values.Copyright © 2011 Elsevier Ltd. All rights reserved.  KEYWORDS:  MeSH Chemical: Endocrine Disruptors| Nonprescription Drugs| Organic Chemicals| Prescription Drugs| Water Pollutants, Chemical MeSH: | Cities| Endocrine Disruptors/analysis| Environmental Monitoring| Nonprescription Drugs/analysis| Organic Chemicals/majr/analysis| Prescription Drugs/analysis| Singapore| Tropical Climate| Water Pollutants, Chemical/majr/analysis| Water Pollution, Chemical/statistics &amp; numerical data| Water Supply</t>
  </si>
  <si>
    <t>Surface contact toxicity and synergism of several insecticides against different stages of the tropical bed bug, Cimex hemipterus (Hemiptera: Cimicidae).    ABSTRACT:  Five formulated insecticides (lambda-cyhalothrin at 10 mg m⁻², bifenthrin at 50 mg m⁻², fipronil at 10 mg m⁻², fenitrothion at 50 mg m⁻², imidacloprid at 5 mg m⁻²) and one active ingredient (DDT at 500 mg m⁻²) were evaluated using a surface contact method against early and late instars and adults of two strains of the tropical bed bug, Cimex hemipterus (F.). Synergism of lambda-cyhalothrin and fipronil using piperonyl butoxide (PBO) was also assessed.The order of susceptibility of different stages of bed bugs was as follows: early stage-lambda-cyhalothrin &gt; bifenthrin = imidacloprid &gt; fipronil &gt; fenitrothion &gt; DDT; late stage-lambda-cyhalothrin &gt; bifenthrin &gt; fenitrothion &gt; imidacloprid &gt; fipronil &gt; DDT; adult-lambda-cyhalothrin &gt; imidacloprid &gt; bifenthrin &gt; fenitrothion &gt; fipronil &gt; DDT. The late instars exhibited significantly higher LT₅₀ among the life stages. The addition of PBO to fipronil increased the susceptibility of the insects.Lambda-cyhalothrin, bifenthrin, fenitrothion and fipronil at the recommended application rates were effective against C. hemipterus. Although imidacloprid demonstrated good initial response against C. hemipterus, the insects showed substantial recovery 72 h post-treatment. The late instars (fourth and fifth instars) should be used as the model for toxicological evaluation.Copyright © 2011 Society of Chemical Industry.  KEYWORDS:  MeSH Chemical: Imidazoles| Insecticides| Neonicotinoids| Nitriles| Nitro Compounds| Pesticide Synergists| Pyrazoles| Pyrethrins| imidacloprid| bifenthrin| DDT| Piperonyl Butoxide| fipronil| cyhalothrin| Fenitrothion MeSH: | Animals| Bedbugs/majr/drug effects/growth &amp; development/physiology| DDT/pharmacology| Drug Synergism| Female| Fenitrothion/pharmacology| Imidazoles/pharmacology| Insecticides/majr/pharmacology| Life Cycle Stages/majr/drug effects| Male| Neonicotinoids| Nitriles/pharmacology| Nitro Compounds/pharmacology| Pesticide Synergists/majr/pharmacology| Piperonyl Butoxide/pharmacology| Pyrazoles/pharmacology| Pyrethrins/pharmacology| Time Factors| Tropical Climate</t>
  </si>
  <si>
    <t>Adverse effects of fipronil on avian reproduction and development: maternal transfer of fipronil to eggs in zebra finch Taeniopygia guttata and in ovo exposure in chickens Gallus domesticus.    ABSTRACT:  Two studies were carried out to examine the impact of maternal fipronil exposure on embryonic and offspring development. In the first study, breeding female zebra finches were orally dosed with single sublethal levels of fipronil (1, 5, and 10 mg/kg body weight) to determine behavioural and developmental consequences on chicks following maternal pesticide exposure. Significant levels of fipronil and fipronil-sulfone residues were detected in eggs laid by females in all dosed groups, however, these were undetectable in eggs laid 13 days after treatment. The level of sulfone detected in eggs was consistently higher than that of the parent fipronil compound. Of the seven eggs laid in the treatment groups, only one (14%) chick hatched and this was from the lowest dose group. This chick was severely underdeveloped at 10 days of age in comparison to control chicks and fiproles were detected in brain, liver, and adipose tissues collected following euthanasia of this individual. In contrast, there was 100% hatchability of control group eggs and all chicks fledged nests on schedule. In the second study, domestic chicken eggs were injected with 5.5, 17.5, and 37.5 mg/kg egg weight of fipronil directly into the yolk sac on day 12 of incubation. Treatment did not affect hatching success, however, behavioural and developmental abnormalities were observed in hatchlings from the highest dose group. These chicks also demonstrated reduced feeding rates, as indicated by reduced body mass at 48 h period post hatch. Both fipronil and fipronil-sulfone residues were detected in brain and liver tissue of hatchlings at all pesticide dose levels tested.  KEYWORDS:  MeSH Chemical: Insecticides| Pesticide Residues| Pyrazoles| Sulfones| fipronil MeSH: | Animals| Chickens/majr/growth &amp; development/metabolism/physiology| Dose-Response Relationship, Drug| Female| Finches/majr/growth &amp; development/metabolism/physiology| Growth and Development/drug effects| Insecticides/majr/metabolism/toxicity| Ovum/majr/drug effects| Pesticide Residues/metabolism/toxicity| Pyrazoles/majr/metabolism/toxicity| Reproduction/majr/drug effects| Sulfones/toxicity</t>
  </si>
  <si>
    <t>Akt/GSK3β signaling is involved in fipronil-induced apoptotic cell death of human neuroblastoma SH-SY5Y cells.    ABSTRACT:  Fipronil (FPN) is a phenylpyrazole insecticide acted on insect gamma-aminobutyric acid (GABA) receptors. Although action of FPN is restricted on insect neuronal or muscular transmitter system, a few studies have assessed the effects of this neurotoxicant on neuronal cell death. To determine the mechanisms underlying FPN-induced neuronal cell death, we investigated whether reactive oxygen species (ROS) plays a role in FPN-induced apoptosis, using an in vitro model of human dopaminergic SH-SY5Y cells. FPN was cytotoxic to these cells and its cytotoxicity showed a concentration-dependent manner. Additionally, FPN treatment significantly decreased the tyrosine hydroxylase (TH) expression without change of glutamic acid decarboxylase 65 (GAD65) expression. FPN-induced dopaminergic cell death involved in increase of ROS generation since pretreatment with N-acetyl cysteine (NAC), an anti-oxidant, reduced cell death. After FPN treatment, dopamine (DA) levels decreased significantly in both cell and culture media, and oxidative effects of DA were blocked by NAC pretreatment. We showed that cell death in response to FPN was due to apoptosis since FPN increased cytochrome c release into the cytosol and activated caspase-3. It also led to nuclear accumulation of p53 and reduced the level of Bcl-2 protein in a concentration-dependent manner. Additionally, FPN altered the level of Akt/glycogen synthase kinase-3 (GSK3β) phosphorylation. FPN reduced the Akt phosphorylation on Ser473, and in parallel with the inactivation of Akt, phosphorylation of GSK3β on Ser9 which inactivates GSK3β, decreased after treatment with FPN. Furthermore, inhibition of the GSK3β signal protected the cell against FPN-induced cell death. These results suggest that regulation of GSK3β activity may control the apoptosis induced by FPN-induced oxidative stress associated with neuronal cell death.Crown Copyright © 2011. Published by Elsevier Ireland Ltd. All rights reserved.  KEYWORDS:  MeSH Chemical: Insecticides| Proto-Oncogene Proteins c-bcl-2| Pyrazoles| Reactive Oxygen Species| Tumor Suppressor Protein p53| Cytochromes c| GSK3B protein, human| Glycogen Synthase Kinase 3 beta| Proto-Oncogene Proteins c-akt| Glycogen Synthase Kinase 3| Caspase 3| fipronil MeSH: | Apoptosis/majr/drug effects| Blotting, Western| Caspase 3/metabolism| Cell Line, Tumor| Cell Survival/drug effects| Cytochromes c/metabolism| Glycogen Synthase Kinase 3/majr/antagonists &amp; inhibitors/metabolism| Glycogen Synthase Kinase 3 beta| Humans| Insecticides/majr/pharmacology| Microscopy, Fluorescence| Neurons/majr/cytology/drug effects/metabolism| Proto-Oncogene Proteins c-akt/majr/metabolism| Proto-Oncogene Proteins c-bcl-2/metabolism| Pyrazoles/majr/pharmacology| Reactive Oxygen Species/metabolism| Signal Transduction| Tumor Suppressor Protein p53/metabolism</t>
  </si>
  <si>
    <t>Determination of the susceptibility of Rhipicephalus (Boophilus) microplus (Acari: Ixodidae) to ivermectin and fipronil by Larval Immersion Test (LIT) in Uruguay.    ABSTRACT:  Rhipicephalus (Boophilus) microplus is an important cattle pest in Uruguay, and the law regulates its control. It is resistant to organophosphates, synthetic pyrethroids and, as recently discovered, to fipronil. Resistance to macrocyclic lactones (MLs) and amitraz have not been documented; however, veterinarians and farmers have reported treatment failures. The objective of the present work was to study the susceptibility of cattle tick strains from different Uruguayan counties to ivermectin (IVM) and fipronil by using the Larval Immersion Test (LIT). The Mozo strain was used as the susceptible reference strain. From 2007 to 2009, twenty-eight tick populations were collected from different cattle farms with and without history of IVM or fipronil use. A probit analysis estimated dose-mortality regressions, lethal concentrations (LC), and confidence intervals. The resistance ratio (RR) was determined at the LC(50) and LC(90) estimates. To classify a tick population in relation to resistance, three categories based on a statistical analysis of LC and RR between field populations and Mozo strains were defined: susceptible (no differences), incipient resistance (differences and RR(50)&lt;2) and resistant (differences and RR(50)≥2). Eighteen field populations were tested with IVM and five of them presented a RR(50) range between 1.35 and 1.98 and the LC(50/90), which is statistically different from the Mozo strain (incipient resistance). However, the RR(90) increases ≥2 in four of the populations, confirming that tick resistance to IVM is emergent. The low RR values obtained could be a result of a low frequency of treatments with IVM. Twenty-seven tick populations were tested with fipronil and six were diagnosed as resistant according to the LIT. Cross-resistance was not observed between fipronil and IVM on these tick populations. The current study presents different R. (B.) microplus populations with an incipient resistance to IVM, and indicates that the fipronil tick resistance is restricted to certain areas in Uruguay.Copyright © 2011 Elsevier B.V. All rights reserved.  KEYWORDS:  MeSH Chemical: Acaricides| Pyrazoles| Ivermectin| fipronil MeSH: | Acaricides/majr/pharmacology| Animals| Cattle| Cattle Diseases/epidemiology/parasitology| Dose-Response Relationship, Drug| Insecticide Resistance/majr| Ivermectin/majr/pharmacology| Lethal Dose 50| Pyrazoles/majr/pharmacology| Rhipicephalus/majr/drug effects| Tick Infestations/drug therapy/epidemiology/parasitology/veterinary| Uruguay</t>
  </si>
  <si>
    <t>Results of a European multicentric field efficacy study of fipronil-(S) methoprene combination on flea infestation of dogs and cats during 2009 summer.    ABSTRACT:  Despite the increasing number of ectoparasiticides for pets and their use, flea infestations of cats and dogs are still widespread in Europe. It is therefore important to assess the maintenance of efficacy of the ectoparasiticides for cats and dogs. The present studies aimed to evaluate the efficacy of monthly treatments using a fipronil/(S)-methoprene combination spot-on (Frontline Combo) on dogs and cats from private veterinary clinics located in seven European countries. The survey was conducted for three months during the flea season 2009. A total of 233 dogs and 180 cats were included. Each animal was treated at Days 0 (Day 0), 30 (D30) and 60 (D60) at the vet clinics. For each animal, at least three flea counts were performed at D0, D30 and/or D60 and/or day 90 (Day 90) in order to evaluate the prevalence of flea infestation and the efficacy of control. At the beginning of the study the prevalence of infested animals was 41.63% (97/233) in dogs and 47.22% (85/180) in cats. At D90, the number of dogs remaining infested fell to 8/211 therefore 91.75% became flea-free. The number of infested cats fell from 85 to 9/173 at D90 therefore 89.41% were cured. All animals still infested at Day 90 were living under epidemiological conditions that favour heavy flea burdens. These results are similar or better to previous studies, indicating the continuous high level of efficacy for fipronil 10 years after launch.  KEYWORDS:  MeSH Chemical: Antiparasitic Agents| Insecticides| Pyrazoles| Methoprene| fipronil MeSH: | Animals| Antiparasitic Agents/majr/therapeutic use| Cat Diseases/majr/drug therapy/parasitology| Cats| Dog Diseases/majr/drug therapy/parasitology| Dogs| Drug Therapy, Combination| Europe| Europe, Eastern| Flea Infestations/majr/drug therapy| Insecticides/therapeutic use| Methoprene/majr/therapeutic use| Pyrazoles/majr/therapeutic use| Seasons| Treatment Outcome</t>
  </si>
  <si>
    <t>Honeybee tracking with microchips: a new methodology to measure the effects of pesticides.    ABSTRACT:  Losses of foraging bees are sometimes attributed to altered flight pattern between a meliferous plant treated with an insecticide and the hive. Only a limited number of studies has investigated the impact of pesticides on homing flight due to the difficulty of measuring the flight time between the food source and the hive. Monitoring the flights of the foraging bees needs their individual identification. The number of bees monitored simultaneously and the time span during which observations can be made limit most of the monitoring techniques. However, techniques of automatic tracking and identification of individuals have the potential to revolutionize the study of the ecotoxicological effects of xenobiotics on the bee behaviors. Radio Frequency Identification (RFID) offer numerous advantages such as an unlimited number of codes, a large number of simultaneous recording, and a quick reading, especially through materials (e.g., wood). The aim of this study was to show how the RFID device can be used to study the effects of pesticides on both the behavioral traits and the lifespan of bees. In this context, we have developed a method under tunnel to automatically record the displacements of foragers individualized with RFID tags and to detect the alteration of the flight pattern between an artificial feeder and the hive. Fipronil was selected as test substance due to the lack of information on the effects of this insecticide on the foraging behavior of free-flying bees. We showed that oral treatment of 0.3 ng of fipronil per bee (LD50/20) reduced the number of foraging trips. The strengths of our approach were briefly discussed.  KEYWORDS:  MeSH Chemical: Insecticides| Pyrazoles| fipronil MeSH: | Animals| Bees/majr/drug effects| Environmental Monitoring/majr/instrumentation/methods| Feeding Behavior| Insecticides/majr/toxicity| Models, Biological| Pyrazoles/majr/toxicity| Radio Frequency Identification Device/majr| Remote Sensing Technology/instrumentation/methods</t>
  </si>
  <si>
    <t>Fipronil toxicity in northern bobwhite quail Colinus virginianus: reduced feeding behaviour and sulfone metabolite formation.    ABSTRACT:  Fipronil is a phenyl pyrazole insecticide registered for agricultural use in many countries. Avian exposure to fipronil occurs mainly by ingesting contaminated insects or seeds. There is little information regarding the toxicological effects of fipronil in avian species and even less research documenting avian behavioural responses to fipronil ingestion. We examined the effects of a single oral dose of fipronil in northern bobwhite quail, the most fipronil-sensitive species tested to date, in respect to signs of intoxication and the metabolic fate of fipronil. Fipronil-treated birds did not eat or drink following pesticide administration, and as a result lost a significant amount of body mass. Treated birds also appeared withdrawn and did not respond to disturbance within the first hour after treatment. Identifiable signs of fipronil toxicity were not observed until at least 2d after treatment. Chemical analyses indicated a difference between fipronil and fipronil-sulfone residue distribution and bioaccumulation, with significantly higher (30- to 1000-fold) tissue concentrations of the sulfone detected at all time points from 8 to 96 h post-dose in brain, liver and adipose tissues. Tissue sulfone concentrations increased significantly in fipronil-treated birds, peaking at 72 h post-dose. Body mass decreased at all time points in dosed birds. The coincidence of the particular intoxication symptoms with the time course of rise in brain sulfone levels after fipronil dosing gives insight into possible mechanisms of toxicity in this highly sensitive species.Copyright © 2010 Elsevier Ltd. All rights reserved.  KEYWORDS:  MeSH Chemical: Insecticides| Pyrazoles| Sulfones| fipronil MeSH: | Adipose Tissue/metabolism| Animals| Brain/metabolism| Colinus/majr/metabolism| Dose-Response Relationship, Drug| Feeding Behavior/majr/drug effects| Insecticides/majr/metabolism/toxicity| Liver/metabolism| Male| Pyrazoles/majr/metabolism/toxicity| Sulfones/majr/metabolism</t>
  </si>
  <si>
    <t>Evaluation of genotoxicity in Rhamdia quelen (Pisces, Siluriformes) after sub-chronic contamination with Fipronil.    ABSTRACT:  Diverse genetic biomarkers have been used to evaluate the effects of pollution by mutagenic agents such as metals and pesticides, as well as a large variety of chemical substances derived from human activities. This work researched the effects that an exposure of 60 days to the insecticide Fipronil (concentrations of 0.05, 0.10 and 0.23 μg/L) can cause in the fish Rhamdia quelen using Comet assay with gills, histopathological analysis of gills and the Piscine Micronucleus test and Nuclear Morphological Alterations. The results for the Comet assay and for gills histopathological injuries showed no difference between the control group and the contaminated groups. In the Piscine Micronucleus test, the smallest concentration of Fipronil (0.05 μg/L) was similar as the control group, while concentrations of 0.10 and 0.23 μg/L caused more damage to the DNA. These results suggested that only the highest concentrations of Fipronil tested cause damage in erythrocytes, but none of these concentrations was sufficient to alter the DNA in the gill cells. R. quelen may be a less sensitive bioindicator than other fish that have been tested. On the other hand, the concentrations used may not have been sufficient to detect alterations in the DNA of R. quelen with the chosen tests. Works like this take on great importance given the enormous quantity of substances that are thrown daily into the environment in an uncontrolled way, without evaluation of the consequences. The application of these tests with other concentrations, tissues and exposure times is suggested for future works.  KEYWORDS:  MeSH Chemical: Biomarkers| Insecticides| Mutagens| Pyrazoles| Water Pollutants, Chemical| fipronil MeSH: | Animals| Biomarkers/metabolism| Catfishes| Dose-Response Relationship, Drug| Gills/drug effects/metabolism| Insecticides/majr/toxicity| Mutagenicity Tests| Mutagens/majr/toxicity| Pyrazoles/majr/toxicity| Water Pollutants, Chemical/majr/toxicity</t>
  </si>
  <si>
    <t>Induction effects of host plants on insecticide susceptibility and detoxification enzymes of Bemisia tabaci (Hemiptera: Aleyrodidae).    ABSTRACT:  The polyphagous B-biotype Bemisia tabaci (Gennadius) has developed a high resistance to commonly used insecticides in China. To illustrate the induced changes by host plant, bioassay and biochemical research on five different host populations were investigated.Except for bifenthrin, all tested insecticides showed lower toxicity to the B. tabaci poinsettia population compared with other host populations. Moreover, four insecticides, the exceptions being abamectin and fipronil, showed highest toxicity towards the tomato population. The LC(50) values of the poinsettia population, particularly towards acetamiprid, were 14.8-, 10.3- and 7.29-fold higher than those of tomato, cucumber and cabbage respectively. The CarE activities of B. tabaci cabbage and cucumber populations were all significantly higher than those of poinsettia, cotton and tomato populations. The ratio of the cabbage population was 1.97-, 1.79- and 1.30-fold higher than that of poinsettia, cotton and tomato respectively. The frequency profiles for this activity also have obvious differences. The GST and P450 activities of the cucumber population were the lowest in the five host populations.Long-term induction of host plants for B-biotype B. tabaci could influence their susceptibilities to several insecticides. Rational selection and usage of insecticides for particular hosts will be helpful for resistance management and control of this species.Copyright © 2010 Society of Chemical Industry.  KEYWORDS:  MeSH Chemical: Insect Proteins| Insecticides| Cytochrome P-450 Enzyme System| Mixed Function Oxygenases| Glutathione Transferase| Carboxylesterase MeSH: | Animals| Carboxylesterase/metabolism| Cytochrome P-450 Enzyme System/metabolism| Glutathione Transferase/metabolism| Hemiptera/majr/enzymology/metabolism| Insect Control| Insect Proteins/metabolism| Insecticide Resistance/majr| Insecticides/majr| Mixed Function Oxygenases/metabolism| Plants/majr</t>
  </si>
  <si>
    <t>The acute toxicity of fipronil to two non-target invertebrates associated with mosquito breeding sites in Australia.    ABSTRACT:  Mosquito-borne arboviruses are a significant health issue in the irrigation areas of south-eastern Australia. Fipronil, a pyrazole insecticide with strong activity against larval Culex species, was tested for its acute effects on Simocephalus elizabethae (Daphniidae) and Polypedilum nubiferum (Chironomidae), two non-target invertebrates associated with Australian rice field mosquito habitats. Technical and formulated fipronil were assessed in the presence or absence of particulate artificial diets in 48 h static bioassays. LC(50) values for neonate S. elizabethae ranged from 11.13 to 19.12 μgl(-1) whilst those for final instar P. nubiferum ranged from 0.89 to 2.18 μgl(-1). Feeding during exposure significantly reduced the susceptibility of P. nubiferum to both technical and formulated fipronil. The effect of feeding was less consistent in Simocephalus bioassays, where much less food was present. We investigated whether adsorption to unconsumed food particles may have limited fipronil bioavailability by using solid-phase microextraction and gas chromatography to measure the available fipronil from fed and unfed systems 24h after establishment. Differences between the systems were not significant (P&gt;0.05). The significantly higher LC(50) values in the fed Polypedilum bioassays do not appear to be a consequence of reduced fipronil bioavailability. Observed differences in toxicity probably reflect increased stresses associated with food deprivation in the unfed bioassays. Our results support published data on the toxicity of fipronil to aquatic invertebrates which suggest that the use of this material as a mosquito larvicide may cause disruption to aquatic ecosystems.2010 Elsevier B.V. All rights reserved.  KEYWORDS:  MeSH Chemical: Insecticides| Pyrazoles| fipronil MeSH: | Animals| Australia| Breeding| Chironomidae/majr/drug effects| Culex| Culicidae| Daphnia/majr/drug effects| Insecticides/majr/toxicity| Lethal Dose 50| Linear Models| Mosquito Control/methods| Pyrazoles/majr/toxicity| Solid Phase Microextraction</t>
  </si>
  <si>
    <t>Development of virtual bait stations to control Argentine ants (Hymenoptera: Formicidae) in environmentally sensitive habitats.    ABSTRACT:  A novel bait station referred to as a virtual bait station was developed and tested against field populations of the invasive Argentine ant, Linepithema humile (Mayr) (Hymenoptera: Formicidae), at White Beach, Camp Pendleton, in Oceanside, CA. White Beach is a nesting habitat for an endangered seabird, the California least tern (Sterna antillarum browni Mearns). The beach is heavily infested with Argentine ants, one of the threats for the California least tern chicks. Conventional pest control strategies are prohibited because of the existence of the protected bird species and the site's proximity to the ocean. The bait station consisted of a polyvinyl chloride pipe that was treated on the inside with fipronil insecticide at low concentrations to obtain delayed toxicity against ants. The pipe was provisioned with an inverted bottle of 25% sucrose solution, then capped, and buried in the sand. Foraging ants crossed the treated surface to consume the sucrose solution. The delayed toxicity of fipronil deposits allowed the ants to continue foraging on the sucrose solution and to interact with their nestmates, killing them within 3-5 d after exposure. Further modification of the bait station design minimized the accumulation of dead ants in the sucrose solution, significantly improving the longevity and efficacy of the bait station. The virtual bait station exploits the foraging behavior of the ants and provides a low impact approach to control ants in environmentally sensitive habitats. It excluded all insects except ants, required only milligram quantities of toxicant, and eliminated the problem of formulating toxicants into aqueous sugar baits.  KEYWORDS:  MeSH Chemical: Insecticides| Pyrazoles| Sucrose| fipronil MeSH: | Animals| Ants/majr/drug effects/physiology| Argentina| Behavior, Animal| Charadriiformes/majr/parasitology/physiology| Ecosystem| Environment| Feeding Behavior/drug effects/physiology| Insect Control/majr/methods| Insecticides/pharmacology| Pest Control/methods| Pyrazoles/pharmacology| Sucrose/pharmacology| User-Computer Interface</t>
  </si>
  <si>
    <t>Wash-off potential of urban use insecticides on concrete surfaces.    ABSTRACT:  Contamination of surface aquatic systems by insecticides is an emerging concern in urban watersheds, but sources of contamination are poorly understood, hindering development of regulatory or mitigation strategies. Hardscapes such as concrete surfaces are considered an important facilitator for pesticide runoff following applications around homes. However, pesticide behavior on concrete has seldom been studied, and standardized evaluation methods are nonexistent. In the present study, a simple batch method for measuring pesticide wash-off potential from concrete surfaces was developed, and the dependence of washable pesticide residues was evaluated on pesticide types, formulations, time exposed to outdoor conditions, and number of washing cycles. After application to concrete, the washable fraction of four pyrethroids (bifenthrin, permethrin, cyfluthrin, and cyhalothrin) and fipronil rapidly decreased, with half-lives &lt; or =3 d, likely due to irreversible retention in micropores below the concrete surface. The initial fast decrease was followed by a much slower declining phase with half-lives ranging from one week to two months, and detectable residues were still found in the wash-off solution for most treatments after 112 d. The slow decrease may be attributed to a fraction of pesticides being isolated from degradation or volatilization after retention below the concrete surface. Wash-off potential was consistently higher for solid formulations than for liquid formulations, implying an increased runoff contamination risk for granular and powder formulations. Trace levels of pyrethroids were detected in the wash-off solution even after 14 washing-drying cycles over 42 d under outdoor conditions. Results from the present study suggest that pesticide residues remain on concrete and are available for contaminating runoff for a prolonged time. Mechanisms for the long persistence were not clearly known from the present study and merit further investigation.Copyright 2010 SETAC.  KEYWORDS:  MeSH Chemical: Insecticides| Pesticide Residues| Water Pollutants, Chemical MeSH: | Biodegradation, Environmental| Construction Materials/majr| Environmental Monitoring/majr| Housing| Humans| Insecticides/majr/analysis| Pesticide Residues/majr/analysis| Surface Properties| Urban Population/majr| Water Pollutants, Chemical/majr/analysis</t>
  </si>
  <si>
    <t>Impact of ant control technologies on insecticide runoff and efficacy.    ABSTRACT:  Insecticides are commonly used for ant control around residential homes, but post-treatment runoff may contribute to contamination of surface water in urban watersheds. This study represents the first instance where runoff of insecticides was directly measured after applications around single family residences. During 2007, houses were treated with bifenthrin or fipronil sprays following standard practices. During 2008, pin stream applicators, spray-free zones and restricting sprays to the house foundation were considered as management options.During 2007, the resulting runoff from the bifenthrin spray in the irrigation water had a mean concentration of 14.9 microg L(-1) at 1 week post-treatment and 2.5 microg L(-1) at 8 weeks, both high enough to be toxic to sensitive aquatic organisms. In comparison, treatments with bifenthrin granules resulted in no detectable concentrations in the runoff water after 8 weeks. The mean concentration for fipronil used as a perimeter spray was 4.2 microg L(-1) at 1 week post-treatment and 0.01 microg L(-1) at 8 weeks, with the first value also suggesting a potential for causing acute aquatic toxicity to sensitive organisms. During 2008, insecticide runoff was reduced by using spray-free zones and pin stream perimeter applications.It is shown that insecticide runoff from individual home treatments for ants can be measured and used to improve techniques that minimize runoff. The pin stream application and applications limited to the house foundation should be further evaluated for their potential to reduce pesticide runoff from residential homes.(c) 2010 Society of Chemical Industry.  KEYWORDS:  MeSH Chemical: Insecticides| Pesticide Residues| Pyrazoles| Pyrethrins| Water Pollutants, Chemical| bifenthrin| fipronil MeSH: | Animals| Ants/majr| Environmental Pollution/statistics &amp; numerical data| Housing| Insect Control/majr/methods| Insecticides/majr| Pesticide Residues/majr/analysis/metabolism| Pyrazoles/analysis/metabolism| Pyrethrins/analysis/metabolism| Water Pollutants, Chemical/majr/analysis/metabolism</t>
  </si>
  <si>
    <t>Diagnoses of fipronil resistance in Brazilian cattle ticks (Rhipicephalus (Boophilus) microplus) using in vitro larval bioassays.    ABSTRACT:  Fipronil is a phenylpyrazolic insecticide that is widely used in agriculture and has been recently used to control the cattle tick, Rhipicephalus (Boophilus) microplus. Because of the serious problems associated with resistance to the available acaricides, this product has been used as an important alternative to control acaricide-resistant ticks. The objective of this work was to analyse the fipronil sensitivity of ticks that were collected from farms with a history of fipronil use by larval bioassays. A total of 11 Brazilian tick populations were studied: one population from Rio Grande do Sul, one population from Mato Grosso do Sul and nine populations from São Paulo. To validate the assays, susceptible reference strains, POA (Porto Alegre, Brazil) and Mozo (Dilave, Uruguay), and ticks from six different farms that never used fipronil were tested. The resistance of various tick populations to technical grade fipronil (95.3%) was primarily evaluated using the larvae immersion test (LIT) and the larval packet test (LPT), when a sufficient number of larvae was collected. Using the LIT, the resistance ratios (RR(50)) of the tick populations from Rio Grande do Sul and Mato Grosso do Sul were 14.9 and 2.6, respectively, and the populations derived from São Paulo had RR(50)s ranging from 2.5 to 6.9. Four populations were evaluated with the LPT, and two populations displayed lower RR(50), while other populations displayed higher RR(50) than those determined by the LIT. This article reports the first cases of fipronil resistance in Brazil and highlights the LIT as a more sensitive technique for the evaluation of fipronil resistance in R. (B) microplus ticks. We suggest the use of the LIT as an evaluation tool for monitoring fipronil resistance in the control programmes of R. (B) microplus.Copyright © 2010 Elsevier B.V. All rights reserved.  KEYWORDS:  MeSH Chemical: Insecticides| Pyrazoles| fipronil MeSH: | Animals| Biological Assay| Cattle| Cattle Diseases/majr/drug therapy/parasitology| Insecticide Resistance| Insecticides/majr/pharmacology| Larva/growth &amp; development| Pyrazoles/majr/pharmacology| Rhipicephalus/majr/growth &amp; development| Tick Infestations/majr/drug therapy/prevention &amp; control/veterinary</t>
  </si>
  <si>
    <t>Validation of an off line solid phase extraction liquid chromatography-tandem mass spectrometry method for the determination of systemic insecticide residues in honey and pollen samples collected in apiaries from NW Spain.    ABSTRACT:  The use of pesticides to protect crops against plagues and insects is one of the most important ways to assure agricultural quality and productivity. However, bad application practices may cause the contamination of different environmental compartments and animal species, as a consequence of migration or accumulation of those compounds. Fipronil, imidacloprid and thiametoxam are systemic or systemic-like insecticides widely used in maize crops. Their heavy action in the nervous system of target insects also means a high toxicity to non-target pollinator insects such as honey bees which can get in touch with them through pollen and nectar during foraging activities. These insecticides have even been suspected to cause a significant decrease of honeybee colonies that has been observed in many countries since the past decade. Since September 1st 2008, the European Commission set new MRLs in food and feed of plant and animal origin. The pesticides included in this study have MRLs in honey and pollen between 10 and 50 ng g(-1). In the present work, an analytical method was developed with the aim of determining residues of fipronil and some of its metabolites (fipronil sulfone, fipronil sulfide, fipronil desulfinyl and fipronil carboxamide), thiamethoxam and imidacloprid in honey and pollen samples. The extraction optimization was performed using a Doehlert experimental design by studying two factors, the mixture and the ratio of solvents used. Prior to the extraction procedure, raw hive samples containing honey, pollen and wax were centrifuged at 4000 rpm. The upper solid material was removed, and 1 g of the lower phase was mixed with 3 mL of the optimized mixture of methanol/water (10/90). The extract was passed through a florisil cartridge and the target compounds were eluted with methanol and analysed by LC-MS/MS in selective reaction monitoring (SRM) mode. The method was validated according to the guidelines included in the SANCO/10684/2009 document and the ISO 11843 standard for the following parameters: decision limit (CCalpha), detection capability (CCbeta), recovery, repeatability and reproducibility at 0.5, 1 and 1.5 folds the MRLs. Ion suppression/enhancement effects into the ion source were also assessed. The CCbeta values were included between 0.83 and 4.83 ng g(-1), well below the current MRLs. The validated method was applied to the determination of the target pesticides in 91 samples collected in colonies from 73 apiaries of NW Spain (two sampling campaigns during 2008). None of the target insecticides were detected among all the collected samples.Copyright  2010 Elsevier B.V. All rights reserved.  KEYWORDS:  MeSH Chemical: Insecticides MeSH: | Animals| Bees| Chromatography, Liquid/majr/methods| Honey/majr/analysis| Insecticides/majr/analysis| Pollen/majr/chemistry| Reproducibility of Results| Solid Phase Extraction/majr/methods| Tandem Mass Spectrometry/majr/methods</t>
  </si>
  <si>
    <t>Comparative efficacy of two fipronil spot-on formulations against experimental tick infestations (Ixodes ricinus) in dogs.    ABSTRACT:  A parallel-group-design, randomized, unicentre and blinded controlled study was undertaken to assess the efficacy of a new fipronil-based spot-on formulation applied once to dogs against experimental Ixodes ricinus infestations. Six dogs served as negative controls (group 1), six dogs served as positive controls (group 2) receiving the original fipronil spot-on (Frontline(R) spot-on Dog, Merial) at a dosage of 0.67 mL for a dog weighing from 2 to 10 kg and 1.34 mL for a dog weighing from 10.1 to 20 kg and six dogs were treated with a 10% w/v fipronil-based spot-on solution (Effipro(R) Spot-on, Virbac SA) at an identical dosage (group 3, 0.67 mL for a dog weighing from 2 to 10 kg and 1.34 mL for a dog weighing from 10.1 to 20 kg). Each dog was sedated and subsequently infested with 50 unfed adult I. ricinus on days -7, -2, 7, 14, 21, 28 and 35. Forty-eight hours after the treatment and 48 h after each challenge (days -5, 2, 9, 16, 23, 30 and 37), the population of the remaining ticks was assessed for each animal. Geometric mean tick counts obtained were reduced by 99% and 94% on day 2 in groups 2 and 3, respectively, compared to the negative control group. Dogs were protected from re-infestations with an efficacy of &gt;90% for 3 weeks in group 2 and for 5 weeks in group 3. Both 10% w/v fipronil-based spot-on solutions, despite different vehicles, were equally able to eradicate tick infestation, to prevent new infestations and were equally well tolerated.  KEYWORDS:  MeSH Chemical: Insecticides| Pyrazoles| fipronil MeSH: | Animals| Chemistry, Pharmaceutical| Dog Diseases/majr/drug therapy/parasitology/prevention &amp; control| Dogs| Female| Insecticides/majr/administration &amp; dosage/therapeutic use| Ixodes/majr/drug effects| Male| Pyrazoles/majr/administration &amp; dosage/therapeutic use| Tick Infestations/majr/drug therapy/parasitology/prevention &amp; control/veterinary| Treatment Outcome</t>
  </si>
  <si>
    <t>Characterization of residential pest control products used in inner city communities in New York City.    ABSTRACT:  The Columbia Center for Children's Environmental Health (CCCEH) previously reported widespread residential insecticide use in urban communities in New York City. Research suggests that pyrethroids are replacing organophosphates (OPs) in response to 2000-2001 US EPA pesticide regulations restricting OP use. A systematic assessment of active ingredients used for residential pest control is lacking. We queried a database of pesticide applications reported by licensed applicators between 1999 and 2005 and surveyed pest control products available in 145 stores within 29 zip codes in the CCCEH catchment area including Northern Manhattan and the South Bronx. Pyrethroids, pyrethrins, piperonyl butoxide, and hydramethylnon were the most common insecticide active ingredients reported as used by licensed pesticide applicators within the 29 zip codes of the CCCEH catchment area between 1999 and 2005. Use of certain pyrethroids and some non-spray insecticides such as fipronil and boric acid increased significantly by year (logistic regression, OR&gt;1.0, P&lt;0.05), whereas use of OPs, including chlorpyrifos and diazinon decreased significantly by year (logistic regression, OR&lt;1.0, P&lt;0.05). Among pesticide applicators, the most commonly applied active ingredients were formulated as spray applications. With 145 stores in the catchment area, 120 (82.5%) carried at least one insecticide. Spray cans were most common (114/120 stores, 95%); gels were least common (31/120 stores, 25.8%). Among spray formulations, pyrethroid insecticides were the most common pesticide class and permethrin, a pyrethroid, was the most common individual active ingredient. In 2007, one store carried a product containing chlorpyrifos and one store carried a product containing diazinon. This survey suggests that certain pyrethroids and non-spray insecticides replaced OPs for pest control in this area. Chlorpyrifos and diazinon have nearly been eliminated from products marketed for residential pest control.  KEYWORDS:  MeSH Chemical: Pesticides MeSH: | Child| Environmental Exposure/majr| Humans| New York City| Pesticides/majr/analysis/supply &amp; distribution| United States| United States Environmental Protection Agency| Urban Population/majr</t>
  </si>
  <si>
    <t>Influence of biochars on plant uptake and dissipation of two pesticides in an agricultural soil.    ABSTRACT:  This study investigated the influence of two types of biochars on the bioavailability of two soil-applied insecticides (chlorpyrifos and fipronil) to Chinese chives ( Allium tuberosum ) and dissipation of the pesticides in the biochar-amended soils. The biochars (BC450 and BC850) prepared from the burning of cotton ( Gossypium spp.) straw chips at two different temperatures (450 and 850 degrees C) were thoroughly mixed into a soil to achieve 0, 0.1, 0.5, and 1% by soil dry weight. Chinese chives were grown for 5 weeks in the biochar-amended soils spiked with 50 mg kg(-1) of each pesticide. The loss of both pesticides in soils decreased significantly with increasing amounts of the biochars in the soil. After 35 days of incubation, 58-68% of the pesticides was lost from the control soil, whereas in the soil amended with 1.0% BC850 only 34% of chlorpyrifos and 32% of fipronil were dissipated. More losses of the pesticides were found in the soils with plants due to plant uptake and enhanced microbial degradation. Despite greater persistence of the two pesticide residues in the biochar-amended soils, plant uptake of the two pesticides from the amended soils decreased markedly with increasing biochar content in the soil. With the amendment of 1% of BC850 in the soil, the total chlorpyrifos and fipronil residues in plant biomass decreased to 19 and 48% of those in the control treatment, respectively. Thus, biochar BC850 was found to be effective in reducing the bioavailability of both pesticides from the soil. Biochar could be applied to sequester pesticide residues in contaminated soils and to reduce plant uptake.  KEYWORDS:  MeSH Chemical: Insecticides| Pyrazoles| Soil| biochar| Charcoal| Chlorpyrifos| fipronil MeSH: | Adsorption| Charcoal/majr/chemistry| Chive/majr/chemistry/metabolism| Chlorpyrifos/majr/chemistry/metabolism| Insecticides/majr/chemistry/metabolism| Pyrazoles/majr/chemistry/metabolism| Soil/majr/analysis</t>
  </si>
  <si>
    <t>Insecticide resistance profiles and synergism in field populations of the German cockroach (Dictyoptera: Blattellidae) from Singapore.    ABSTRACT:  The resistance profiles of 22 field-collected populations of the German cockroach, Blattella germanica (L.) (Dictyoptera: Blattellidae), from various localities in Singapore were determined by topical bioassay against novel and conventional insecticides from six classes: (1) pyrethroid (beta-cyfluthrin, deltamethrin), (2) carbamate (propoxur), (3) organophosphate (chlorpyrifos), (4) phenyl pyrazole (fipronil), (5) neonicotinoid (imidacloprid), and (6) oxadiazine (indoxacarb). Compared with a laboratory susceptible strain, resistance levels ranged from 3.0 to 468.0x for the pyrethroids, from 3.9 to 21.5x for the carbamate, from 1.5 to 22.8X for the organophosphate, from 1.0 to 10.0X for phenyl pyrazole, and were absent or low for the neonicotinoid (0.8-3.8x) and the oxadiazine (1.4-5.3x). One strain demonstrated broad-spectrum resistance to most of the insecticides. Synergism studies using piperonyl butoxide (PBO) and S,S,S-tributylphosphorotrithioate (DEF) in combination with a discriminating dose (LD99) of selected insecticides were conducted to test for possible resistance mechanisms. Resistance to pyrethroid was reduced with PBO and DEF, suggesting the involvement of P450 monooxygenase and esterases in conferring resistance. Propoxur resistance also was suppressed with PBO and DEF, and coadministration of both synergists resulted in complete negation of the resistance, indicating the involvement of both P450 monooxygenase and esterase. In six B. germanica field strains evaluated, esterases were found to play a role in chlorpyrifos resistance, whereas the P450 monoxygenase involvement was registered in three strains. Additional resistance mechanisms such as kdr-type and Rdl mutation contributing toward pyrethroid and fipronil resistance, respectively, also may be involved in some strains in which the resistance levels were not affected by the synergists. We conclude that insecticide resistance is prevalent in field German cockroach populations in Singapore.  KEYWORDS:  MeSH Chemical: Insecticides| Organothiophosphates| Pesticide Synergists| butyl phosphorotrithioate| Piperonyl Butoxide MeSH: | Animals| Blattellidae/majr/drug effects| Drug Synergism| Insecticide Resistance/majr| Insecticides/majr/administration &amp; dosage/pharmacology| Lethal Dose 50| Organothiophosphates/pharmacology| Pesticide Synergists/majr/administration &amp; dosage/pharmacology| Piperonyl Butoxide/pharmacology| Singapore</t>
  </si>
  <si>
    <t>A transcriptomics-based biological framework for studying mechanisms of endocrine disruption in small fish species.    ABSTRACT:  This study sought to construct a transcriptomics-based framework of signal transduction pathways, transcriptional regulatory networks, and the hypothalamic-pituitary gonadal (HPG) axis in zebrafish (Danio rerio) to facilitate formulation of specific, testable hypotheses regarding the mechanisms of endocrine disruption in fish. For the analyses involved, we used data from a total of more than 300 microarrays representing 58 conditions, which encompassed 4 tissue types from zebrafish of both genders exposed for 1 of 3 durations to 10 different test chemicals (17alpha-ethynyl estradiol, fadrozole, 17beta-trenbolone, fipronil, prochloraz, flutamide, muscimol, ketoconazole, trilostane, and vinclozolin). Differentially expressed genes were identified by one class t-tests for each condition, and those with false discovery rates of less than 40% and treatment/control ratios &gt; or =1.3-fold were mapped to orthologous human, mouse, and rat pathways by Ingenuity Pathway Analysis to look for overrepresentation of known biological pathways. To complement the analysis of known biological pathways, the genes regulated by approximately 1800 transcription factors were inferred using the ARACNE mutual information-based algorithm. The resulting gene sets for all transcriptional factors, along with a group of compiled HPG-axis genes and approximately 130 publicly available biological pathways, were analyzed for their responses to the 58 treatment conditions by Gene Set Enrichment Analysis (GSEA) and its variant, Extended-GSEA. The biological pathways and transcription factors associated with multiple distinct treatments showed substantial interactions among the HPG-axis, TGF-beta, p53, and several of their cross-talking partners. These candidate networks/pathways have a variety of profound impacts on such cellular functions as stress response, cell cycle, and apoptosis.Published by Elsevier B.V.  KEYWORDS:  MeSH Chemical: Endocrine Disruptors| Water Pollutants, Chemical MeSH: | Animals| Brain/drug effects/metabolism| Endocrine Disruptors/majr/classification/toxicity| Female| Fishes/majr/classification/genetics/metabolism/physiology| Gene Expression Profiling/majr| Gene Regulatory Networks/drug effects| Humans| Liver/drug effects/metabolism| Male| Mice| Ovary/drug effects/metabolism| Testis/drug effects/metabolism| Water Pollutants, Chemical/majr/toxicity| Zebrafish/genetics/metabolism/physiology</t>
  </si>
  <si>
    <t>High levels of miticides and agrochemicals in North American apiaries: implications for honey bee health.    ABSTRACT:  Recent declines in honey bees for crop pollination threaten fruit, nut, vegetable and seed production in the United States. A broad survey of pesticide residues was conducted on samples from migratory and other beekeepers across 23 states, one Canadian province and several agricultural cropping systems during the 2007-08 growing seasons.We have used LC/MS-MS and GC/MS to analyze bees and hive matrices for pesticide residues utilizing a modified QuEChERS method. We have found 121 different pesticides and metabolites within 887 wax, pollen, bee and associated hive samples. Almost 60% of the 259 wax and 350 pollen samples contained at least one systemic pesticide, and over 47% had both in-hive acaricides fluvalinate and coumaphos, and chlorothalonil, a widely-used fungicide. In bee pollen were found chlorothalonil at levels up to 99 ppm and the insecticides aldicarb, carbaryl, chlorpyrifos and imidacloprid, fungicides boscalid, captan and myclobutanil, and herbicide pendimethalin at 1 ppm levels. Almost all comb and foundation wax samples (98%) were contaminated with up to 204 and 94 ppm, respectively, of fluvalinate and coumaphos, and lower amounts of amitraz degradates and chlorothalonil, with an average of 6 pesticide detections per sample and a high of 39. There were fewer pesticides found in adults and brood except for those linked with bee kills by permethrin (20 ppm) and fipronil (3.1 ppm).The 98 pesticides and metabolites detected in mixtures up to 214 ppm in bee pollen alone represents a remarkably high level for toxicants in the brood and adult food of this primary pollinator. This represents over half of the maximum individual pesticide incidences ever reported for apiaries. While exposure to many of these neurotoxicants elicits acute and sublethal reductions in honey bee fitness, the effects of these materials in combinations and their direct association with CCD or declining bee health remains to be determined.  KEYWORDS:  MeSH Chemical: Acaricides| Agrochemicals| Herbicides| Nitriles| Pesticides| tetrachloroisophthalonitrile MeSH: | Acaricides/pharmacology| Agrochemicals/pharmacology| Animals| Beekeeping/methods| Bees/majr/drug effects| Chromatography, Liquid/methods| Herbicides/pharmacology| Mass Spectrometry/methods| Nitriles/pharmacology| North America| Pesticides/pharmacology| Pollen| Time Factors</t>
  </si>
  <si>
    <t>Efficacy of imidacloprid and fipronil gels over synthetic pyrethroid and propoxur aerosols in control of German cockroaches (Dictyoptera: Blatellidae).    ABSTRACT:  Resistance amongst cockroaches has been reported to most of the spray insecticides apart from the problem of food contamination and inconvenience. Gel baits which can be selectively applied have been found effective in control of cockroaches in laboratory studies but very few field studies are available. This trial was planned to evaluate the efficacy of fipronil (0.01%) and imidacloprid (2.15%) gels over synthetic pyrethroid (0.02% deltamethrin + 0.13% allethrin) and propoxur (2%) aerosols in control of cockroaches in the field.Survey was done to find out pre-treatment density in catering establishments and houses by visual count and sticky trap methods. A total of 10 catering establishments and 10 houses having high cockroach infestation were selected by sampling (two catering establishments and houses for each insecticidal treatment and two for control). Propoxur and synthetic pyrethroid aerosols were used for spraying the infested sites once only. Single application of fipronil and imidacloprid gels was used as crack and crevice treatment. Visual count method gave better indications of cockroach infestation as compared to sticky trap method, hence, the same was followed for post-treatment evaluation every week up to 12 weeks.Synthetic pyrethroid could not bring about the desired reduction in cockroach infestation in the present study. Single application of fipronil gel was able to reduce cockroach infestation up to 96.8% at the end of 12 weeks whereas imidacloprid application resulted in 90.9% reduction and propoxur resulted in 77.5%. However, propoxur was more effective in reducing the cockroach density by first week in comparison to imidacloprid and fipronil gels but its efficacy started declining after 8th week. Difference was found statistically significant by Kruskal-Wallis H-test.The study reports the efficacy of propoxur aerosol, imidacloprid gel and fipronil gel baits for control of cockroaches.  KEYWORDS:  MeSH Chemical: Aerosols| Gels| Insecticides MeSH: | Aerosols/pharmacology| Animals| Cockroaches/majr/drug effects| Gels/pharmacology| Humans| Insect Control/majr/methods| Insecticides/majr/pharmacology| Population Density</t>
  </si>
  <si>
    <t>Insecticidal efficacy of fipronil against four stored-product insect pests: influence of commodity, dose, exposure interval, relative humidity and temperature.    ABSTRACT:  Fipronil is an insecticidal pyrazole that is commonly used as an insecticide in field crops, urban pesticide and veterinary medicine, but there are no reports of its evaluation against stored-product insects. Three series of laboratory bioassays were conducted to assess fipronil as a potential grain protectant against adults of Sitophilus oryzae (L.), Tribolium confusum Jacquelin du Val, Rhyzopertha dominica (F.) and Prostephanus truncatus (Horn). Factors such as dose (0.01, 0.1, 1 and 10 mg fipronil kg(-1) grain), exposure interval (24 h, 48 h, 7 days and 14 days), temperature (20, 25 and 30 degrees C), relative humidity (RH; 55 and 65%) and commodity (wheat, maize, barley and paddy rice) were evaluated with regard to their impact on the insecticidal activity of fipronil. Progeny production was assessed after 64 days of exposure.At doses of &lt; 1 mg fipronil kg(-1) grain, efficacy of fipronil was enhanced by an increase in temperature from 20 to 25 degrees C against S. oryzae or R. dominica for exposures of &gt; 48 h and against T. confusum or P. truncatus for exposures of &gt; 24 h. A further increase in temperature from 25 to 30 degrees C, although it enhanced efficacy at doses of &lt; 1 mg fipronil kg(-1) grain against S. oryzae at all exposure intervals and against T. confusum after 7 days of exposure, it was negatively associated with efficacy against R. dominica or P. truncatus for exposures of &gt; 24 h. By contrast, increase in RH did not have a significant impact on efficacy of fipronil. Although the performance of fipronil among the tested commodities was species dependent, this substance appeared to be less effective in paddy rice than in barley, maize and wheat. Regardless of the treated commodity, progeny production of all the tested species was almost suppressed with doses higher than 0.1 mg fipronil kg(-1) grain.Fipronil appeared to be a very effective alternative to the existing substances in stored-grain protection at doses equal to or higher than 1 mg fipronil kg(-1) grain, and thus these doses require further evaluation in terms of safety for the consumer and residues on stored products.  KEYWORDS:  MeSH Chemical: Insecticides| Pyrazoles| fipronil MeSH: | Animals| Biological Assay| Dose-Response Relationship, Drug| Edible Grain| Food Handling| Humidity/majr| Insect Control/majr/methods| Insecticides/majr| Pyrazoles/majr| Temperature/majr| Time Factors</t>
  </si>
  <si>
    <t>Cys-loop ligand-gated chloride channels in dorsal unpaired median neurons of Locusta migratoria.    ABSTRACT:  In insects, inhibitory neurotransmission is generally associated with members of the cys-loop ligand-gated anion channels, such as the glutamate-gated chloride channel (GluCl), the GABA-gated chloride channels (GABACl), and the histamine-gated chloride channels (HisCl). These ionotropic receptors are considered established target sites for the development of insecticides, and therefore it is necessary to obtain a better insight in their distribution, structure, and functional properties. Here, by combining electrophysiology and molecular biology techniques, we identified and characterized GluCl, GABACl, and HisCl in dorsal unpaired median (DUM) neurons of Locust migratoria. In whole cell patch-clamp recordings, application of glutamate, GABA, or histamine induced rapidly activating ionic currents. GluCls were sensitive to ibotenic acid and blocked by picrotoxin and fipronil. The pharmacological profile of the L. migratoria GABACl fitted neither the vertebrate GABA(A) nor GABA(C) receptor and was similar to the properties of the cloned Drosophila melanogaster GABA receptor subunit (Rdl). The expression of Rdl-like subunit-containing GABA receptors was shown at the molecular level using RT-PCR. Sequencing analysis indicated that the orthologous GABACl of D. melanogaster CG10357-A is expressed in DUM neurons of L. migratoria. Histamine-induced currents exhibited a fast onset and desensitized completely on continuous application of histamine. In conclusion, within the DUM neurons of L. migratoria, we identified three different cys-loop ligand-gated anion channels that use GABA, glutamate, or histamine as their neurotransmitter.  KEYWORDS:  MeSH Chemical: Chloride Channels| Insect Proteins| glutamate-gated chloride channels| Glutamic Acid| gamma-Aminobutyric Acid| Histamine MeSH: | Amino Acid Sequence| Animals| Base Sequence| Chloride Channels/majr/genetics/metabolism| Glutamic Acid/metabolism| Histamine/metabolism| In Vitro Techniques| Insect Proteins/majr/genetics/metabolism| Locusta migratoria| Membrane Potentials/drug effects| Molecular Sequence Data| Neurons/majr/cytology/drug effects/physiology| Patch-Clamp Techniques| Reverse Transcriptase Polymerase Chain Reaction| Sequence Analysis, DNA| Sequence Homology| Time Factors| gamma-Aminobutyric Acid/metabolism</t>
  </si>
  <si>
    <t>Efficacy of the fipronil 10%+(S)-methoprene 9% combination against Rhipicephalus sanguineus in naturally infested dogs: speed of kill, persistent efficacy on immature and adult stages and effect of water.    ABSTRACT:  This field trial was designed to test the efficacy, in terms of treatment and prevention, of the fipronil 10%+(S)-methoprene 9% combination against immature and adult stages of Rhipicephalus sanguineus in naturally infested dogs, and to assess the effect of a single plain water exposure. Twenty-four dogs of various age, sex, weight and coat length were divided into two homogeneous groups, treated (T) and control (C), and housed into twin outdoor kennels. Trial baseline was designed as day 0, when dogs from group T were treated with a commercial spot-on formulation of fipronil 10%+(S)-methoprene 9%, while subjects from group C were left untreated and served as control. After treatment, tick load for each included dog was estimated, for both adult and immature ticks, using the localization and count over the entire body surface at the following time-points: day 2, to evaluate the speed of kill and at days 7, 14, 21 and 28 to assess the persistence of efficacy. The effect of water exposure on the product efficacy was tested at day 14 of the study, when six dogs, homogenously selected from group T, were soaked through with plain water. The overall tick load in dogs from group C was high throughout the entire study period, ranging from 103.2 (day 28) to 161.3 (day 0), and confirmed the high tick pressure. Speed of kill calculated at 48 h post-treatment was slightly higher for adult ticks (96.2%) than for immature stages (91.6%). Compared to the control, dogs treated with the fipronil+(S)-methoprene maintained a significantly lower mean tick load for both adult and immature stages in the four weeks of observation. Persistence of efficacy against immature stages ranged from 97.1% the first week, 99.6% second week, 99.7 third week and 93.1% in the last week. In the same way, efficacy against adult ticks was constantly high, shifting from 94.5% to 92.5%. Overall efficacy (adults+immatures) was the strongest in the first two weeks (i.e., 96.1% and 96.6%) and lowered in the two remaining weeks (i.e., 94.2% and 93.4%). Results showed that water exposure did not affect the activity and persistence of the tested combination. On the basis of this field trial, the fipronil+(S)-methoprene combination represents a highly efficacious product to control all stages of R. sanguineus ticks on dogs.(c) 2010 Elsevier B.V. All rights reserved.  KEYWORDS:  MeSH Chemical: Drug Combinations| Insecticides| Pyrazoles| Methoprene| fipronil MeSH: | Administration, Topical| Animals| Dog Diseases/majr/drug therapy/parasitology/prevention &amp; control| Dogs| Double-Blind Method| Drug Combinations| Female| Insecticides/majr/administration &amp; dosage/therapeutic use| Male| Methoprene/majr/administration &amp; dosage/therapeutic use| Pyrazoles/majr/administration &amp; dosage/therapeutic use| Rhipicephalus sanguineus/majr/growth &amp; development| Tick Infestations/majr/drug therapy/parasitology/prevention &amp; control/veterinary</t>
  </si>
  <si>
    <t>Wireworm management I: stand protection versus wireworm mortality with wheat seed treatments.    ABSTRACT:  The efficacy of various insecticidal seed treatments in protecting wheat, Triticum aestivum L., from wireworm damage as well as reducing wireworm (Coleoptera: Elateridae) populations was studied over 3 yr. Protection from wireworm damage was measured by postplanting stand counts, and effects on wireworm populations were measured by within-row core samples and by bait traps placed in plots the following spring. The effects of treatments on populations of larger wireworms already present at planting were distinguished from their effects on neonate wireworms produced that growing season. Neonicotinoid seed treatments (imidacloprid, clothianidin, and thiamethoxam) provided excellent wheat stand protection, likely through prolonged wireworm intoxication, but populations of larger and neonate wireworms were not significantly reduced in bait traps the following spring. The pyrethroid tefluthrin, applied to seed with and without a neonicotinoid insecticide (thiamethoxam), provided excellent crop protection, but populations of wireworms also were not significantly reduced. This and additional laboratory data suggest that wheat stand establishment provided by tefluthrin is due to a combination of repulsion and short term morbidity events. The phenyl pyrazole fipronil provided excellent crop protection, and populations of both larger and neonate wireworms could not be detected in plots the following spring. The previously registered organochlorine lindane, although reducing wireworm feeding, was phytotoxic in 2 of 3 yr. Next to fipronil, lindane was the most consistent seed treatment in reducing populations of larger and neonate wireworms. These studies indicate that stand and yield protection provided by contemporary wheat seed treatments cannot automatically be equated with wireworm population mortality. This is an important consideration when choosing a suitable seed treatment to replace lindane, which historically provided both stand protection and wireworm reduction, and did not have to be applied every year.  KEYWORDS:  MeSH Chemical: Insecticides MeSH: | Animals| Biomass| Coleoptera/majr| Insecticides/majr/administration &amp; dosage| Larva| Seeds| Triticum/majr/growth &amp; development/parasitology</t>
  </si>
  <si>
    <t>Fate of organohalogens in US wastewater treatment plants and estimated chemical releases to soils nationwide from biosolids recycling.    ABSTRACT:  This study examined the occurrence in wastewater of 11 aromatic biocides, pesticides and degradates, and their fate during passage through US treatment plants, as well as the chemical mass contained in sewage sludge (biosolids) destined for land application. Analyte concentrations in wastewater influent, effluent and sludge from 25 facilities in 18 US states were determined by liquid chromatography electrospray (tandem) mass spectrometry. Dichlorocarbanilide, fipronil, triclocarban, and triclosan were found consistently in all sample types. Dichlorophene, hexachlorophene, and tetrachlorocarbanilide were detected infrequently only, and concentrations of the phenyl urea pesticides diflubenzuron, hexaflumuron, and linuron were below the limit of detection in all matrixes. Median concentrations (+/-95% confidence interval) of quantifiable compounds in influent ranged from 4.2 +/- 0.8 microg L(-1) for triclocarban to 0.03 +/- 0.01 microg L(-1) for fipronil. Median concentrations in effluent were highest for triclocarban and triclosan (0.23 +/- 0.08 and 0.07 +/- 0.04 microg L(-1), respectively). Median aqueous-phase removal efficiencies (+/-95% CI) of activated sludge treatment plants decreased in the order of: triclosan (96 +/- 2%) &gt; triclocarban (87 +/- 7%) &gt; dichlorocarbanilide (55 +/- 20%) &gt; fipronil (18 +/- 22%). Median concentrations of organohalogens were typically higher in anaerobically than in aerobically digested sludges, and peaked at 27 600 +/- 9600 and 15 800 +/- 8200 microg kg(-1) for triclocarban and triclosan, respectively. Mass balances obtained for three primary pesticides in six activated sludge treatment plants employing anaerobic digestion suggested a decreasing overall persistence from fipronil (97 +/- 70%) to triclocarban (87 +/- 29%) to triclosan (28 +/- 30%). Nationwide release of the investigated organohalogens to agricultural land via municipal sludge recycling and into surface waters is estimated to total 258 000 +/- 110 00 kg year(-1) (mean +/- 95% confidence interval), with most of this mass derived from antimicrobial consumer products of daily use. This study addresses some of the data gaps identified by the National Research Council in its 2002 study on standards and practices of biosolids application on land.  KEYWORDS:  MeSH Chemical: Disinfectants| Hydrocarbons, Halogenated| Pesticides| Sewage| Soil Pollutants| Water Pollutants MeSH: | Disinfectants/majr/analysis/chemistry| Environmental Monitoring/majr/methods| Hydrocarbons, Halogenated/analysis| Kinetics| Pesticides/majr/analysis/chemistry| Sewage/majr/chemistry| Soil Pollutants/majr/analysis| United States| Waste Disposal, Fluid| Water Pollutants/majr/analysis</t>
  </si>
  <si>
    <t>Oxidative stress from diverse developmental neurotoxicants: antioxidants protect against lipid peroxidation without preventing cell loss.    ABSTRACT:  Oxidative stress has been hypothesized to provide a mechanism by which apparently unrelated chemicals can nevertheless produce similar developmental neurotoxic outcomes. We used differentiating PC12 cells to compare the effects of agents from four different classes and then to evaluate antioxidant amelioration: fipronil, perfluorooctanesulfonamide (PFOSA), dieldrin and chlorpyrifos. The rank order for lipid peroxidation corresponded to the ability to evoke cell loss: fipronil&gt;PFOSA&gt;dieldrin&gt;chlorpyrifos. The same sequence was found for an index of cell enlargement (protein/DNA ratio) but the effects on neurite outgrowth (membrane/total protein) diverged, with fipronil producing a decrease and PFOSA an increase. Cotreatment with antioxidants reduced (ascorbate) or eliminated (Vitamin E) lipid peroxidation caused by each of the agents but failed to protect against cell loss, with the sole exception of chlorpyrifos, for which we earlier showed partial protection by Vitamin E; addition of higher NGF concentrations protected neither against oxidative stress nor cell loss. Despite the failure to prevent cell loss, ascorbate protected the cells from the effects of PFOSA on neuritic outgrowth; NGF, and to a lesser extent, ascorbate, offset the effects of fipronil on both cell enlargement and neuritogenesis. At the same time, the ameliorant treatments also worsened some of the other toxicant effects. Our results point out the problems in concluding that, just because a neurotoxicant produces oxidative stress, antioxidant therapy will be effective in preventing damage. Instead, additional mechanisms for each agent may provide alternative routes to neurotoxicity, or may be additive or synergistic with oxidative stress.Copyright (c) 2009 Elsevier Inc. All rights reserved.  KEYWORDS:  MeSH Chemical: Alkanesulfonic Acids| Antioxidants| Fluorocarbons| Nerve Growth Factors| Neurotoxins| Pyrazoles| Vitamin E| perfluorooctane sulfonic acid| Dieldrin| Chlorpyrifos| Ascorbic Acid| fipronil MeSH: | Alkanesulfonic Acids/antagonists &amp; inhibitors/toxicity| Animals| Antioxidants/majr/pharmacology/therapeutic use| Ascorbic Acid/pharmacology/therapeutic use| Cell Differentiation/drug effects/physiology| Cell Enlargement/drug effects| Chlorpyrifos/antagonists &amp; inhibitors/toxicity| Dieldrin/antagonists &amp; inhibitors/toxicity| Fluorocarbons/antagonists &amp; inhibitors/toxicity| Lipid Peroxidation/majr/drug effects/physiology| Nerve Growth Factors/pharmacology/therapeutic use| Nervous System/majr/drug effects/growth &amp; development| Neurites/drug effects/ultrastructure| Neurotoxicity Syndromes/majr/drug therapy/metabolism/physiopathology| Neurotoxins/majr/antagonists &amp; inhibitors/toxicity| Oxidative Stress/majr/drug effects/physiology| PC12 Cells| Pyrazoles/antagonists &amp; inhibitors/toxicity| Rats| Vitamin E/pharmacology/therapeutic use</t>
  </si>
  <si>
    <t>The antiparasitic isoxazoline A1443 is a potent blocker of insect ligand-gated chloride channels.    ABSTRACT:  A structurally unique isoxazoline class compound, A1443, exhibits antiparasitic activity against cat fleas and dog ticks comparable to that of the commercial ectoparasiticide fipronil. This isoxazoline compound inhibits specific binding of the gamma-aminobutyric acid (GABA) receptor channel blocker [(3)H]4'-ethynyl-4-n-propylbicycloorthobenzoate (EBOB) to housefly-head membranes, with an IC(50) value of 455pM. In contrast, the IC(50) value in rat-brain membranes is&gt;10muM. To study the mode of action of this isoxazoline, we utilized MdGBCl and MdGluCl cDNAs, which encode the subunits of housefly GABA- and glutamate-gated chloride channels, respectively. Two-electrode voltage clamp electrophysiology was used to confirm that A1443 blocks GABA- and glutamate-induced chloride currents in Xenopus oocytes expressing MdGBCl or MdGluCl channels, with IC(50) values of 5.32 and 79.9 nM, respectively. Blockade by A1443 was observed in A2'S-MdGBCl and S2'A-MdGluCl mutant channels at levels similar to those of the respective wild-types, and houseflies expressing A2'S-MdGBCl channels were as susceptible to A1443 as standard houseflies. These findings indicate that A1443 is a novel and specific blocker of insect ligand-gated chloride channels.Copyright 2009 Elsevier Inc. All rights reserved.  KEYWORDS:  MeSH Chemical: Antiparasitic Agents| Bridged Bicyclo Compounds, Heterocyclic| Chloride Channels| GABA Agonists| GABA Antagonists| Ligands| Receptors, GABA| Receptors, Glutamate| Xanthines| 1-(4-ethynylphenyl)-4-propyl-2,6,7-trioxabicyclo(2.2.2)octane| BW A1433U MeSH: | Animals| Antiparasitic Agents/majr/pharmacology| Brain/metabolism| Bridged Bicyclo Compounds, Heterocyclic/antagonists &amp; inhibitors/metabolism/pharmacology| Cats| Chloride Channels/majr/antagonists &amp; inhibitors| Dogs| GABA Agonists/pharmacology| GABA Antagonists/pharmacology| Houseflies/majr/drug effects| Ion Channel Gating/majr/drug effects| Ligands| Mutation| Rats| Receptors, GABA/drug effects/genetics| Receptors, Glutamate/drug effects/genetics| Siphonaptera/majr/drug effects| Ticks/majr/drug effects| Xanthines/majr/pharmacology| Xenopus</t>
  </si>
  <si>
    <t>Cross-resistance study and biochemical mechanisms of thiamethoxam resistance in B-biotype Bemisia tabaci (Hemiptera: Aleyrodidae).    ABSTRACT:  B-biotype Bemisia tabaci (Gennadius) has invaded China over the past two decades. To understand the risks and to determine possible mechanisms of resistance to thiamethoxam in B. tabaci, a resistant strain was selected in the laboratory. Cross-resistance and the biochemical mechanisms of thiamethoxam resistance were investigated in the present study.A 66.3-fold thiamethoxam-resistant B. tabaci strain (TH-R) was established after selection for 36 generations. Compared with the susceptible strain (TH-S), the selected TH-R strain showed obvious cross-resistance to imidacloprid (47.3-fold), acetamiprid (35.8-fold), nitenpyram (9.99-fold), abamectin (5.33-fold) and carbosulfan (4.43-fold). No cross-resistance to fipronil, chlorpyrifos or deltamethrin was seen. Piperonyl butoxide (PBO) and triphenyl phosphate (TPP) exhibited significant synergism on thiamethoxam effects in the TH-R strain (3.14- and 2.37-fold respectively). However, diethyl maleate (DEM) did not act synergistically with thiamethoxam. Biochemical assays showed that cytochrome P450 monooxygenase activities increased 1.21- and 1.68-fold respectively, and carboxylesterase activity increased 2.96-fold in the TH-R strain. However, no difference was observed for glutathione S-transferase between the two strains.B-biotype B. tabaci develops resistance to thiamethoxam. Cytochrome P450 monooxygenase and carboxylesterase appear to be responsible for the resistance. Reasonable resistance management that avoids the use of cross-resistance insecticides may delay the development of resistance to thiamethoxam in this species.  KEYWORDS:  MeSH Chemical: Insecticides| Neonicotinoids| Nitro Compounds| Oxazines| Thiazoles| Thiamethoxam MeSH: | Animals| Drug Synergism| Female| Hemiptera/majr/classification/drug effects/enzymology/metabolism| Insecticide Resistance| Insecticides/majr/pharmacology| Male| Neonicotinoids| Nitro Compounds/majr/pharmacology| Oxazines/majr/pharmacology| Thiamethoxam| Thiazoles/majr/pharmacology</t>
  </si>
  <si>
    <t>Homomeric RDL and heteromeric RDL/LCCH3 GABA receptors in the honeybee antennal lobes: two candidates for inhibitory transmission in olfactory processing.    ABSTRACT:  gamma-Aminobutyric acid (GABA)-gated chloride channel receptors are abundant in the CNS, where their physiological role is to mediate fast inhibitory neurotransmission. In insects, this inhibitory transmission plays a crucial role in olfactory information processing. In an effort to understand the nature and properties of the ionotropic receptors involved in these processes in the honeybee Apis mellifera, we performed a pharmacological and molecular characterization of GABA-gated channels in the primary olfactory neuropile of the honeybee brain-the antennal lobe (AL)-using whole cell patch-clamp recordings coupled with single-cell RT-PCR. Application of GABA onto AL cells at -110 mV elicited fast inward currents, demonstrating the existence of ionotropic GABA-gated chloride channels. Molecular analysis of the GABA-responding cells revealed that both subunits RDL and LCCH3 were expressed out of the three orthologs of Drosophila melanogaster GABA-receptor subunits encoded within the honeybee genome (RDL, resistant to dieldrin; GRD, GABA/glycine-like receptor of Drosophila; LCCH3, ligand-gated chloride channel homologue 3), opening the door to possible homo- and/or heteromeric associations. The resulting receptors were activated by insect GABA-receptor agonists muscimol and CACA and blocked by antagonists fipronil, dieldrin, and picrotoxin, but not bicuculline, displaying a typical RDL-like pharmacology. Interestingly, increasing the intracellular calcium concentration potentiated GABA-elicited currents, suggesting a modulating effect of calcium on GABA receptors possibly through phosphorylation processes that remain to be determined. These results indicate that adult honeybee AL cells express typical RDL-like GABA receptors whose properties support a major role in synaptic inhibitory transmission during olfactory information processing.  KEYWORDS:  MeSH Chemical: Chloride Channel Agonists| Chloride Channels| GABA Agonists| GABA Antagonists| Insect Proteins| Receptors, GABA| gamma-Aminobutyric Acid| Calcium MeSH: | Animals| Bees| Brain/drug effects/physiology| Calcium/metabolism| Cells, Cultured| Chloride Channel Agonists| Chloride Channels/majr/antagonists &amp; inhibitors/metabolism| Dose-Response Relationship, Drug| GABA Agonists/administration &amp; dosage/pharmacology| GABA Antagonists/administration &amp; dosage/pharmacology| Insect Proteins/majr/agonists/antagonists &amp; inhibitors/metabolism| Membrane Potentials/drug effects| Neural Inhibition/majr/drug effects/physiology| Neurons/majr/drug effects/physiology| Olfactory Perception| Patch-Clamp Techniques| Receptors, GABA/majr/metabolism| Reverse Transcriptase Polymerase Chain Reaction| Synaptic Transmission/majr/drug effects/physiology| gamma-Aminobutyric Acid/metabolism</t>
  </si>
  <si>
    <t>Glutamatergic and GABAergic effects of fipronil on olfactory learning and memory in the honeybee.    ABSTRACT:  We investigated here the role of transmissions mediated by GABA and glutamate-gated chloride channels (GluCls) in olfactory learning and memory in honeybees, both of these channels being a target for fipronil. To do so, we combined olfactory conditioning with injections of either the GABA- and glutamate-interfering fipronil alone, or in combination with the blocker of glutamate transporter L-trans-Pyrrolidine-2,4-Dicarboxylicacid (L-trans-PDC), or the GABA analog Trans-4-Aminocrotonic Acid (TACA). Our results show that a low dose of fipronil (0.1 ng/bee) impaired olfactory memory, while a higher dose (0.5 ng/bee) had no effect. The detrimental effect induced by the low dose of fipronil was rescued by the coinjection of L-trans-PDC but was rather increased by the coinjection of TACA. Moreover, using whole-cell patch-clamp recordings, we observed that L-trans-PDC reduced glutamate-induced chloride currents in antennal lobe cells. We interpret these results as reflecting the involvement of both GluCl and GABA receptors in the impairment of olfactory memory induced by fipronil.  KEYWORDS:  MeSH Chemical: Amino Acid Transport System X-AG| Chloride Channels| Chlorides| Crotonates| Dicarboxylic Acids| Insect Proteins| Insecticides| Neurotransmitter Uptake Inhibitors| Pyrazoles| Pyrrolidines| 4-aminocrotonic acid| Glutamic Acid| gamma-Aminobutyric Acid| pyrrolidine-2,4-dicarboxylic acid| fipronil MeSH: | Amino Acid Transport System X-AG/antagonists &amp; inhibitors/metabolism| Animals| Bees/majr/drug effects/physiology| Chloride Channels/metabolism| Chlorides/metabolism| Crotonates/pharmacology| Dicarboxylic Acids/pharmacology| Dose-Response Relationship, Drug| Glutamic Acid/majr/metabolism| Insect Proteins/metabolism| Insecticides/majr/administration &amp; dosage/pharmacology| Learning/drug effects/physiology| Membrane Potentials/drug effects| Memory/drug effects/physiology| Neurons/drug effects/physiology| Neurotransmitter Uptake Inhibitors/pharmacology| Olfactory Perception/drug effects/physiology| Pyrazoles/majr/administration &amp; dosage/pharmacology| Pyrrolidines/pharmacology| gamma-Aminobutyric Acid/majr/analogs &amp; derivatives/metabolism</t>
  </si>
  <si>
    <t>Does the clock make the poison? Circadian variation in response to pesticides.    ABSTRACT:  Circadian clocks govern daily physiological and molecular rhythms, and putative rhythms in expression of xenobiotic metabolizing (XM) genes have been described in both insects and mammals. Such rhythms could have important consequences for outcomes of chemical exposures at different times of day. To determine whether reported XM gene expression rhythms result in functional rhythms, we examined daily profiles of enzyme activity and dose responses to the pesticides propoxur, deltamethrin, fipronil, and malathion.Published microarray expression data were examined for temporal patterns. Male Drosophila were collected for ethoxycoumarin-O-deethylase (ECOD), esterase, glutathione-S-transferase (GST), and, and uridine 5'-diphosphoglucosyltransferase (UGT) enzyme activity assays, or subjected to dose-response tests at four hour intervals throughout the day in both light/dark and constant light conditions. Peak expression of several XM genes cluster in late afternoon. Significant diurnal variation was observed in ECOD and UGT enzyme activity, however, no significant daily variation was observed in esterase or GST activity. Daily profiles of susceptibility to lethality after acute exposure to propoxur and fipronil showed significantly increased resistance in midday, while susceptibility to deltamethrin and malathion varied little. In constant light, which interferes with clock function, the daily variation in susceptibility to propoxur and in ECOD and UGT enzyme activity was depressed.Expression and activities of specific XM enzymes fluctuate during the day, and for specific insecticides, the concentration resulting in 50% mortality varies significantly during the day. Time of day of chemical exposure should be an important consideration in experimental design, use of pesticides, and human risk assessment.  KEYWORDS:  MeSH Chemical: Pesticides MeSH: | Animals| Circadian Rhythm/majr/drug effects| Drosophila/majr/enzymology/physiology| Light| Male| Pesticides/majr/pharmacology</t>
  </si>
  <si>
    <t>Efficacy of two systemic insecticides injected into loblolly pine for protection against southern pine bark beetles (Coleoptera: Curculionidae).    ABSTRACT:  We evaluated the efficacy of systemic insecticides emamectin benzoate and fipronil for preventing mortality of individual loblolly pines, Pinus taeda L., as a result of attacks by southern pine bark beetles (Coleoptera: Curculionidae, Scolytinae) for two consecutive years in Mississippi (2005-2006) and Alabama (2006-2007). Trees were injected once in the spring of 2005 (Mississippi) or 2006 (Alabama) and then were baited with species-specific bark beetle lures several weeks later. The southern pine beetle, Dendroctonus frontalis Zimmermann, was the target species but was changed to Ips spp. in Mississippi (but not Alabama) the second year because of few southern pine beetle attacks on baited trees. Single injections of emamectin benzoate were effective in reducing tree mortality caused by bark beetles compared with untreated checks. Although less effective overall, fipronil also significantly reduced tree mortality from southern pine beetle compared with the checks during the second year in Alabama. Tree mortality continued well after the lures had been removed. Evaluations of bolts taken from experimental trees killed in 2006 indicated that emamectin benzoate effectively prevented parent bark beetle gallery construction and that fipronil significantly reduced lengths of galleries constructed by adult beetles, brood development, and emergence, compared with checks. In contrast, neither insecticide treatment prevented the bark beetles from inoculating blue stain fungi, Ophiostoma spp., into treated trees.  KEYWORDS:  MeSH Chemical: Insecticides| Pyrazoles| Ivermectin| emamectin benzoate| fipronil MeSH: | Alabama| Animals| Coleoptera/majr/drug effects/physiology| Insect Control/majr/methods| Insecticides/majr/toxicity| Ivermectin/analogs &amp; derivatives/toxicity| Mississippi| Pinus taeda/majr/parasitology| Pyrazoles/toxicity| Statistics, Nonparametric</t>
  </si>
  <si>
    <t>Morphological alterations induced by boric acid and fipronil in the midgut of worker honeybee (Apis mellifera L.) larvae : Morphological alterations in the midgut of A. mellifera.    ABSTRACT:  Morphological alterations, by means of histological and ultrastructural analysis, have been used to determine the effects of boric acid and fipronil on midgut tissues of honeybee worker, Apis mellifera L. larvae. In order to observe possible morphological alterations in the midgut, two groups of bioassays were performed. In the first one, the larvae were chronically treated with different concentrations of boric acid added to the food (1.0, 2.5 and 7.5 mg/g). In the second group, the larvae were fed with diets containing different concentrations of fipronil (0.1 and 1 microg/g) and compared with control groups without these chemical compounds. In the first bioassay, the larvae were collected on day 3 and in the second bioassay on day 4, when the mortality rate obtained in the toxicological bioassay was not very high. The larval midguts were removed and processed for morphological analyses using a light and transmission electron microscopy. We observed cytoplasmic vacuolizations, with the absence of autophagic vacuoles, and chromatinic compacting in most of the cells in the groups treated with pesticides. The morphological alterations were far greater in the larvae treated with boric acid than in the larvae treated with fipronil. Our data suggest that the midgut cell death observed was in response to boric acid and fipronil action. This study significantly improves the understanding of the toxicological effect of these insecticides from the ecotoxicological perspective.  KEYWORDS:  MeSH Chemical: Boric Acids| Insecticides| Pyrazoles| fipronil| boric acid MeSH: | Administration, Oral| Animal Feed| Animals| Bees/majr| Boric Acids/majr/toxicity| Cell Death/drug effects| Drug Therapy, Combination| Enterocytes/drug effects/ultrastructure| Insecticides/majr/toxicity| Larva/drug effects| Longevity/drug effects| Microscopy, Electron, Transmission| Pyrazoles/majr/toxicity| Stomach/majr/drug effects/pathology</t>
  </si>
  <si>
    <t>Enantioselectivity in fipronil aquatic toxicity and degradation.    ABSTRACT:  Fipronil and its transformation products are being increasingly detected in aquatic ecosystems as a result of widespread use. Fipronil is a chiral compound, and enantioselectivity may greatly impact its environmental fate and effects. In the present study, fipronil enantiomers were isolated and used to investigate the possibility of enantioselectivity in their acute toxicity to Japanese medaka (Oryzias latipes) and cytotoxicity to primary hepatocytes from rainbow trout (Oncorhynchus mykiss). Enantioselectivity was further evaluated in terms of fipronil degradation in sediments under aerobic and anaerobic conditions and in field-contaminated runoff water from urban watersheds. The 96-h median lethal concentrations to Japanese medaka were 94.2 (95% confidence interval [CI], 82.9-107.1), 98.3 (95% CI, 85.6-113.0), and 95.4 (95% CI, 74.7-121.9) microg/L for the racemic, R-(-)-, and S-(+)-fipronil, respectively, suggesting absence of enantioselectivity. The 24-h median effect concentration of racemic fipronil to primary rainbow trout hepatocytes was 26.7 (95% CI, 25.6-27.9) microg/ml. In contrast, exposure of the cells to the S-(+)- and R-(-)-enantiomers resulted in a 19.7 and 7.8% reduction in cell viability, respectively, at the highest treatment concentrations (100 microg/ml), potentially indicating a greater-than-additive interaction between enantiomers. Under aerobic or slightly reduced conditions, biodegradation of fipronil in sediments was essentially nonstereoselective, with the enantiomeric fraction (EF) similar to racemic (EF = 0.5) after 168 d of incubation. However, EF decreased to as low as less than 0.1 following short incubations under anaerobic conditions, suggesting preferential degradation of S-(+)-fipronil in strongly reduced sediments. A survey of urban runoff samples consistently showed near-racemic EF, indicating fipronil degradation that was not enantioselective. Results suggest that site-specific characteristics are critical in accurately predicting fipronil fate and toxicity in the environment.  KEYWORDS:  MeSH Chemical: Insecticides| Pyrazoles| Water Pollutants, Chemical| fipronil MeSH: | Animals| Biodegradation, Environmental| Cell Survival/drug effects| Cells, Cultured| Geologic Sediments/chemistry| Hepatocytes/drug effects| Insecticides/majr/toxicity| Oryzias| Pyrazoles/majr/metabolism/toxicity| Stereoisomerism| Water Pollutants, Chemical/majr/toxicity</t>
  </si>
  <si>
    <t>An ivermectin-sensitive glutamate-gated chloride channel from the parasitic nematode Haemonchus contortus.    ABSTRACT:  Nematode glutamate-gated chloride channels are targets of the macrocyclic lactones, the most important group of anthelmintics available. In Xenopus laevis oocytes, channels formed by the GluClalpha3B subunit from the parasite Haemonchus contortus were more sensitive to l-glutamate (EC(50) = 27.6 +/- 2.7 microM) than those formed by the homologous subunit from Caenorhabditis elegans (EC(50) = 2.2 +/- 0.12 mM). Ibotenate was a partial agonist (EC(50) = 87.7 +/- 3.5 microM). The H. contortus channels responded to low concentrations of ivermectin (estimated EC(50) = approximately 0.1 +/- 1.0 nM), opening slowly and irreversibly in a highly cooperative manner: the rate of channel opening was concentration-dependent. Responses to glutamate and ivermectin were inhibited by picrotoxinin and fipronil. Mutating an N-terminal domain amino acid, leucine 256, to phenylalanine increased the EC(50) for l-glutamate to 92.2 +/- 3.5 microM, and reduced the Hill number from 1.89 +/- 0.35 to 1.09 +/- 0.16. It increased the K(d) for radiolabeled ivermectin binding from 0.35 +/- 0.1 to 2.26 +/- 0.78 nM. Two other mutations (E114G and V235A) had no effect on l-glutamate activation or ivermectin binding: one (T300S) produced no detectable channel activity, but ivermectin binding was similar to wild-type. The substitution of any aromatic amino acid for Leu256 had similar effects in the radioligand binding assay. Molecular modeling studies suggested that the GluCl subunits have a fold similar to that of other Cys-loop ligand-gated ion channels and that amino acid 256 was unlikely to play a direct role in ligand binding but may be involved in mediating the allosteric properties of the receptor.  KEYWORDS:  MeSH Chemical: Anthelmintics| Chloride Channel Agonists| Chloride Channels| Protein Subunits| glutamate-gated chloride channels| Glutamic Acid| Ivermectin MeSH: | Animals| Anthelmintics/majr/pharmacology| COS Cells| Chloride Channel Agonists/majr| Chloride Channels/genetics| Chlorocebus aethiops| Drug Resistance| Female| Glutamic Acid/pharmacology| Haemonchus/majr/metabolism| Ion Channel Gating| Ivermectin/majr/pharmacology| Models, Molecular| Mutagenesis, Site-Directed| Mutation| Oocytes/drug effects/physiology| Patch-Clamp Techniques| Protein Conformation| Protein Subunits/physiology| Radioligand Assay| Xenopus laevis</t>
  </si>
  <si>
    <t>Rdl gene polymorphism and sequence analysis and relation to in vivo fipronil susceptibility in strains of the cat flea.    ABSTRACT:  The gamma-amino butyric acid (GABA)-gated chloride ion channel in the insect central nervous system is the target of cyclodiene and phenylpyrazole insecticides. Resistance to dieldrin has been reported in several insect species and was associated with a point mutation (Ala285 to Ser substitution) in the M2 transmembrane domain of the GABA-gated chloride ion channel (the resistant to dieldrin [Rdl] gene). A partial Rdl gene sequence was reported previously in specimens of the cat flea, Ctenocephalides felis (Bouché). Because the presence of the Rdl gene mutation coincided with a reduction in susceptibility to fipronil in some insect species, it has been inferred that a similar association may exist in cat fleas. The Rdl gene sequence was evaluated in 20-50 fleas each from six cat flea strains shown previously to be fully susceptible to fipronil. Total DNA or RNA from fleas was extracted using a commercial kit, and the sequence encompassing the single nucleotide polymorphism (SNP) position Rdl was amplified by polymerase chain reaction (PCR) or reverse transcription-PCR. Amplification products were sequenced on both strands. All tested strains were homozygous for the mutant allele (T nucleotide at SNP position); amino acid sequencing demonstrated the Ala285 to Ser substitution. The results of this study indicated that the Rdl gene mutation was uniformly present as homozygous alleles in strains of fleas that have been shown to be fully susceptible to topically applied fipronil and that the efficacy of fipronil against cat fleas was not impacted by the Rdl gene mutation.  KEYWORDS:  MeSH Chemical: Insecticides| Pyrazoles| fipronil MeSH: | Amino Acid Sequence| Animals| Base Sequence| Cats| Genes, Insect/majr| Insecticide Resistance/genetics| Insecticides/majr| Molecular Sequence Data| Polymorphism, Single Nucleotide| Pyrazoles/majr| Sequence Analysis, DNA| Siphonaptera/majr/genetics</t>
  </si>
  <si>
    <t>Efficacy of insecticide mixtures against pyrethroid- and organophosphate-resistant populations of Spodoptera litura (Lepidoptera: Noctuidae).    ABSTRACT:  Spodoptera litura (F.) is an important pest worldwide, with over 112 host plants, and is exposed to insecticides throughout the year, resulting in the rapid development of resistance. Insecticide mixtures can delay the development of resistance more effectively than sequences or rotations. Cypermethrin, deltamethrin, profenofos, chlorpyrifos and fipronil were assessed separately and in mixtures against laboratory susceptible S. litura and two field-collected populations.The field-collected population from Khanewal (KWL) was significantly more resistant to cypermethrin, deltamethrin, chlorpyrifos and profenofos than one collected from Muzaffar Garh (MGH). Mixtures of cypermethrin + chlorpyrifos or profenofos and of deltamethrin + chlorpyrifos or profenofos at 1:1, 1:10 and 1:20 ratios significantly increased (P &lt; 0.01) toxicity to cypermethrin and deltamethrin in field populations. The combination indices of cypermethrin + chlorpyrifos at 1:1 and 1:10 ratios and cypermethrin + fipronil at 1:1, 1:10 and 1:20 ratios for the KWL strain and of cypermethrin + profenofos or fipronil at 1:1, 1:10 and 1:20 ratios for MGH were significantly below 1, suggesting synergistic interactions. The inhibitors DEF and PBO largely overcame resistance to deltamethrin, cypermethrin and profenofos, suggesting that resistance to the insecticides was associated with esterase and monooxygenase detoxification respectively.Chlorpyrifos, profenofos and fipronil could be used in mixtures to restore cypermethrin and deltamethrin susceptibility. These findings may have considerable practical implications for S. litura resistance management.2008 Society of Chemical Industry  KEYWORDS:  MeSH Chemical: Drug Combinations| Insecticides| Organophosphates| Organothiophosphates| Pyrazoles| Pyrethrins| profenofos| Chlorpyrifos| fipronil MeSH: | Animals| Chlorpyrifos/pharmacology| Drug Combinations| Drug Synergism| Insecticide Resistance/majr| Insecticides/majr/pharmacology| Organophosphates/majr/pharmacology| Organothiophosphates/pharmacology| Pyrazoles/pharmacology| Pyrethrins/majr/pharmacology| Spodoptera/majr/drug effects/physiology</t>
  </si>
  <si>
    <t>Comparative efficacy of imidacloprid, selamectin, fipronil-(S)-methoprene, and metaflumizone against cats experimentally infested with Ctenocephalides felis.    ABSTRACT:  Four active ingredients--imidacloprid selamectin, fipronil-(S)-methoprene, and metaflumizone--were tested to assess the speed of flea kill against existing flea infestations and subsequent reinfestations. Thirty flea-infested cats were allocated to four treatment groups and one untreated control group. Flea counts were performed 6, 18, and 48 hours after treatment (day 0) and 2, 4, and 24 hours after weekly flea reinfestations. Cats were also reinfested with fleas after the 6- and 18-hour counts on day 0 and after the 2- and 4-hour counts on subsequent count days. Imidacloprid provided significantly greater flea kill at diverse time points. At the 24-hour counts, all compounds showed expected and similar high efficacies. On study day 34, imidacloprid showed the highest efficacy at 24 hours after reinfestation, with 90.8% flea reduction compared with 55.7% to 67.4% in the other treatment groups. A single topical application of imidacloprid provided a high efficacy in the early elimination of adult fleas, limiting the risk of pathogen transmission and flea allergy dermatitis.  KEYWORDS:  MeSH Chemical: Imidazoles| Insecticides| Neonicotinoids| Nitro Compounds| Pyrazoles| Semicarbazones| imidacloprid| Ivermectin| metaflumizone| Methoprene| selamectin| fipronil MeSH: | Administration, Topical| Animals| Cat Diseases/majr/drug therapy/parasitology/prevention &amp; control| Cats| Ectoparasitic Infestations/majr/drug therapy/parasitology/prevention &amp; control/veterinary| Female| Imidazoles/therapeutic use| Insecticides/majr/therapeutic use| Ivermectin/analogs &amp; derivatives/therapeutic use| Male| Methoprene/therapeutic use| Neonicotinoids| Nitro Compounds/therapeutic use| Parasite Egg Count/veterinary| Pyrazoles/therapeutic use| Random Allocation| Semicarbazones/therapeutic use| Siphonaptera/majr/drug effects/growth &amp; development| Time Factors| Treatment Outcome</t>
  </si>
  <si>
    <t>Is fipronil safer than chlorpyrifos? Comparative developmental neurotoxicity modeled in PC12 cells.    ABSTRACT:  Fipronil, a GABA(A) receptor antagonist, is replacing many insecticide uses formerly fulfilled by organophosphates like chlorpyrifos. Few studies have addressed the potential for fipronil to produce developmental neurotoxicity. We compared the neurotoxicity of fipronil and chlorpyrifos in undifferentiated and differentiating neuronotypic PC12 cells, evaluating indices of cell replication, cell number, differentiation, and viability for short- and long-term exposures. Fipronil inhibited DNA and protein synthesis in undifferentiated PC12 cells and evoked oxidative stress to a greater extent than did chlorpyrifos, resulting in reduced cell numbers even though cell viability was maintained. In differentiating cells, fipronil displayed an even lower threshold for disruption of development, reducing cell numbers without impairing cell growth, and promoting emergence of neurotransmitter phenotypes; superimposed on this effect, the phenotypic balance was shifted in favor of dopamine as opposed to acetylcholine. Differentiation also enhanced the susceptibility to fipronil-induced oxidative stress, although antioxidant administration failed to provide protection from cell loss. At low concentrations maintained for prolonged periods, fipronil had a biphasic effect on cell numbers, increasing them slightly at low concentrations, implying interference with apoptosis, while nevertheless reducing cell numbers at higher concentrations. Our results suggest that fipronil is inherently a more potent disruptor of neuronal cell development than is chlorpyrifos. The neurodevelopmental effects are not predicated on GABA(A) antagonist properties, since PC12 cells lack the GABA(A) receptor. If fipronil is intended to provide greater safety than chlorpyrifos, then this will have to entail advantages from factors that are yet unexamined: exposure, persistence, pharmacokinetics.  KEYWORDS:  MeSH Chemical: GABA-A Receptor Antagonists| Insecticides| Pyrazoles| DNA| Tyrosine 3-Monooxygenase| Choline O-Acetyltransferase| Chlorpyrifos| fipronil MeSH: | Analysis of Variance| Animals| Cell Division/drug effects| Cell Survival/drug effects| Chlorpyrifos/majr/toxicity| Choline O-Acetyltransferase/metabolism| DNA/biosynthesis| GABA-A Receptor Antagonists| Insecticides/majr/toxicity| Neurogenesis/drug effects| Neurons/majr/cytology/drug effects| Oxidative Stress/drug effects| PC12 Cells| Protein Biosynthesis/drug effects| Pyrazoles/majr/toxicity| Rats| Tyrosine 3-Monooxygenase/metabolism</t>
  </si>
  <si>
    <t>Fipronil-induced disruption of thyroid function in rats is mediated by increased total and free thyroxine clearances concomitantly to increased activity of hepatic enzymes.    ABSTRACT:  Fipronil is a widely used phytosanitary product and insecticide for pets. In the rat, fipronil can disrupt thyroid function by decreasing plasma concentrations of total thyroxine (T4) likely through increased T4 clearance. However, the mechanism of fipronil action on thyroid function remains unclear. The goals of the present study were to evaluate the effects of fipronil on thyroid hormone (TH) concentrations and elimination in the rat under well characterized plasma exposure to fipronil and its main metabolite fipronil sulfone. In thyroid-intact female rats, fipronil treatment (3 mg/(kg day) per os for 14 days) decreased both total and free TH plasma concentrations concomitantly to increased thyroid stimulating hormone plasma concentrations. A T4-free euthyroid-like model consisting of thyroidectomized rats treated with tri-iodothyronine (12 microg/(kg day), sc) was developed to evaluate both total and free T4 clearances. In this model, fipronil treatment induced a twofold increase in total and free T4 clearances. The same fipronil treatment increased antipyrine clearance in thyroid-intact rats suggesting an increase in the activity of cytochrome P450 enzymes. Finally, this treatment was also associated with an increase in hepatic microsomal 4-nitrophenol UDP-glucuronosyltransferase activity involved in T4 glucuronidation. Thus, fipronil-induced thyroid disruption results from an increased rate of T4 elimination likely mediated by increased hepatic enzyme activity. Plasma concentrations of fipronil sulfone were at least 20-fold higher than those of fipronil. This highlights the need to further investigate the contribution of fipronil sulfone to the fipronil-induced thyroid disruption.  KEYWORDS:  MeSH Chemical: Anti-Inflammatory Agents, Non-Steroidal| Endocrine Disruptors| Insecticides| Pyrazoles| Thyroid Hormones| Thyrotropin| Glucuronosyltransferase| Thyroxine| fipronil| Antipyrine MeSH: | Animals| Anti-Inflammatory Agents, Non-Steroidal/metabolism| Antipyrine/metabolism| Endocrine Disruptors/majr| Female| Glucuronosyltransferase/metabolism| Half-Life| Insecticides/majr/toxicity| Liver/majr/drug effects/enzymology| Pyrazoles/majr/toxicity| Rats| Rats, Wistar| Thyroid Function Tests| Thyroid Gland/majr/drug effects/metabolism| Thyroid Hormones/metabolism| Thyrotropin/metabolism| Thyroxine/majr/metabolism</t>
  </si>
  <si>
    <t>Biodegradation and chiral stability of fipronil in aerobic and flooded paddy soils.    ABSTRACT:  Microbiological degradation of the racemic mixture, the enantiopure R- and S-fipronil was examined under both aerobic and flooded conditions in three Chinese paddy soils. The degradation kinectics and enantiomer fraction (EF) were determined by means of high-performance liquid chromatography (HPLC) with chiral Chiralcel OD-H column, while desulfinyl, sulfone and sulfide derivatives were monitored by reversed phase HPLC with diode array detection (DAD). The degradation/transformation of enantiomers of fipronil in the three live soils under aerobic and flooded conditions generally complied with the first-order kinetics (R2 &gt; or = 0.94). The calculated t1/2 values of the enantiomers of fipronil ranged between 21 and 34 days for aerobic incubation experiments and between 8 and 19 days under flooded conditions incubation, respectively. The calculated EF values of fipronil during the incubation time were all close to 0.5, indicating that the degradation/transformation of fipronil was almost nonenantioselective. The main metabolites of fipronil formed in the incubation experiments were sulfone and sulfide derivatives by oxidative and reductive processes, respectively. The oxidative pathway seemed more active. Under flooded conditions, S-fipronil was preferentially degraded in the three soil samples used. The main metabolite was determined as fipronil sulfide. In control experiments, almost no removal of enantiomers of fipronil was observed indicating that the degradation of fipronil in the paddy soil used was attributed to microbial mediated processes under both aerobic and flooded conditions. In addition, no enantiomerization of fipronil was observed in the soil samples examined under both aerobic and flooded conditions. These results for major differences in the degradation of the enantiomers as well as the formation of toxic metabolites may have some implications for better environmental and ecological risks assessment for chiral pesticides.  KEYWORDS:  MeSH Chemical: Insecticides| Pyrazoles| Soil| Soil Pollutants| fipronil MeSH: | Aerobiosis| Agriculture| Biodegradation, Environmental| China| Floods/majr| Insecticides/majr/analysis/chemistry| Kinetics| Pyrazoles/majr/analysis/chemistry| Soil/majr/analysis/standards| Soil Microbiology| Soil Pollutants/majr/analysis/chemistry| Stereoisomerism</t>
  </si>
  <si>
    <t>Subchronic exposure of honeybees to sublethal doses of pesticides: effects on behavior.    ABSTRACT:  Laboratory bioassays were conducted to evaluate the effects on honeybee behavior of sublethal doses of insecticides chronically administered orally or by contact. Emergent honeybees received a daily dose of insecticide ranging from one-fifth to one-five-hundredth of the median lethal dose (LD50) during 11 d. After exposure to fipronil (0.1 and 0.01 ng/bee), acetamiprid (1 and 0.1 microg/bee), or thiamethoxam (1 and 0.1 ng/bee), behavioral functions of honeybees were tested on day 12. Fipronil, used at the dose of 0.1 ng/bee, induced mortality of all honeybees after one week of treatment. As a result of contact treatment at 0.01 ng/bee, honeybees spent significantly more time immobile in an open-field apparatus and ingested significantly more water. In the olfactory conditioning paradigm, fipronil-treated honeybees failed to discriminate between a known and an unknown odorant. Thiamethoxam by contact induced either a significant decrease of olfactory memory 24 h after learning at 0.1 ng/bee or a significant impairment of learning performance with no effect on memory at 1 ng/bee. Responsiveness to antennal sucrose stimulation was significantly decreased for high sucrose concentrations in honeybees treated orally with thiamethoxam (1 ng/bee). The only significant effect of acetamiprid (administered orally, 0.1 microg/bee) was an increase in responsiveness to water. The neonicotinoids acetamiprid and thiamethoxam tested at the highest dose (one-tenth and one-fifth of their oral LD50, respectively) and fipronil at one-five-hundredth of LD50 have limited effects on the motor, sensory, and cognitive functions of the honeybee. Our data on the intrinsic toxicity of the compounds after chronic exposure have to be taken into account for evaluation of risk to honeybees in field conditions.  KEYWORDS:  MeSH Chemical: Pesticides MeSH: | Animals| Bees/majr/drug effects/physiology| Behavior, Animal/majr/drug effects| Lethal Dose 50| Pesticides/majr/toxicity</t>
  </si>
  <si>
    <t>Effect of sediment-associated pyrethroids, fipronil, and metabolites on Chironomus tentans growth rate, body mass, condition index, immobilization, and survival.    ABSTRACT:  Pyrethroids and fipronil insecticides partition to sediment and organic matter in aquatic systems and may pose a risk to organisms that use these matrices. It has been suggested that bioavailability of sediment-sorbed pesticides is reduced, but data on toxicity of sediment-associated pesticides for pyrethroids and fipronil are limited. In the current study, 10-d sediment exposures were conducted with larval Chironomus tentans for bifenthrin, lambda-cyhalothrin, permethrin, fipronil, fipronil-sulfide, and fipronil-sulfone, the last two being common fipronil metabolites. Sublethal endpoints included immobilization, instantaneous growth rate (IGR), body condition index, and growth estimated by ash-free dry mass (AFDM). Pyrethroid lethal concentrations to 50% of the population (LC50s) were 6.2, 2.8, and 24.5 microg/g of organic carbon (OC) for bifenthrin, lambda-cyhalothrin, and permethrin, respectively; with the former two lower than previously published estimates. Fipronil, fipronil-sulfide, and fipronil-sulfone LC50 values were 0.13, 0.16, and 0.12 microg/g of OC, respectively. Ratios of LC50s to sublethal endpoints (immobilization, IGR, and AFDM) ranged from 0.90 to 9.03. The effects on growth observed in the present study are important because of the unique dipteran life cycle involving pupation and emergence events. Growth inhibition would likely lead to ecological impacts similar to mortality (no emergence and thus not reproductively viable) but at concentrations up to 4.3 times lower than the LC50 for some compounds. In addition, C. tentans was highly sensitive to fipronil and metabolites, suggesting that dipterans may be important for estimating risk and understanding effects of phenylpyrazole-class insecticides on benthic macroinvertebrate communities.  KEYWORDS:  MeSH Chemical: Pyrazoles| Pyrethrins| Water Pollutants, Chemical| fipronil MeSH: | Animals| Biological Assay| Body Weight/majr/drug effects| Chironomidae/majr/drug effects/growth &amp; development/physiology| Chromatography, Gel| Geologic Sediments/majr/chemistry| Pyrazoles/majr/metabolism/toxicity| Pyrethrins/majr/metabolism/toxicity| Quality Control| Water Pollutants, Chemical/majr/toxicity</t>
  </si>
  <si>
    <t>The insecticide fipronil and its metabolite fipronil sulphone inhibit the rat alpha1beta2gamma2L GABA(A) receptor.    ABSTRACT:  Fipronil is the active ingredient in a number of widely used insecticides. Human exposure to fipronil leads to symptoms (headache, nausea and seizures) typically associated with the antagonism of GABA(A) receptors in the brain. In this study, we have examined the modulation of the common brain GABA(A) receptor subtype by fipronil and its major metabolite, fipronil sulphone.Whole-cell and single-channel recordings were made from HEK 293 cells transiently expressing rat alpha1beta2gamma2L GABA(A) receptors.The major effect of fipronil was to increase the rate of current decay in macroscopic recordings. In single-channel recordings, the presence of fipronil resulted in shorter cluster durations without affecting the intracluster open and closed time distributions or the single-channel conductance. The alpha1V256S mutation, previously shown alleviate channel inhibition by inhibitory steroids and several insecticides, had a relatively small effect on channel block by fipronil. The mode of action of fipronil sulphone was similar to that of its parent compound but the metabolite was less potent at inhibiting the alpha1beta2gamma2L receptor.We conclude that exposure to fipronil induces accumulation of receptors in a novel, long-lived blocked state. This process proceeds in parallel with and independently of, channel desensitization. The lower potency of fipronil sulphone indicates that the conversion serves as a detoxifying process in mammalian brain.  KEYWORDS:  MeSH Chemical: GABA-A Receptor Antagonists| GABRA1 protein, human| GABRG2 protein, human| Gabra1 protein, rat| Gabrb2 protein, rat| Gabrg2 protein, rat| Insecticides| Pyrazoles| Receptors, GABA-A| Recombinant Proteins| fipronil sulfone| fipronil MeSH: | Animals| Cell Line| Cloning, Molecular| Electrophysiology| GABA-A Receptor Antagonists/majr| Humans| Insecticides/majr/chemistry/metabolism/pharmacology| Ion Channel Gating/drug effects| Molecular Structure| Patch-Clamp Techniques| Pyrazoles/majr/chemistry/metabolism/pharmacology| Rats| Receptors, GABA-A/biosynthesis| Recombinant Proteins/antagonists &amp; inhibitors</t>
  </si>
  <si>
    <t>Flea blood feeding patterns in cats treated with oral nitenpyram and the topical insecticides imidacloprid, fipronil and selamectin.    ABSTRACT:  A series of studies was conducted to determine the effect of systemically and topically active insecticides on blood consumption by fleas (Ctenocephalides felis). Infestations were conducted by placing fleas into plexi-glass chambers attached to the lateral rib cage of domestic short-hair cats. After pre-defined periods, fleas and flea feces were extracted using vacuum aspiration and spectrophotometrically analyzed for hemoglobin using Drabkin's reagent. To determine how rapidly nitenpyram kills actively feeding fleas, a single oral treatment was administered 24h after infestation. To determine the effect of nitenpyram on blood consumption of newly acquired fleas, cats were infested with fleas 1h post-treatment and fleas and flea feces from both studies were extracted at 15, 30, 60, 120, 240 and 480min post-treatment or post-infestation. To compare the effects of topically versus systemically active insecticides, 20 cats each with 2 chambers attached, were randomly allocated among groups and were infested with fleas 1h after each of 4 nitenpyram treatments, or at 7, 14, 21 and 28 days after a single application of commercial spot-on formulations of fipronil, imidacloprid or selamectin. Infestations were also completed for untreated (control) cats. Twenty-four hours after infestation, fleas and flea feces were removed for host blood quantification. If at any time, flea blood consumption in a treated group did not significantly differ from that of fleas infesting controls, that treatment group was withdrawn from the study. Nitenpyram effects on actively feeding fleas were first observed at 60min post-dosing when 38% of fleas were dead or moribund, and at 240min 100% were dead or moribund. Nitenpyram produced a significant reduction in flea blood consumption (p&lt;0.05), which appeared to cease 15min after infestation. For the treatment comparisons, significantly more (p&lt;0.05) blood was consumed by fleas taken from imidacloprid and fipronil-treated cats than from the nitenpyram or selamectin groups. Only on nitenpyram- or selamectin-treated cats were there significant reductions (p&lt;0.05) in flea blood consumption on days 21 and 28, with significant difference (p&gt;0.05) between these two groups on day 28. In this study systemically acting insecticides such as nitenpyram, and the topically applied but systemically active insecticide selamectin, were more effective in interfering with flea blood feeding than were imidacloprid and fipronil.  KEYWORDS:  MeSH Chemical: Imidazoles| Insecticides| Neonicotinoids| Nitro Compounds| Pyrazoles| Pyridines| nitenpyram| imidacloprid| Ivermectin| selamectin| fipronil MeSH: | Animals| Cats| Drug Therapy, Combination| Ectoparasitic Infestations/majr/drug therapy/veterinary| Feeding Behavior/majr/drug effects| Female| Imidazoles/administration &amp; dosage/pharmacology| Insecticides/majr/administration &amp; dosage/pharmacology| Ivermectin/administration &amp; dosage/analogs &amp; derivatives/pharmacology| Male| Neonicotinoids| Nitro Compounds/administration &amp; dosage/pharmacology| Pyrazoles/administration &amp; dosage/pharmacology| Pyridines/administration &amp; dosage/pharmacology| Siphonaptera/majr/drug effects</t>
  </si>
  <si>
    <t>Mortality of a wireworm, Agriotes obscurus (Coleoptera: Elateridae), after topical application of various insecticides.    ABSTRACT:  Ten insecticides representing seven chemical groups were applied at various concentrations topically by using a Potter Spray Tower to evaluate their relative toxicities on the European wireworm Agriotes obscurus L. (Coleoptera: Elateridae). Wireworms were stored at 15 degrees C after exposure to organophosphate (OP) (chlorpyrifos, diazinon), pyrethroid (tefluthrin), thianicotinoid (thiamethoxam, clothianidin), chloronicotinoid (imidacloprid, acetamiprid), phenyl pyrazole (fipronil), organochlorine (lindane), and spinosyn (spinosad) insecticides, and their postapplication health was evaluated weekly for up to 301 d. LC50, LC90, LT50, and LT90 values were calculated for each chemical except acetamiprid, and compared with those of lindane, clothianidin, and chlorpyrifos. Wireworms exposed to OPs died or recovered more quickly (LT50 &lt; 20 d, LT90 &lt; 50 d), than those exposed to all other insecticides tested except tefluthrin (LT50 = 25.5 d, LT90 = 66.5 d). Wireworms exposed to sublethal concentrations of all neonicotinoids quickly became moribund after application but made a full recovery. Wireworms exposed to fipronil at concentrations near the LC90 value showed no intoxication symptoms for up to 35 d, and they did not recover after symptoms developed. For each chemical, increasing the concentration increased the time required for wireworms to recover but decreased the time required to kill wireworms. Fipronil was highly toxic to wireworms (LC50 = 0.0001%), but acetamiprid (LC50 = 1.82%), imidacloprid (LC50 = 0.83%), tefluthrin (LC50 = 0.23%), diazinon (LC50 = 0.54%), and spinosad (LC50 = 0.51%) were not. The toxicity of both clothianidin (LC50 = 0.07%) and thiamethoxam (LC50 = 0.17%) were similar to those oflindane (LC50 = 0.06%) and chlorpyrifos (LC50 = 0.10%).  KEYWORDS:  MeSH Chemical: Insecticides MeSH: | Animals| Coleoptera/majr/drug effects| Dose-Response Relationship, Drug| Insecticides/majr/pharmacology| Larva/drug effects| Lethal Dose 50| Time Factors</t>
  </si>
  <si>
    <t>Efficacy of fipronil (9.8% w/w) + (S)-methoprene (8.8% w/w) and imidacloprid (8.8% w/w) + permethrin (44% w/w) against Dermacentor variabilis (American dog tick) on dogs.    ABSTRACT:  This study evaluated overall efficacy, percentage of dogs free of live ticks, retention of ticks, and efficacy against retained ticks of fipronil (9.8% w/w) + (S)-methoprene (8.8% w/w) and imidacloprid (8.8% w/w) + permethrin (44% w/w) spot-on topical solutions against Dermacentor variabilis-infested dogs. Tick control was significantly greater (P &lt; .05) on dogs treated with fipronil + (S)-methoprene than on control dogs for the entire 30-day study period. Conversely, the combination product of imidacloprid + permethrin demonstrated activity significantly (P &lt; .05) different from that seen on control dogs only up to day 23. Significantly (P &lt; .05) more dogs treated with fipronil + (S)-methoprene were free of live ticks compared with controls on days 3, 9, and 16. There was never a significant difference (P &gt; .05) between control and imidacloprid + permethrin-treated dogs in numbers of dogs free of live ticks. After the initial 10-minute tick exposure, lower numbers of ticks were retained on the imidacloprid + permethrin-treated dogs than on the fipronil + (S)-methoprene-treated dogs. However, when evaluating the effectiveness of the acaricides on "retained ticks," it appears that while some of the ticks were rapidly knocked down on the imidacloprid + permethrin-treated dogs, efficacy against ticks still retained at 10 minutes was never greater than 50%.  KEYWORDS:  MeSH Chemical: Drug Combinations| Imidazoles| Insecticides| Neonicotinoids| Nitro Compounds| Pyrazoles| imidacloprid| Permethrin| Methoprene| fipronil MeSH: | Animals| Dermacentor/majr/drug effects| Dog Diseases/majr/drug therapy/parasitology| Dogs| Drug Combinations| Female| Imidazoles/administration &amp; dosage/therapeutic use| Insecticides/majr/administration &amp; dosage/therapeutic use| Male| Methoprene/administration &amp; dosage/therapeutic use| Neonicotinoids| Nitro Compounds/administration &amp; dosage/therapeutic use| Permethrin/administration &amp; dosage/therapeutic use| Pyrazoles/administration &amp; dosage/therapeutic use| Tick Infestations/majr/drug therapy/veterinary</t>
  </si>
  <si>
    <t>Relative contribution of monooxygenase and esterase to pyrethroid resistance in Triatoma infestans (Hemiptera: Reduviidae) from Argentina and Bolivia.    ABSTRACT:  Recently, high resistance to pyrethroid insecticides has been associated with ineffective field treatments against Triatoma infestans (Klug) (Hemiptera: Reduviidae) in northern Argentina. Samples were collected from two areas in Argentina (Salta and La Rioja) and one are in Bolivia (Yacuiba), and they were subjected to toxicological and biochemical assays. All populations were resistant to deltamethrin, but they showed different profiles to nonpyrethroid insecticides. The Salta population showed high resistance ratios (RRs) to deltamethrin and only slight differences in the susceptibility to fenitrothion and fipronil compared with the reference strain. Otherwise, the La Rioja population showed a lower RR to deltamethrin and no resistance to fenitrothion or fipronil. Finally, the Yacuiba population had high a RR to deltamethrin, but it was susceptibility to fenitrothion and fipronil. In several cases, deltamethrin-resistant populations had higher susceptibility to bendiocarb than the reference strain. Measured activity of P450 monooxygenase in individual insects (based on ethoxycoumarine-O-deethylase), tended to be higher in the deltamethrin-resistant populations, but the differences were not statistically significant. Activity of specific esterases determined by the hydrolysis of 7-coumaryl permethrate demonstrated an increase in the percentage of insects with higher esterase activity in the Salta and La Rioja populations. Unexpectedly, the Yacuiba population showed lower pyrethroid esterase activity than the reference strain. The different pyrethroid resistance patterns found in T. infestans from three geographical regions within Argentina and in Bolivia suggests that enzyme-based pyrethroid resistance in this species has multiple origins. Nevertheless, because nerve insensitivity (related to the presence of the kdr gene) is also an important mechanism related to pyrethroid resistance, further studies on the kdr gene should be carried to clarify the relative contribution of each pyrethroid-associated mechanism in deltamethrin-resistant populations of T.  KEYWORDS:  MeSH Chemical: Insecticides| Pyrethrins| Cytochrome P-450 Enzyme System| Esterases MeSH: | Animals| Argentina| Bolivia| Cytochrome P-450 Enzyme System/majr/metabolism| Esterases/majr/metabolism| Insecticide Resistance| Insecticides/majr| Pyrethrins/majr| Triatoma/majr/enzymology</t>
  </si>
  <si>
    <t>Comparison of pesticide concentrations in streams at low flow in six metropolitan areas of the United States.    ABSTRACT:  To examine the effect of urban development on pesticide concentrations in streams under low-flow conditions, water samples were collected at stream sites along an urban land use gradient in six environmentally heterogeneous metropolitan areas of the United States. In all six metropolitan areas, total insecticide concentrations generally increased significantly as urban land cover in the basin increased, regardless of whether the background land cover in the basins was agricultural, forested, or shrub land. In contrast, the response of total herbicide concentrations to urbanization varied with the environmental setting. In the three metropolitan areas with predominantly forested background land cover (Raleigh-Durham, NC, USA; Atlanta, GA, USA; Portland, OR, USA), total herbicide concentrations increased significantly with increasing urban land cover. In contrast, total herbicide concentrations were not significantly related to urban land cover in the three remaining metropolitan areas, where total herbicide concentrations appeared to be strongly influenced by agricultural as well as urban sources (Milwaukee-Green Bay, WI, USA; Dallas-Fort Worth, TX, USA), or by factors not measured in the present study, such as water management (Denver, CO, USA). Pesticide concentrations rarely exceeded benchmarks for protection of aquatic life, although these low-flow concentrations are likely to be lower than at other times, such as during peak pesticide-use periods, storm events, or irrigation discharge. Normalization of pesticide concentrations by the pesticide toxicity index -- an index of relative potential toxicity -- for fish and cladocerans indicated that the pesticides detected at the highest concentrations (herbicides in five of the six metropolitan areas) were not necessarily the pesticides with the greatest potential to adversely affect aquatic life (typically insecticides such as carbaryl, chlorpyrifos, diazinon, and fipronil).  KEYWORDS:  MeSH Chemical: Herbicides| Insecticides| Water Pollutants, Chemical MeSH: | Cities| Ecosystem| Environmental Monitoring/majr/methods| Herbicides/majr/chemistry| Insecticides/majr/chemistry| Rivers/majr/chemistry| United States| Water Pollutants, Chemical/analysis| Water Supply</t>
  </si>
  <si>
    <t>Metabolic interactions of agrochemicals in humans.    ABSTRACT:  Agrochemicals and other xenobiotics are metabolized by xenobiotic-metabolizing enzymes (XMEs) to products that may be more or less toxic than the parent chemical. In this regard, phase-I XMEs such as cytochrome P450s (CYPs) are of primary importance. Interactions at the level of metabolism may take place via either inhibition or induction of XMEs. Such interactions have often been investigated, in vitro, in experimental animals, using subcellular fractions such as liver microsomes, but seldom in humans or at the level of individual XME isoforms. The authors have been investigating the metabolism of a number of agrochemicals by human liver microsomes and recombinant CYP isoforms and have recently embarked on studies of the induction of XMEs in human hepatocytes. The insecticides chlorpyrifos, carbaryl, carbofuran and fipronil, as well as the repellant DEET, are all extensively metabolized by human liver microsomes and, although a number of CYP isoforms may be involved, CYP2B6 and CYP3A4 are usually the most important. Permethrin is hydrolyzed by esterase(s) present in both human liver microsomes and cytosol. A number of metabolic interactions have been observed. Chlorpyrifos and other phosphorothioates are potent inhibitors of the CYP-dependent metabolism of both endogenous substrates, such as testosterone and estradiol, and exogenous substrates, such as carbaryl, presumably as a result of the interaction of highly reactive sulfur, released during the oxidative desulfuration reaction, with the heme iron of CYP. The hydrolysis of permethrin in human liver can be inhibited by chlorpyrifos oxon and by carbaryl. Fipronil can inhibit testosterone metabolism by CYP3A4 and is an effective inducer of CYP isoforms in human hepatocytes.Copyright (c) 2008 Society of Chemical Industry.  KEYWORDS:  MeSH Chemical: Environmental Pollutants| Insecticides MeSH: | Drug Interactions/majr| Environmental Pollutants/metabolism| Humans| Insecticides/majr/metabolism| Microsomes, Liver/majr/enzymology</t>
  </si>
  <si>
    <t>Survey of susceptibilities to monosultap, triazophos, fipronil, and abamectin in Chilo suppressalis (Lepidoptera: Crambidae).    ABSTRACT:  To provide a foundation for national resistance management of the Asiatic rice borer, Chilo suppressalis (Walker) (Lepidoptera: Crambidae), a study was carried out to determine dose-response and susceptibility changes over a 5-yr period in the insect from representative rice, Oryza sativa L., production regions. In total, 11 populations were collected from 2002 to 2006 in seven rice-growing provinces in China, and they were used to examine their susceptibility levels to monosultap, triazophos, fipronil, and abamectin. Results indicated that most populations had increased tolerance to monosultap. Several field populations, especially those in the southeastern Zhejiang Province, were highly or extremely highly resistant to triazophos (resistance ratio [RR] = 52.57-899.93-fold), and some populations in Anhui, Jiangsu, Shanghai, and the northern rice regions were susceptible or had a low level of resistance to triazophos (RR = 1.00-10.69). Results also showed that most field populations were susceptible to fipronil (RR &lt; 3), but the populations from Ruian and Cangnan, Zhejiang, in 2006 showed moderate levels of resistance to fipronil (RR = 20.99-25.35). All 11 field populations collected in 2002-2006 were susceptible to abamectin (RR &lt; 5). The tolerance levels in the rice stem borer exhibited an increasing trend (or with fluctuation) over a 5-yr period for different insecticides, and they reached a maximal level in 2006 for all four insecticides. Analysis of regional resistance ratios indicated that the history and intensity of insecticide application are the major driving forces for the resistance evolution in C. suppressalis. Strategic development of insecticide resistance management also is proposed.  KEYWORDS:  MeSH Chemical: Insecticides| Organothiophosphates| Pyrazoles| Triazoles| abamectin| triazophos| Ivermectin| fipronil MeSH: | Animals| China| Demography| Dose-Response Relationship, Drug| Insecticide Resistance/majr| Insecticides/majr/pharmacology| Ivermectin/analogs &amp; derivatives/pharmacology| Moths/majr/drug effects| Organothiophosphates/pharmacology| Pyrazoles/pharmacology| Time Factors| Triazoles/pharmacology</t>
  </si>
  <si>
    <t>Enantioselective microbial transformation of the phenylpyrazole insecticide fipronil in anoxic sediments.    ABSTRACT:  Fipronil, a chiral insecticide, was biotransformed initially to fipronil sulfide in anoxic sediment slurries following a short lag period. Sulfidogenic or methanogenic sediments transformed fipronil with half-lives of approximately 35 and 40 days, respectively. In all microbially active sediment slurries tested, the transformation of fipronil to fipronil sulfide was enantioselective. In the sulfidogenic sediment slurry, the enantiomeric fraction (EF) of fipronil decreased from an initial racemic EF value of 0.46 to a value of 0.22 during the incubation period of active fipronil transformation, indicating preferential transformation of the S-(+)-enantiomer. A previously unidentified product, 5-amino1-[2,6-dichloro-4-(trifluoromethyl)-phenyl]-4-(trifluoromethylthio)-1-H-pyrazole-3-carboxyamide, or fipronil sulfide-amide, was detected in the sulfidogenic slurries and coincided with the loss of fipronil sulfide. Biota from methanogenic freshwater sediment slurries also transformed fipronil enantioselectively but with a preference for the R-(-)-enantiomer. In all microbially inhibited (autoclaved) sediment slurries tested, no changes in the enantiomeric fractions of fipronil were observed and only low levels (&lt; 5% of the added fipronil) of the fipronil sulfide metabolite were detected. In defined (model) chemical experiments, solutions of pyrite (FeS2) and iron sulfide (FeS) non-enantioselectively transformed fipronil primarily to either 2,6-dichloro-4-(trifluoromethyl)-aniline or to fipronil sulfide and fipronil amide, respectively. This report provides the first experimental evidence of enantioselective microbial transformation of fipronil in a natural environment (soil, water, and sediment) as well as identification of a novel fipronil biotransformation product.  KEYWORDS:  MeSH Chemical: Insecticides| Pyrazoles| fipronil| Oxygen MeSH: | Biotransformation| Chromatography, Gas| Geologic Sediments/majr| Insecticides/majr/metabolism| Mass Spectrometry| Oxygen/majr/chemistry| Pyrazoles/majr/metabolism| Stereoisomerism</t>
  </si>
  <si>
    <t>Comparison of dose responses and resistance ratios in four populations of the rice stem borer, Chilo suppressalis (Lepidoptera: Pyralidae), to 20 insecticides.    ABSTRACT:  Chemical control is a major strategy for suppressing the rice stem borer, Chilo suppressalis (Walker). Owing to their high toxicity and increasing resistance development in the target insect, many insecticides will be phased out entirely in 2007 in China. Alternatives with relatively low toxicity are urgently needed to replace traditional chemicals for rice stem borer control. In this study, the authors examined four field populations of C. suppressalis for their toxicological responses to more than 20 insecticides, including a few low-toxicity organophosphates and many novel pesticides. Interpopulation resistance levels to 12 conventional insecticides were also compared.Based on LD(50) values, the rice stem borer was most sensitive to avermectins and fipronil (LD(50) &lt; 1 ng larva(-1)). The stem borers exhibited the least sensitivity to endosulfan (LD(50) &gt; 100 ng larva(-1)) and monosultap (LD(50) &gt; 1000 ng larva(-1)). Insect growth regulators and chitin synthase inhibitors showed great efficacy against C. suppressalis, especially against populations that had developed resistance to conventional insecticides. Four field populations showed variable tolerance levels to many insecticides. LYG05 was the most susceptible population, only with a low level of resistance to monosultap (RR = 6.6). NC05 and GL05 populations exhibited intermediate tolerance levels with RR values up to 20.4 and 52.8 respectively. RA05 was the most resistant population to many insecticides, with resistance ratios up to 76.2.The results from this study provide valuable information for selection and adoption of new alternative insecticides and for resistance management of the rice stem borer.(c) 2008 Society of Chemical Industry.  KEYWORDS:  MeSH Chemical: Insecticides MeSH: | Animals| Biological Assay| China| Dose-Response Relationship, Drug| Insecticide Resistance/majr| Insecticides/majr/toxicity| Lethal Dose 50| Moths/majr/drug effects</t>
  </si>
  <si>
    <t>Effects of insecticides on the fluidity of mitochondrial membranes of the diamondback moth, Plutella xylostella, resistant and susceptible to avermectin.    ABSTRACT:  The effects of various insecticides on the fluidity of mitochondrial membranes and cross-resistance were investigated in the diamondback moth, Plutella xylostella (L.) (Lepidoptera: Plutellidae) using strains that were both resistant and susceptible to avermectin. The resistant strain of P. xylostella, AV-R, developed 1078-fold resistance to avermetins with a high level of cross-resistance to the analogs of avermectins, ivermectin and emamectin benzoate. It had more than 1000 times greater resistance when compared with the avermectin-susceptible strain, XH-S. Mitochondrial membrane fluidity was measured by detecting fluorescence polarization using DPH (1,6-Diphenyl -1,3,5-hexatriene) as the fluorescence probe. Abamectin, emamectin benzoate, ivermectin, cypermethrin and fenvalerate decreased the fluidity of mitochondrial membranes in the XH-S strain at 25 degrees C. However, fipronil and acephate did not change the fluidity of mitochondrial membrane when the concentration of these insecticides was 1x10(-4) mol/L. Membrane fluidity increased as the temperature increased. The thermotropic effect on the polarization value of DPH increased as the insecticide concentration was increased. There was a significant difference of mitochondrial membrane fluidity between both XH-S and AV-R when temperature was less than 25 degrees C and no difference was observed when the temperature was more than 25 degrees C. The low-dose abamectin (0.11 mg/L) in vivo treatment caused a significant change of membrane fluidity in the XH-S strain and no change in the AV-R strain. However, a high-dose abamectin (11.86 mg/L) resulted in 100% mortality of the XH-S strain. In vivo treatment may cause a significant change of membrane fluidity in the AV-R strain.  KEYWORDS:  MeSH Chemical: Insecticides| Ivermectin| avermectin MeSH: | Animals| Drug Resistance/majr| Insecticides/majr/pharmacology| Ivermectin/majr/analogs &amp; derivatives/pharmacology| Larva/drug effects| Membrane Fluidity/drug effects| Mitochondrial Membranes/drug effects| Moths/majr/drug effects</t>
  </si>
  <si>
    <t>Molecular cloning of a GABA receptor subunit from Laodelphax striatella (Fallén) and patch clamp analysis of the homo-oligomeric receptors expressed in a Drosophila cell line.    ABSTRACT:  A cDNA encoding a gamma-aminobutyric acid (GABA) receptor subunit was cloned from the small brown planthopper Laodelphax striatella. The L. striatella GABA receptor subunit was found to have high amino acid sequence similarity to the bd-type splice variant of the Drosophila GABA receptor Rdl subunit and several other GABA receptor subunits, with identities of over 70%. The cDNA was inserted into the expression vector pAc5.1-lac-Hygro. Clonal cell lines stably expressing homo-oligomeric L. striatella GABA receptors were generated by transfecting the vector into D.mel-2 cells. Expression of functional GABA receptors in the cell lines was demonstrated by whole-cell patch clamp recordings. GABA induced inward currents with an EC(50) value of 29 microM and a Hill coefficient of 1.7. The GABA-evoked responses reversed close to the Nernst equilibrium potential for chloride ions. The amplitudes of agonist-induced currents were found to be in the order muscimol (100 microM) &gt;/= GABA (100 microM) &gt; isoguvacine (100 microM) &gt; cis-4-aminocrotonic acid (CACA) (100 microM) &gt; 5-(4-piperidyl)-3-isoxazolol (4-PIOL) (1 mM). Antagonists such as fipronil (100 nM), 4'-ethynyl-4-n-propylbicycloorthobenzoate (EBOB) (100 nM), dieldrin (100 nM) and SR95531 (gabazine) (1 microM) suppressed GABA-induced currents. The functional expression of a GABA receptor from an agricultural pest presents a unique opportunity to discover new molecules active at this important target site.  KEYWORDS:  MeSH Chemical: DNA Primers| GABA Agonists| GABA Antagonists| Insect Proteins| Protein Subunits| Receptors, GABA| Recombinant Proteins| gamma-Aminobutyric Acid MeSH: | Amino Acid Sequence| Animals| Base Sequence| Cell Line| Cloning, Molecular| DNA Primers/genetics| Drosophila melanogaster| GABA Agonists/pharmacology| GABA Antagonists/pharmacology| Genes, Insect| Hemiptera/majr/genetics/metabolism| Insect Proteins/majr/chemistry/drug effects/genetics/metabolism| Molecular Sequence Data| Patch-Clamp Techniques| Protein Subunits| Receptors, GABA/majr/chemistry/genetics/metabolism| Recombinant Proteins/chemistry/drug effects/genetics/metabolism| Sequence Homology, Amino Acid| gamma-Aminobutyric Acid/pharmacology</t>
  </si>
  <si>
    <t>Serial analysis of gene expression reveals identifiable patterns in transcriptome profiles of Palaemonetes pugio exposed to three common environmental stressors.    ABSTRACT:  Serial analysis of gene expression (SAGE) is a transcriptome-profiling technique that allows accurate gene expression profiles to be generated without any need for prior sequence knowledge, making it ideal for assaying toxicant-specific genetic responses in nonmodel species. We used SAGE to perform a large-scale survey of the Palaemonetes pugio transcriptome under different chemical xenobiotic stresses. Four libraries were constructed from fipronil-exposed, endosulfan-exposed, and cadmium-exposed shrimp, as well as from carrier-control-exposed shrimp. A total of 37,152 tags were sequenced from the four libraries, including 13,754 unique tags. Statistical analysis revealed that 117 tags were differentially expressed significantly in at least one of the three exposures. Cluster analyses of the altered tags showed that fipronil and endosulfan elicit transcriptome profiles that are more similar to each other than either one was to cadmium. Quantitative polymerase chain reaction (QPCR) was performed on a subset of 46 differentially expressed tags, and largely confirmed the SAGE results. The tags were filtered to identify tags for which both SAGE and QPCR agreed in regard to the direction and magnitude of affect, and which were informative about the exposure experienced. A subset of 16 tags was identified that represents a putative biomarker suite that is indicative of exposures to the three toxicants.  KEYWORDS:  MeSH Chemical: Proteome| Pyrazoles| Xenobiotics| Cadmium| Endosulfan| fipronil MeSH: | Animals| Base Sequence| Cadmium/majr/toxicity| Cluster Analysis| Endosulfan/majr/toxicity| Environmental Exposure/majr| Gene Expression Profiling/majr/methods| Gene Library| Molecular Sequence Data| Palaemonidae/majr/drug effects/genetics/physiology| Polymerase Chain Reaction| Proteome| Pyrazoles/majr/toxicity| Transcription, Genetic| Xenobiotics/metabolism</t>
  </si>
  <si>
    <t>Human metabolic interactions of environmental chemicals.    ABSTRACT:  Investigations utilizing recombinant human xenobiotic-metabolizing enzymes as well as human hepatocytes have revealed a number of interactions not only between different environmental chemicals (ECs) but also between ECs and endogenous metabolites. Organophosphorus insecticides (OPs) are potent inhibitors of the human metabolism of carbaryl, carbofuran, DEET and fipronil, as well as the jet fuel components, nonane and naphthalene. OPs are potent irreversible inhibitors of testosterone metabolism by cytochrome P450 (CYP) 3A4 and of estradiol metabolism by CYP3A4 and CYP1A2. All of these CYP inhibitions are believed to be due to the release of reactive sulfur during CYP-catalyzed oxidative desulfuration. It has also been shown that the esterase(s) responsible for the initial step in permethrin metabolism in human liver is inhibited by both chlorpyrifos oxon and carbaryl. A number of pesticides, including chlorpyrifos, fipronil and permethrin, and the repellent, DEET, have been shown to be inducers of CYP isoforms in human hepatocytes, with fipronil being the most potent. Several agrochemicals, including fipronil and the pyrethroids, permethrin and deltamethrin, show toxicity toward human hepatocytes with fipronil being the most potent in this regard. Endosulfan-alpha, which has shown promise as a model substrate for phenotyping CYP3A4 and CYP2B6 in human liver microsomes, is also an inducer of CYP2B6, acting through the PXR receptor.  KEYWORDS:  MeSH Chemical: Cholinesterase Inhibitors| Cytochrome P-450 Enzyme Inhibitors| Environmental Pollutants| Isoenzymes| Pesticides| Recombinant Proteins| Testosterone| Estradiol| Cytochrome P-450 Enzyme System MeSH: | Cholinesterase Inhibitors/majr/metabolism| Cytochrome P-450 Enzyme Inhibitors| Cytochrome P-450 Enzyme System/majr/genetics/metabolism| Environmental Pollutants/majr/chemistry/metabolism| Enzyme Induction| Estradiol/metabolism| Female| Humans| Isoenzymes/metabolism| Liver/cytology/enzymology| Male| Microsomes, Liver/enzymology| Pesticides/majr/metabolism| Recombinant Proteins/antagonists &amp; inhibitors/metabolism| Testosterone/antagonists &amp; inhibitors/metabolism</t>
  </si>
  <si>
    <t>Relationship between desert locust, Schistocerca gregaria (Forskål), infestation, environmental factors and control measures in Gazan and Makkah Regions, Saudi Arabia.    ABSTRACT:  Desert Locust, Schistocerca gregaria (Forskål), is one of the most important insect pests in Saudi Arabia. Cultivated crops and the range lands are heavily affected by desert locust in some regions of Saudi Arabia. The objective of this study was to determine the extent of damage by the Desert Locust, Schistocerca gregaria (Forskål) to the range lands being used for grazing range animals in Gazan and Makkah regions of Saudi Arabia. However, it is very difficult to estimate accurately the total infested areas, which were sprayed with insecticides to control upsurges, outbreaks and plagues over the last five decades. Records of Desert Locust control are kept in the National Desert Locust Control and Research Center in Jeddah. Meteorological data was obtained from the Meteorology and Environmental Protection Administration (MEPA), Saudi Arabia. The data shows that the Desert Locust infestation was associated partially with the rainfall intensity in Gazan and Makkah regions. There was found a good relationship between Desert Locust infestation (Solitary phase), temperature and the relative humidity. The locust infestation was heavy during 1986-88, 1992-95 and 1997-98 and about 1.8 million ha were treated with insecticides. Out of the total breeding/infested area, 43% was treated in winter months (October-February) and the remaining 57% was treated in spring season (March-June). The infested area was sprayed with Marshall, Carbosulfan (20%), Malathion (96%, Clorpyrifos; (48%) Fipronil (12.5%), Sumithion (100%) and Decis (12.5%). The study showed an excellent potential to determine the active locust infestation period in relation to the environmental factors for its effective control with insecticide sprays to minimize crop damage. The study highlighted the needs for further investigations in other locust infested areas with different environmental factors for planning future desert locust control programs.  KEYWORDS:  MeSH Chemical: Insecticides MeSH: | Animals| Animals, Domestic| Climate| Crops, Agricultural/majr/parasitology| Environment/majr| Grasshoppers/majr| Insect Control/majr| Insecticides| Saudi Arabia| Seasons</t>
  </si>
  <si>
    <t>Evaluation of the efficacy and safety of a novel formulation of metaflumizone plus amitraz in dogs naturally infested with fleas and ticks in Europe.    ABSTRACT:  The efficacy and safety of a novel spot-on formulation of metaflumizone plus amitraz (ProMeris/ProMeris Duo for Dogs, Fort Dodge Animal Health, Overland Park, KS) was assessed in dogs naturally infested with ticks and/or fleas in a multiregional, clinical field study. Nineteen veterinary clinics in Germany and 11 clinics in France enrolled patients to the study. One hundred eighty one dogs with tick infestation and 170 dogs with flea infestation (plus three dogs harboring both ticks and fleas) qualified as primary patients and were randomly allocated to one of two treatments in a ratio of approximately 2:1 for metaflumizone plus amitraz (minimum dosage of 20 plus 20mg/kg) or fipronil (at the recommended label rate). Clinical examinations and baseline parasite counts were performed on Day 0 prior to treatment. Tick and/or flea counts and safety evaluations were repeated at intervals of about 2 weeks for 8 weeks. Both products resulted in consistent reductions in tick numbers (&gt;81%) throughout the study, with metaflumizone plus amitraz giving consistently higher reductions in tick numbers. The efficacy against tick count compared with Day 0 was 97.6%, 93.5%, 89% and 94% at Day 14, 28, 42 and 56, respectively, for metaflumizone plus amitraz. The corresponding efficacies for fipronil were 86.3%, 81.1%, 84.8% and 86.1%. Within groups, the tick reduction was highly significant (P&lt;0.0001) compared to baseline at all observation periods. Both treatments resulted in consistent (&gt;89%) and highly significant (P&lt;0.0001) reductions in flea numbers relative to the baseline counts throughout the study, although fipronil resulted in numerically higher reductions on each count day. The efficacy against fleas compared to baseline was 91.8%, 88.7%, 91.5% and 92.0% at Day 14, 28, 42 and 56, respectively, for metaflumizone plus amitraz. The corresponding efficacies for fipronil were 98.2%, 96.3%, 95.9% and 96.7%. Metaflumizone plus amitraz was highly effective in controlling existing infestations of fleas and ticks on dogs and was effective against reinfestation for at least 56 days. Metaflumizone plus amitraz showed a good tolerance profile in dogs.  KEYWORDS:  MeSH Chemical: Drug Combinations| Insecticides| Pyrazoles| Semicarbazones| Toluidines| Water| amitraz| metaflumizone| fipronil MeSH: | Animals| Dog Diseases/majr/drug therapy/parasitology| Dogs| Drug Combinations| Drug-Related Side Effects and Adverse Reactions| Ectoparasitic Infestations/majr/drug therapy/veterinary| Europe| Female| Insecticides/majr/adverse effects/standards/therapeutic use| Male| Pyrazoles/therapeutic use| Random Allocation| Semicarbazones/majr/adverse effects/standards/therapeutic use| Tick Infestations/drug therapy/veterinary| Toluidines/majr/adverse effects/standards/therapeutic use| Water</t>
  </si>
  <si>
    <t>Evaluation of the efficacy and safety of a novel formulation of metaflumizone in cats naturally infested with fleas in Europe.    ABSTRACT:  The efficacy and safety of a novel spot-on formulation of metaflumizone (ProMeris for Cats, Fort Dodge Animal Health, Overland Park, KS) was assessed in cats naturally infested with fleas in a multiregional, clinical field study. Sixteen veterinary clinics in Germany and eight clinics in France enrolled patients to the study. A total of 173 cats with flea infestation qualified as primary patients and were randomly allocated to one of the two treatments in a ratio of approximately 2:1 for metaflumizone (minimum dosage of 40mg/kg) or fipronil (at the recommended label rate). Clinical examinations and baseline parasite counts were performed on Day 0 prior to treatment. Flea counts and safety evaluations were repeated at approximately 2-week intervals for 8 weeks. Both treatments resulted in consistent reductions (&gt;84%) in flea numbers throughout the study, but metaflumizone resulted in numerically higher reductions on most count days. Within groups the flea reduction was highly significant (p&lt;0.0001) compared to baseline at all observation periods. The efficacy of metaflumizone against fleas compared to baseline was 91.0%, 89.4%, 90.8% and 90.7% at Day 14, 28, 42 and 56, respectively. The corresponding efficacies for fipronil were 91.7%, 86.9%, 84.6% and 87.7%. Metaflumizone was highly effective in controlling existing infestations of fleas on cats and was effective against reinfestation for at least 56 days. Metaflumizone showed a good tolerance profile in cats.  KEYWORDS:  MeSH Chemical: Insecticides| Pyrazoles| Semicarbazones| Water| metaflumizone| fipronil MeSH: | Animals| Cat Diseases/majr/drug therapy/parasitology| Cats| Drug-Related Side Effects and Adverse Reactions| Ectoparasitic Infestations/majr/drug therapy/veterinary| Europe| Female| Insecticides/majr/adverse effects/standards/therapeutic use| Male| Pyrazoles/therapeutic use| Semicarbazones/majr/adverse effects/standards/therapeutic use| Siphonaptera/majr/physiology| Water</t>
  </si>
  <si>
    <t>Dose determination of a novel formulation of metaflumizone plus amitraz for control of cat fleas (Ctenocephalides felis felis) and brown dog ticks (Rhipicephalus sanguineus) on dogs.    ABSTRACT:  A novel spot-on formulation containing metaflumizone and amitraz (ProMeris/ProMeris Duo for Dogs, Fort Dodge Animal Health, Overland Park, KS) was evaluated in a laboratory study to determine the appropriate dose for efficacy against fleas and ticks on dogs for 1 month. Thirty-six Beagles were randomly allocated to six equal groups and individually housed. One group remained nontreated. Another was treated with a placebo formulation (solvents with no active ingredients). Three groups of dogs were treated topically with the metaflumizone plus amitraz formulation (150mg of each of metaflumizone and amitraz/ml), at volumes providing doses of 10, 20 and 40mgeachactive/kg. The final group was treated with a commercial spot-on providing 6.7mgfipronil/kg. All treatments were applied to the skin at a single spot between the scapulae on Day 0. Dogs were infested with 50 adult brown dog ticks (Rhipicephalus sanguineus) on each of Days -2, 5, 12, 19, 26, 33 and 40, and with 100 cat fleas (Ctenocephalides felis felis) on Days -1, 6, 13, 20, 27, 34 and 41. Dogs were examined and parasites "finger counted" on Day 1 to estimate knock down efficacy, and all animals were comb counted to determine the numbers of viable fleas and ticks on Days 7, 14, 21, 28, 35 and 42. There were no significant differences in parasite counts between the nontreated control and the placebo-treated control groups for either fleas or ticks (P&gt;0.05) except for very slight reductions on Day 7 for fleas and Day 14 for ticks, demonstrating that the formulation excipients had no activity. The qualitative finger counts on Day 1 indicated that all of the insecticidal treatments resulted in a noticeable reduction in flea and tick numbers within 1 day of treatment. All of the metaflumizone and amitraz treatments and fipronil resulted in significantly lower flea and tick numbers relative to nontreated controls on all posttreatment count days (P&lt;0.05). For the metaflumizone plus amitraz treatments, mean flea and tick counts for the 10mg/kg dose were significantly higher than those for the 20mg/kg dose (P&lt;0.05) from Day 21 on. There was no significant advantage provided by the 40mg/kg dose over the 20mg dose throughout the entire study (P&gt;0.05). The two higher metaflumizone plus amitraz doses provided &gt;95% control of fleas and &gt;90% control of ticks for at least 35 days after treatment, and this level of control was similar to that of the commercial fipronil product. The 20mg/kg dose was selected as the minimum commercial dose rate to provide effective flea and tick control for at least 1 month following a single treatment.  KEYWORDS:  MeSH Chemical: Drug Combinations| Insecticides| Semicarbazones| Toluidines| amitraz| metaflumizone MeSH: | Administration, Topical| Animals| Dog Diseases/majr/drug therapy/parasitology| Dogs| Drug Combinations| Ectoparasitic Infestations/majr/drug therapy/veterinary| Insect Control/methods| Insecticides/majr/administration &amp; dosage| Rhipicephalus sanguineus/majr| Semicarbazones/majr/administration &amp; dosage| Siphonaptera/majr| Tick Control/methods| Tick Infestations/drug therapy/veterinary| Toluidines/majr/administration &amp; dosage</t>
  </si>
  <si>
    <t>Confirmation of the efficacy of a novel formulation of metaflumizone plus amitraz for the treatment and control of fleas and ticks on dogs.    ABSTRACT:  A novel spot-on formulation containing metaflumizone plus amitraz (ProMeris/ProMeris Duo for Dogs, Fort Dodge Animal Health, Overland Park, KS) was evaluated in four laboratory studies to confirm efficacy against fleas and ticks on dogs for 1 month. Three different strains of cat flea (Ctenocephalides felis felis) and four tick species were used. Rhipicephalus sanguineus and Dermacentor variabilis were evaluated concurrently in two studies and Ixodes scapularis and Amblyomma americanum in one study each. In all studies, dogs were randomly allocated to treatment groups and compared with nontreated dogs. One study also included a placebo treatment and a commercial product containing fipronil plus S-methoprene. All treatments were applied to the skin at a single spot between the scapulae on Day 0. Dogs were infested with fleas and/or ticks prior to treatment and then reinfested at weekly intervals for 6 weeks after treatment and evaluated for efficacy at 1 or 2 days after treatment and each reinfestation. These studies confirmed that treatment with ProMeris for Dogs at the proposed commercial dose rate rapidly controlled existing infestations of fleas and ticks on dogs. Treatment provided control of reinfesting fleas for up to 6 weeks and at least 4 weeks control of ticks. Efficacy was confirmed in a variety of dog breeds against three different flea strains and four common species of ticks found on dogs in the United States.  KEYWORDS:  MeSH Chemical: Drug Combinations| Insecticides| Semicarbazones| Toluidines| amitraz| metaflumizone MeSH: | Animals| Dog Diseases/majr/drug therapy/parasitology| Dogs| Drug Combinations| Ectoparasitic Infestations/majr/drug therapy/veterinary| Female| Insect Control/methods/standards| Insecticides/majr| Ixodidae/majr| Male| Semicarbazones/majr| Siphonaptera/majr| Tick Control/methods/standards| Tick Infestations/drug therapy/veterinary| Toluidines/majr</t>
  </si>
  <si>
    <t>Comparison of storm intensity and application timing on modeled transport and fate of six contaminants.    ABSTRACT:  Hundreds, if not thousands, of fish kills and kills of other aquatic organisms occur following storms in the US each year, but they are difficult to quantify, investigate, or manage due to the transient nature of major storms and the other priorities following them. Methods are needed to better understand the causes of these kills. The Pesticide Root Zone Model and the Exposure Analysis Modeling System were used to compare risk to resident biota in estuarine headwaters in two locations under various conditions. Contaminants were selected using a landuse-based preliminary risk assessment approach. Atrazine, fipronil, and imidacloprid were compared for potential impacts on important prey species, including copepods and grass shrimp, in Lake Bethel in Volusia County, Florida. Carbaryl, diquat dibromide, and fluoranthene were compared for potential impacts on salmon and other aquatic species in Johnson Creek, near Portland, Oregon. Predictions of contaminant concentrations in groundwater runoff, surface water, benthic sediments, and pelagic biota tissue were obtained based upon watershed characteristics, storm types, and contaminant chemistry and application. For all six contaminants, the simulated concentrations were highest following the 100-yr storms and lowest following the 2-yr storms. Aqueous concentrations ranged between 84 and 2100% higher in 100-yr compared to two-yr storms. Most atrazine and carbaryl concentrations were highest if applied one day before the storm while fipronil, imidacloprid, and diquat dibromide were highest if applied 16 days prior to the storm. Carbaryl and fluoranthene concentrations were highest in the forested segment of the watershed while diquat dibromide concentrations were highest in the agricultural segment. In Florida simulations, groundwater and surface water concentrations generally were highest for atrazine, followed by imidacloprid, and then fipronil. Atrazine poses the highest risk to algae and copepods due to its mobility and high allowable application rates. Fipronil and imidacloprid, though highly toxic, were not predicted to occur at high enough concentrations to pose a risk. In Oregon simulations, groundwater and surface water concentrations generally were highest for carbaryl, followed by fluoranthene, and then diquat dibromide. For salmonids, fluoranthene poses a higher risk than carbaryl, whereas it is unlikely that diquat dibromide will affect salmonids in this system. For crustaceans, carbaryl poses the greatest risk, followed by fluoranthene. Diquat dibromide was determined to pose little risk. These tests demonstrate the use of preliminary risk assessment, along with transport and fate modeling, to characterize risks to aquatic organisms without the need for in situ chemical measurements.  KEYWORDS:  MeSH Chemical: Pesticides| Water Pollutants, Chemical MeSH: | Animals| Computer Simulation| Environmental Monitoring| Florida| Models, Chemical| Oregon| Pesticides/majr/analysis| Rain/majr| Risk Assessment| Water Movements| Water Pollutants, Chemical/majr/analysis| Water Pollution/majr/analysis</t>
  </si>
  <si>
    <t>Acute and chronic toxicity of technical-grade pesticides to glochidia and juveniles of freshwater mussels (Unionidae).    ABSTRACT:  Chemical contaminants are among many potential factors involved in the decline of freshwater mussel populations in North America, and the effects of pesticides on early life stages of unionid mussels are largely unknown. The objective of this study was to determine the toxicity of technical-grade current-use pesticides to glochidia and juvenile life stages of freshwater mussels. We performed acute toxicity tests with glochidia (five species) and juveniles (two species) exposed to a suite of current-use pesticides including herbicides (atrazine and pendimethalin), insecticides (fipronil and permethrin), and a reference toxicant (NaCl). Because of limited availability of test organisms, not all species were tested with all pesticides. Toxicity tests with fungicides (chlorothalonil, propiconazole, and pyraclostrobin) were performed with one species (Lampsilis siliquoidea). Lampsilis siliquoidea glochidia and juveniles were highly sensitive to the fungicides tested but the technical-grade herbicides and insecticides, at concentrations approaching water solubility, were not acutely toxic to this or the other unionid species. In a 21-d chronic test with four-month-old juvenile L. siliquoidea, the 21-d median effective concentration (EC50) with atrazine was 4.3 mg/L and in atrazine treatments &gt;or=3.8 mg/L mussel growth was significantly less than controls. The relatively high sensitivity of L. siliquoidea to chlorothalonil, propiconazole, and pyraclostrobin is similar to that reported for other aquatic organisms commonly used for toxicity testing. The relative risk associated with acute exposure of early life stages of mussels to technical-grade atrazine, pendimethalin, fipronil, and permethrin is likely low; however, survival and growth results with juvenile L. siliquoidea indicate that chronic exposure to high concentrations (&gt;/=3.8 mg/L) of atrazine may have the potential to impact mussel populations and warrants further investigation.  KEYWORDS:  MeSH Chemical: Pesticides| Water Pollutants, Chemical MeSH: | Animals| Bivalvia/majr/drug effects/growth &amp; development| Fresh Water| Larva/majr/drug effects| Pesticides/majr/toxicity| Water Pollutants, Chemical/majr/toxicity</t>
  </si>
  <si>
    <t>Field evaluation of potential control strategies against the invasive eastern subterranean termite (Isoptera: Rhinotermitidae) in Chile.    ABSTRACT:  Four different termite control strategies consisting of two soil treatments with cypermethrin and fipronil and two bait treatments with hexaflumuron and sulfluramid were evaluated for their efficacy and potential for controlling the invasive eastern subterranean termite, Reticulitermes flavipes (Kollar) (Isoptera: Rhinotermitidae), in Quillota and Valparaiso, Chile. Monitoring stations were installed at all sites to measure the overall termite activity next to and at distances up to 30 m away from infested structures, most being 3-5 m. Foraging activity was extremely seasonal with the maximum consumption rates occurring from January to April. Termite foraging activity was low from July to September. After treatments in January 2003, there was a significant decrease in wood consumption, percentage of active stations, and numbers of termites in traps for the first 6 mo with hexaflumuron baits. No significant change in R. flavipes foraging activity was observed on wood consumption and percentage of active stations for sulfluramid bait or cypermethrin and fipronil soils treatments. The seasonal pattern of foraging activity remained unchanged for all treatments in 2004 and 2005, except structures baited with hexaflumuron. Feeding activity at the monitors in the area surrounding the hexaflumuron baits declined to 0 after January 2004. Alate flights occurred in approximately 38% of the structures treated with cypermethrin and sulfluramid bait in 2003 and in approximately 40% of the structures treated with cypermethrin, fipronil, and sulfluramid bait in 2004. Sulfluramid baits and cypermethrin soil treatments did not have any impact within a 15-m radius of the structures. Soils treatments of fipronil and cypermethrin prevented termites access in 75% of the homes. The number of active monitoring stations only declined within 2 m of the fipronil-treated zone. Hexaflumuron exhibited a reduction in activity for at least a 15-m radius.  KEYWORDS:  MeSH Chemical: Benzamides| Fluorocarbons| Insecticides| Phenylurea Compounds| Pyrazoles| Pyrethrins| Soil| Sulfonamides| cypermethrin| hexafluoron| sulfluramid| fipronil MeSH: | Animals| Benzamides| Chile| Feeding Behavior| Fluorocarbons| Insect Control/majr/methods| Insecticides/majr| Isoptera/majr/physiology| Phenylurea Compounds| Pyrazoles| Pyrethrins| Soil| Sulfonamides</t>
  </si>
  <si>
    <t>Comparative study of doramectin and fipronil in the treatment of equine chorioptic mange.    ABSTRACT:  In equids, chorioptic mange is a common dermatitis for which there are no licensed medications in the uk. Doramectin and fipronil are licensed for the control of ectoparasites in other species and were evaluated for the treatment of 17 cases of chorioptic mange in 13 equids. Equids were included if clinical findings were indicative of chorioptic mange, chorioptes mites were positively identified and concurrent disease that could affect response to disease was not evident. A random number table was used to allocate subjects to receive doramectin (group D, eight animals) or fipronil (group F, nine animals). Each of the horses in group D were given 0.3 mg/kg doramectin (Dectomax; Pfizer) on two occasions 14 days apart by subcutaneous injection. All limbs of the horses in group F were sprayed with fipronil 0.25 per cent solution (Frontline; Merial) to the level of the stifles and elbows. Both groups were examined on the day of treatment and 14 and 28 days later to assess the behavioural signs of pruritus and the severity of the dermatological lesions. Acetate tape impressions were collected from the distal limbs and the degree of mite infestation was assessed. By day 28 there were no behavioural signs of chorioptic mange in any of the animals, and there were significant reductions in the numbers of mites in both groups. However, there were no significant reductions in the mean lesion score in either group. There was no significant difference between the effectiveness of the two treatments.  KEYWORDS:  MeSH Chemical: Insecticides| Pyrazoles| Ivermectin| doramectin| fipronil MeSH: | Animals| Dose-Response Relationship, Drug| Female| Horse Diseases/majr/drug therapy/pathology| Horses| Insecticides/majr/therapeutic use| Ivermectin/majr/analogs &amp; derivatives/therapeutic use| Male| Mite Infestations/majr/drug therapy/pathology/veterinary| Pyrazoles/majr/therapeutic use| Severity of Illness Index| Time Factors| Treatment Outcome</t>
  </si>
  <si>
    <t>Enantioselective Chronic Toxicity of Fipronil to Ceriodaphnia dubia.    ABSTRACT:  Fipronil is a phenylpyrazole pesticide that has greatly increased in popularity in recent years. As a chiral molecule, fipronil is released into the environment as a 1:1 mixture (called a racemate) of its two enantiomers. Previous toxicity work has indicated that the enantiomers of fipronil exhibit significantly different levels of acute toxicity to the nontarget organism Ceriodaphnia dubia. In this work we examine the chronic effects of the pure enantiomers and racemate on the survival, development, mobility, and reproduction of C. dubia adults and the survival and mobility of their offspring. Based on 8-day trials, the (+) enantiomer of fipronil showed a significantly greater reduction in the number of offspring (LOEC = 2 microg/L) than either the racemate (LOEC = 15 microg/L) or the (-) enantiomer (LOEC = 30 microg/L). The (+) enantiomer was also shown to be significantly more toxic to neonates born during the course of the experiment (LC50 24 = 18.1 microg/L, LC50 48 = 10.3 microg/L) than the racemate (LC50 24 = 33.3 microg/L, LC50 48 = 30.3 microg/L), but only after 48 h. Both the (+) enantiomer and the racemate were significantly more toxic to C. dubia than the (-) enantiomer (LC50 24 = 65.2 microg/L, LC50 48 = 50.1 microg/L) at both time points. Qualitative mobility data followed a similar trend, with the (+) enantiomer causing greater impairment in mobility at low concentrations. These data imply that the (-) enantiomer has less impact on the reproductive success of C. dubia than either the (+) enantiomer or the racemate. Enantiomerically pure or enriched formulations of (-) fipronil may reduce impacts to the nontarget organism C. dubia.  KEYWORDS:  MeSH Chemical: Pesticides| Pyrazoles| fipronil MeSH: | Animals| Animals, Newborn| Cladocera/majr/drug effects/physiology| Motor Activity/drug effects| Pesticides/majr/chemistry/toxicity| Pyrazoles/majr/chemistry/toxicity| Reproduction/drug effects| Stereoisomerism| Toxicity Tests, Chronic</t>
  </si>
  <si>
    <t>Differential actions of insecticides on target sites: basis for selective toxicity.    ABSTRACT:  Whereas the selective toxicity of insecticides between insects and mammals has a long history of studies, it is now becoming abundantly clear that, in many cases, the differential action of insecticides on insects and mammalian target receptor sites is an important factor. In this paper, we first introduce the mechanism of action and the selective toxicity of pyrethroids as a prototype of study. Then, a more detailed account is given for fipronil, based primarily on our recent studies. Pyrethroids keep the sodium channels open for a prolonged period of time, causing elevation of the depolarizing after-potential. Once the after-potential reaches the threshold for excitation, repetitive after-discharges are produced, resulting in hyperexcitation of intoxicated animals. Only about 1% of sodium channels needs to be modified to produce hyperexcitation, indicating a high degree of toxicity amplification from sodium channels to animals. Pyrethroids were &gt;1000-fold more potent on cockroach sodium channels than rat sodium channels, and this forms the most significant factor to explain the selective toxicity of pyrethroids in insects over mammals. Fipronil, a phenylpyrazole, is known to act on the gamma-aminobutyric acid receptor to block the chloride channel. It is effective against certain species of insects that have become resistant to most insecticides, including those acting on the gamma-aminobutyric acid receptor, and is much more toxic to insects than to mammals. Recently, fipronil has been found to block glutamate-activated chloride channels in cockroach neurons in a potent manner. Since mammals are devoid of this type of chloride channel, fipronil block of the glutamate-activated chloride channel is deemed responsible, at least partially, for the higher selective toxicity to insects over mammals and for the lack of cross-resistance.  KEYWORDS:  MeSH Chemical: Chloride Channels| Insecticides| Ion Channels| Pyrazoles| Pyrethrins| Receptors, Drug| Receptors, GABA| Sodium Channel Blockers| Sodium Channels| fipronil MeSH: | Animals| Chloride Channels/antagonists &amp; inhibitors| Humans| Insecta| Insecticides/majr/toxicity| Ion Channels/majr/drug effects| Mammals| Pyrazoles/toxicity| Pyrethrins/toxicity| Receptors, Drug/majr/drug effects| Receptors, GABA/drug effects| Sodium Channel Blockers/pharmacology| Sodium Channels/drug effects| Species Specificity</t>
  </si>
  <si>
    <t>Toxicity of fipronil and its enantiomers to marine and freshwater non-targets.    ABSTRACT:  Fipronil is a phenylpyrazole insecticide used in agricultural and domestic settings for controlling various insect pests in crops, lawns, and residential structures. Fipronil is chiral; however, it is released into the environment as a racemic mixture of two enantiomers. In this study, the acute toxicity of the (S,+) and (R,-) enantiomers and the racemic mixture of fipronil were assessed using Simulium vittatum IS-7 (black fly), Xenopus laevis (African clawed frog), Procambarus clarkii (crayfish), Palaemonetes pugio (grass shrimp), Mercenaria mercenaria (hardshell clam), and Dunaliella tertiolecta (phytoplankton). Results showed that S. vittatum IS-7 was the most sensitive freshwater species to the racemic mixture of fipronil (LC50 = 0.65 microg/L) while P. pugio was the most sensitive marine species (LC50 = 0.32 microg/L). Procambarus clarkii were significantly more sensitive to the (S,+) enantiomer while larval P. pugio were significantly more sensitive to the (R,-) enantiomer. Enantioselective toxicity was not observed in the other organisms tested. Increased mortality and minimal recovery was observed in all species tested for recovery from fipronil exposure. These results indicate that the most toxic isomer of fipronil is organism-specific and that enantioselective toxicity may be more common in crustaceans than in other aquatic organisms.  KEYWORDS:  MeSH Chemical: Insecticides| Pyrazoles| Water Pollutants, Chemical| fipronil MeSH: | Animals| Astacoidea/drug effects/growth &amp; development| Biological Assay| Bivalvia/drug effects/growth &amp; development| Ecosystem| Environmental Exposure/majr| Environmental Monitoring| Insecticides/majr/chemistry/toxicity| Palaemonidae/drug effects/growth &amp; development| Phytoplankton/drug effects/growth &amp; development| Pyrazoles/majr/chemistry/toxicity| Simuliidae/drug effects/growth &amp; development| Species Specificity| Toxicity Tests/majr/methods| Water Pollutants, Chemical/majr/toxicity| Water Pollution, Chemical| Xenopus laevis/growth &amp; development</t>
  </si>
  <si>
    <t>Utilizing the assassin bug, Pristhesancus plagipennis (Hemiptera: Reduviidae), as a biological control agent within an integrated pest management programme for Helicoverpa spp. (Lepidoptera: Noctuidae) and Creontiades spp. (Hemiptera: Miridae) in cotton.    ABSTRACT:  Helicoverpa spp. and mirids, Creontiades spp., have been difficult to control biologically in cotton due to their unpredictable temporal abundance combined with a cropping environment often made hostile by frequent usage of broad spectrum insecticides. To address this problem, a range of new generation insecticides registered for use in cotton were tested for compatibility with the assassin bug, Pristhesancus plagipennis (Walker), a potential biological control agent for Helicoverpa spp. and Creontiades spp. Indoxacarb, pyriproxifen, buprofezin, spinosad and fipronil were found to be of low to moderate toxicity on P. plagipennis whilst emamectin benzoate, abamectin, diafenthiuron, imidacloprid and omethaote were moderate to highly toxic. Inundative releases of P. plagipennis integrated with insecticides identified as being of low toxicity were then tested and compared with treatments of P. plagipennis and the compatible insecticides used alone, conventionally sprayed usage practice and an untreated control during two field experiments in cotton. The biological control provided by P. plagipennis nymphs when combined with compatible insecticides provided significant (P&lt;0.001) reductions in Helicoverpa and Creontiades spp. on cotton and provided equivalent yields to conventionally sprayed cotton with half of the synthetic insecticide input. Despite this, the utilization of P. plagipennis in cotton as part of an integrated pest management programme remains unlikely due to high inundative release costs relative to other control technologies such as insecticides and transgenic (Bt) cotton varieties.  KEYWORDS:  MeSH Chemical: Insecticides MeSH: | Animals| Gossypium/majr/parasitology| Heteroptera| Insecticides/majr| Larva| Moths/majr| Nymph| Pest Control, Biological/majr| Reduviidae/majr</t>
  </si>
  <si>
    <t>Soil distribution of fipronil and its metabolites originating from a seed-coated formulation.    ABSTRACT:  Seed-coating with the insecticide fipronil has been intensively used in sunflower cultivation to control soil pests such as wireworms. A research project was undertaken to determine the soil distribution of fipronil and of its main phenylpyrazole metabolites. Under agronomic conditions, the quantity of fipronil in the seed-coat (437 microg/seed) decreased continuously during the cultivation period (3.9 microg day(-1) during the first two months; 0.3 microg day(-1) during the next four months). At the end of the cultivation period, 42% of all phenylpyrazole compounds remained in the seed-coat. Fipro nil was poorly mobile in soil, and at the end of the cultivation period it was mostly concentrated in the soil layer close to the seed (3240 microg kg(-1) soil). Starting from the seed-coating, a fipronil concentration gradient was measured in the soil, up to a distance of 11 cm from the seed. Degradation in the soil occurred at a moderate rate, probably due to the fact that water solubilization of the solid active ingredient present in the seed coating was rate limiting. Indeed, after 6 months of cultivation, only 51% of the fipronil seed-coating was found in the soil, about 7% having been absorbed by the sunflower plant, and 42% remaining in the seed coat. The predominant metabolites produced in the soil were sulfone-fipronil, sulfide-fipronil and amide-fipronil, which were produced at average rates of 5 microg kg(-1) soil day(-1), 3 microg kg(-1) soil day(-1), and 0.4 microg kg(-1) soil day(-1), respectively. In contrast, the photoproduct, desulfinyl-fipronil, was barely detected. All phenylpyrazole compounds were poorly mobile, except for the amide derivative, which is devoid of insecticidal activity in marked contrast to the other metabolites. Furthermore, detectable soil contamination was limited to a zone of about 11 cm around the seed.  KEYWORDS:  MeSH Chemical: Insecticides| Pyrazoles| Soil| Soil Pollutants| fipronil MeSH: | Environmental Monitoring| Helianthus| Insecticides/majr/analysis/metabolism| Molecular Structure| Pyrazoles/majr/analysis/metabolism| Seeds/chemistry| Soil/majr/analysis| Soil Pollutants/analysis/metabolism</t>
  </si>
  <si>
    <t>Toxicity, uptake, and transfer efficiency of fipronil in western subterranean termite (Isoptera: Rhinotermitidae).    ABSTRACT:  The potential horizontal transfer ofnonrepellent termiticides has become an important paradigm to control termites in recent years. In this study, 14C-radiolabeled fipronil was used in a series of laboratory experiments to demonstrate the extent and ability of termites to transfer lethal amounts of fipronil to unexposed nestmates. Fipronil is an active and nonrepellent termiticide against western subterranean termites, Reticulitermes hesperus Banks, on sand at relevant doses. It exhibited delayed toxicity with the lowest LD50 approximately 0.2 ng/termite expressed between day 4 and 7. Both continuous and brief exposures to fipronil-treated sand seriously impaired the termite's ability to move and respond to a dodecatrienol trail, limiting potential horizontal transfer. In tunneling studies, fipronil prevented termite tunneling at concentrations as low as 0.5 ppm and was nonrepellent even at 500 ppm. Greater than 90% mortality was recorded by day 7 with concentrations ranging from 0.5 to 500 ppm. There was a linear relationship between the time of exposure and uptake of [14C]fipronil when termites were continuously exposed to 0.5, 1.0, and 5.0 ppm for 24 h. However, uptake discontinued when the termites were immobilized. Maximum transfer of fipronil from donors to recipients occurred within the first 24 h. Fipronil was transferred by body contact and trophallaxis did not play a major role in horizontal transfer. In successive transfer studies, there was not enough fipronil on recipients for them to serve as secondary donors and kill other termites. In a linear arena study, there was an inverse relationship between the amount offipronil on dead termites and their distance from the treated zone. Maximum mortality was observed within 1.5 m from the treated zone. Results in our laboratory studies suggest that horizontal transfer was not a major factor contributing to the efficacy of fipronil in the field.  KEYWORDS:  MeSH Chemical: Insecticides| Pyrazoles| fipronil MeSH: | Animals| Behavior, Animal/drug effects| Insecticides/majr/metabolism/pharmacology| Isoptera/majr/metabolism| Pyrazoles/majr/metabolism/pharmacology| Toxicity Tests</t>
  </si>
  <si>
    <t>Insecticide toxicity and synergism by enzyme inhibitors in 18 species of pest insect and natural enemies in crucifer vegetable crops.    ABSTRACT:  The toxicities of three enzyme inhibitors and their synergistic effects on four insecticides were studied by using the dry film method on field populations of 18 species of insects collected in Jianxin and Shanjie, China, from 2003 to 2005. Meanwhile, the inhibitory effects of these enzyme inhibitors on the activities of acetylcholinesterases (AChE), carboxyesterases (CarE) and glutathione-S-transferases (GST), in vivo, were also studied. In general, triphenyl phosphate (TPP) and diethyl maleate (DEM) showed low toxicities to six herbivorous pest insects, four ladybirds and eight parasitoids. Piperonyl butoxide (PB) exhibited low toxicities to the herbivorous pest insects and ladybirds, but high toxicities to the eight parasitoids. The tolerance to the insecticides in 11 pest insects and natural enemies was mainly associated with the tolerance to PB. PB showed the highest synergism on methamidophos, fenvalerate, fipronil and avermectin in nine species of pest insects and natural enemies. In general, TPP and DEM showed significant synergisms to these four insecticides in four parasitoid species. However, in contrast to their effects on the parasitoids, the synergistic effects of TPP and DEM on the four insecticides by TPP and DEM against four pest insects and one ladybird varied depending on the insect species and enzyme inhibitor. Activity of AChE, CarE or GST could be strongly inhibited, in vivo, by PB, TPP or DEM, depending on the insect species and enzyme inhibitors. From the results obtained in this study, mixed-function oxidase (MFO) was thought to play the most critical role in insect tolerances to the tested insecticides in the field. Low competition existed in the evolution of insecticide resistance in the field populations of parasitoids, as compared with herbivorous pest insects and ladybirds. Possible causes of the high synergistic effects of PB on the four classes of insecticides, based on multiattack on the activity of CarE, GST or AChE in the insect species, are also discussed.  KEYWORDS:  MeSH Chemical: Enzyme Inhibitors| Insecticides| Maleates| Organophosphates| Pesticide Synergists| diethyl maleate| Piperonyl Butoxide| triphenyl phosphate MeSH: | Animals| China| Enzyme Inhibitors/majr/toxicity| Insecta/majr/drug effects| Insecticide Resistance| Insecticides/majr| Maleates/toxicity| Organophosphates/toxicity| Pesticide Synergists/majr/toxicity| Piperonyl Butoxide/toxicity| Toxicity Tests| Vegetables/majr/parasitology</t>
  </si>
  <si>
    <t>Development and validation of a multi-residue method for pesticide determination in honey using on-column liquid-liquid extraction and liquid chromatography-tandem mass spectrometry.    ABSTRACT:  We report on the development and validation under ISO 17025 criteria of a multi-residue confirmatory method to identify and quantify 17 widely chemically different pesticides (insecticides: Carbofuran, Methiocarb, Pirimicarb, Dimethoate, Fipronil, Imidacloprid; herbicides: Amidosulfuron, Rimsulfuron, Atrazine, Simazine, Chloroturon, Linuron, Isoxaflutole, Metosulam; fungicides: Diethofencarb) and 2 metabolites (Methiocarb sulfoxide and 2-Hydroxytertbutylazine) in honey. This method is based on an on-column liquid-liquid extraction (OCLLE) using diatomaceous earth as inert solid support and liquid chromatography (LC) coupled to mass spectrometry (MS) operating in tandem mode (MS/MS). Method specificity is ensured by checking retention time and theoretical ratio between two transitions from a single precursor ion. Linearity is demonstrated all along the range of concentration that was investigated, from 0.1 to 20 ng g(-1) raw honey, with correlation coefficients ranging from 0.921 to 0.999, depending on chemicals. Recovery rates obtained on home-made quality control samples are between 71 and 90%, well above the range defined by the EC/657/2002 document, but in the range we had fixed to ensure proper quantification, as levels found in real samples could not be corrected for recovery rates. Reproducibility is found to be between 8 and 27%. Calculated CCalpha and CCbeta (0.0002-0.943 ng g(-1) for CCalpha, and 0.0002-1.232 ng g(-1) for CCbeta) show the good sensitivity attained by this multi-residue analytical method. The robustness of the method has been tested in analyzing more than 100 raw honey samples collected from different areas in Belgium, as well as some wax and bee samples, with a slightly adapted procedure.  KEYWORDS:  MeSH Chemical: Pesticide Residues MeSH: | Chromatography, Liquid/majr/methods| Honey/majr/analysis| Pesticide Residues/majr/analysis| Reproducibility of Results| Sensitivity and Specificity| Tandem Mass Spectrometry/majr/methods</t>
  </si>
  <si>
    <t>Dorsal unpaired median neurons of locusta migratoria express ivermectin- and fipronil-sensitive glutamate-gated chloride channels.    ABSTRACT:  Together with type A GABA and strychnine-sensitive glycine receptors, glutamate-gated chloride channels (GluCl) are members of the Cys-loop family of ionotropic receptors, which mediate fast inhibitory neurotransmission. To date, GluCls are found in invertebrates only and therefore represent potential specific targets for insecticides, such as ivermectin and fipronil. In this study, we identified the functional expression of GluCls in dorsal unpaired median (DUM) neurons of the metathoracic ganglion of Locusta migratoria using electrophysiological and molecular biological techniques. In whole cell patch-clamped DUM neurons, glutamate-induced changes in both their membrane potentials (current-clamp) and currents (voltage-clamp) were dependent on the chloride equilibrium potential. On continuous application of glutamate, the glutamate-elicited current response became rapidly and completely desensitized. Application of glutamate in the presence of 10 microM fipronil or 100 microM picrotoxin reversibly decreased GluCl-mediated currents by 87 and 39%, respectively. Furthermore, 1 microM ivermectin induced a persistent chloride current, suggesting the expression of ivermectin-sensitive GluCl alpha subunits. A degenerate PCR/RACE strategy was used to clone the full-length L. migratoria LmGlClalpha subunit. Finally, RT-PCR experiments demonstrated the presence of LmGluClalpha transcripts in locust DUM neurons. Our results provide the first direct evidence of a functional ivermectin-sensitive GluCl channel on the cell surface of DUM neurons of L. migratoria.  KEYWORDS:  MeSH Chemical: Chloride Channels| DNA, Complementary| Insecticides| Pyrazoles| Glutamic Acid| Ivermectin| fipronil MeSH: | Algorithms| Amino Acid Sequence| Animals| Chloride Channels/majr/biosynthesis/drug effects/genetics| Cloning, Molecular| DNA, Complementary/biosynthesis/genetics| Data Interpretation, Statistical| Ganglia, Invertebrate/cytology/drug effects/physiology| Glutamic Acid/majr/physiology| Insecticides/majr/pharmacology| Ion Channel Gating/majr/drug effects| Ivermectin/majr/pharmacology| Kinetics| Locusta migratoria/majr/physiology| Molecular Sequence Data| Neurons/majr/drug effects/metabolism| Patch-Clamp Techniques| Pyrazoles/majr/pharmacology| Reverse Transcriptase Polymerase Chain Reaction</t>
  </si>
  <si>
    <t>Functional characterization of Musca glutamate- and GABA-gated chloride channels expressed independently and coexpressed in Xenopus oocytes.    ABSTRACT:  Ligand-gated chloride channels (LGICs) are important targets for insecticides and parasiticides. Genes encoding subunits of two LGICs, a glutamate-gated chloride channel (MdGluCl-alpha) and a gamma-aminobutyric acid (GABA)-gated chloride channel (MdRdl), were cloned from house-flies (Musca domestica L.). These genes were first expressed independently in Xenopus laevis oocytes by cRNA injection in order to investigate the pharmacology of these ligand-gated channels using two-electrode voltage-clamp electrophysiology. It was found that L-glutamate and GABA activated the MdGluCl-alpha homo-oligomers with an EC(50) value of 30 microM and the MdRdl homo-oligomers with an EC(50) value of 101 microM, respectively. Both channels were chloride ion-permeable, and the MdRdl channel was more sensitive to chloride channel blockers, such as gamma-hexachlorocyclohexane (gamma-HCH), fipronil and picrotoxinin, than the MdGluCl-alpha channel. MdGluCl-alpha required only 1-2 days of incubation after cRNA injection to be expressed in oocytes, whereas 4-7 days of incubation was necessary to achieve MdRdl expression. However, when the cRNA of MdGluCl-alpha was injected at a dose of 1% (w/w) 1 day after the injection of the cRNA of MdRdl, a significant increase in the current amplitude of responses to GABA was observed, and the incubation period necessary for MdRdl expression became shorter. These results suggest that MdGluCl-alpha assists in the expression of MdRdl when the two are coexpressed.  KEYWORDS:  MeSH Chemical: Antiparasitic Agents| Chloride Channel Agonists| Chloride Channels| DNA, Complementary| GABA Agonists| GABA Antagonists| Glutamates| Pyrazoles| RNA, Complementary| glutamate-gated chloride channels| Picrotoxin| gamma-Aminobutyric Acid| Hexachlorocyclohexane| picrotoxinin| fipronil MeSH: | Animals| Antiparasitic Agents/pharmacology| Chloride Channel Agonists| Chloride Channels/majr/antagonists &amp; inhibitors/chemistry/metabolism| Cloning, Molecular| DNA, Complementary/metabolism| Dose-Response Relationship, Drug| GABA Agonists/pharmacology| GABA Antagonists/pharmacology| Gene Expression/majr| Glutamates/pharmacology| Hexachlorocyclohexane/pharmacology| Ion Channel Gating/majr/drug effects| Muscidae/majr/metabolism| Oocytes/majr/drug effects/metabolism| Picrotoxin/analogs &amp; derivatives/pharmacology| Protein Structure, Quaternary/drug effects| Pyrazoles/pharmacology| RNA, Complementary/metabolism| Xenopus laevis/majr| gamma-Aminobutyric Acid/majr/metabolism/pharmacology</t>
  </si>
  <si>
    <t>Degradation of fipronil under laboratory conditions in a tropical soil from sirinhaém pernambuco, Brazil.    ABSTRACT:  The objective of this research was to assess the degradation of fipronil [5-amino-1-(2,6-dichloro-alpha,alpha,alpha -trifluoro-p-tolyl)-4-trifluoromethylsulfinylpyrazole-3-carbonitrile] in soils from sugar cane fields in Northeastern Brazil. Degradation experiments were carried out under laboratory conditions (controlled temperature and in the dark), where sterile and non-sterile soils (Ustoxs) were incubated [under moisture content of 55% of the water holding capacity (WHC)] and analyzed for fipronil disappearance and metabolite formation. Microbial communities present in the soil degrade fipronil. However, biodegradation seems to be dependent on the bioavailability of the fipronil and the half-life according to the zero-order model. Fipronil degradation rate appeared to be biphasic. Degradation fipronil ranged from 83 days (initial concentration = 978 ng g(-1); short-term experiment) to 200 days (initial concentration = 689 ng g(-1); long-term experiment). This an initial slower rate followed by a faster rate after 90 days of incubation may lead to shorter half-life than that calculated with the zero-order model. The sulfone derivative (an oxidation product) was the predominant metabolite, but the sulfide (a reduction product) and amide (a hydrolysis product) derivatives were also formed under non-sterile conditions after 120 days of incubation. The metabolites underwent further biodegradation, particularly the sulfone derivative. Bioavailability appears to affect fipronil degradation in soils with an effective capacity to adsorb fipronil (such as Ustoxs), while redox potential was important for the formation of metabolites. Despite the fine texture, more aerobic sites were present, thus favoring the formation of the sulfone metabolite over that of the sulfide metabolite. Therefore, microaggregation of Ustoxs, with high clay content, played a very important role in determining the types of metabolites formed.  KEYWORDS:  MeSH Chemical: Insecticides| Pyrazoles| Soil Pollutants| fipronil MeSH: | Agriculture| Bacteria/majr/metabolism| Biodegradation, Environmental| Biological Availability| Brazil| Insecticides/majr/chemistry| Kinetics| Pyrazoles/majr/chemistry| Soil Microbiology/majr| Soil Pollutants/majr/analysis| Time Factors| Tropical Climate</t>
  </si>
  <si>
    <t>Fipronil induces CYP isoforms and cytotoxicity in human hepatocytes.    ABSTRACT:  Recent studies have demonstrated the potential of pesticides to either inhibit or induce xenobiotic metabolizing enzymes in humans. Exposure of human hepatocytes to doses of fipronil (5-amino-1-[2,6-dichloro-4-(trifluoromethyl)phenyl]-4-[(trifluoromethyl) sulfinyl]-1H-pyrazole-3-carbonitrile) ranging from 0.1 to 25 microM resulted in a dose dependent increase in CYP1A1 mRNA expression (3.5 to approximately 55-fold) as measured by the branched DNA assay. In a similar manner, CYP3A4 mRNA expression was also induced (10-30-fold), although at the higher doses induction returned to near control levels. CYP2B6 and 3A5 were also induced by fipronil, although at lower levels (2-3-fold). Confirmation of bDNA results were sought through western blotting and/or enzyme activity assays. Western blots using CYP3A4 antibody demonstrated a dose responsive increase from 0.5 to 1 microM followed by decreasing responses at higher concentrations. Similar increases and decreases were observed in CYP3A4-specific activity levels as measured using 6beta-hydroxytestosterone formation following incubation with testosterone. Likewise, activity levels for a CYP1A1-specific substrate, luciferin CEE, demonstrated that CYP1A1 enzyme activities were maximally induced by 1 microM fipronil followed by dramatically declining activity measurements at 10 and 25 microM. Cytotoxic effects of fipronil and fipronil sulfone were examined using the adenylate kinase and the trypan blue exclusion assays in HepG2 cells and human hepatocytes. The results indicate both that HepG2 cells and primary human hepatocytes are sensitive to the cytotoxic effects of fipronil. The maximum induction of adenylate kinase was ca. 3-fold greater than the respective controls in HepG2 and 6-10-fold in the case of primary hepatocytes. A significant time- and dose-dependent induction of adenylate kinase activity in HepG2 cells was noted from 0.1 to 12.5 microM fipronil followed by decreasing activities at 25 and 50 microM. For fipronil sulfone, cytotoxic effects increased throughout the dose range. The trypan blue assay indicated that cytotoxic effects contributing to an increase of greater than 10% of control values was indicated at doses above 12.5 microM. However, fipronil sulfone induced cytotoxic effects at lower doses. The possibility that cytotoxic effects were due to apoptosis was indicated by significant time- and dose-dependent induction of caspase-3/7 activity in both HepG2 cells and human hepatocytes. Fipronil mediated activation of caspase-3/7 in concurrence with compromised ATP production and viability are attributed to apoptotic cell death.  KEYWORDS:  MeSH Chemical: FAS protein, human| Isoenzymes| Pyrazoles| RNA, Messenger| fas Receptor| Sulfur| Cytochrome P-450 Enzyme System| Caspase 3| Caspase 7| fipronil MeSH: | Caspase 3/metabolism| Caspase 7/metabolism| Cell Survival/drug effects| Cells, Cultured| Cytochrome P-450 Enzyme System/majr/genetics/metabolism| Enzyme Induction/drug effects| Gene Expression Regulation| Hepatocytes/majr/drug effects/enzymology| Humans| Isoenzymes/genetics/metabolism| Pyrazoles/majr/chemistry/pharmacology| RNA, Messenger/genetics| Sulfur/chemistry| Transcription, Genetic/genetics| fas Receptor/metabolism</t>
  </si>
  <si>
    <t>Genetic basis for resistance to gel baits, fipronil, and sugar-based attractants in German cockroaches (Dictyoptera: blattellidae).    ABSTRACT:  A gel bait-resistant Blattella germanica (L.) strain (Cincy) was collected in Cincinnati, OH, in 2003. This strain exhibited strong behavioral resistance to Avert (0.05% abamectin), Maxforce FC (0.01% fipronil), and Pre-Empt (2.15% imidacloprid) gel baits. Reciprocal mass crosses and back crosses between the Cincy strain and a susceptible strain (Jwax) were made and tested for their inheritance of resistance to Avert, Maxforce FC, and Pre-Empt gel baits. Topical assays comparing the parental and reciprocal-heterozygous strains indicated the resistance to fipronil was incompletely recessive. LD50 and LD50 values of the Jwax male x Cincy female strain were not significantly different from he Jwax female x Cincy male strain, suggesting no sex linkage in physiological fipronil resistance. Feeding assays revealed that F1 reciprocal crosses were significantly less responsive to blank Avert and Maxforce FC baits (without active ingredients) than the susceptible strain. The Jwax female x Cincy male strain did not display significantly greater consumption of blank Avert and Maxforce FC baits relative to the Jwax male x Cincy female strain. In feeding assays with agar containing D-fructose, D-galactose, D-glucose, D-lactose, D-maltose, and D-sucrose, the crosses showed an intermediate feeding response to glucose compared with the Cincy and Jwax strains, and a similar response to other sugars compared with the Jwax strain. The Jwax male x Cincy female strain was significantly less responsive to glucose than the Jwax female x Cincy male strain. Mortality induced by Avert, Maxforce FC, and Pre-Empt gel baits against the F6 Jwax male x Cincy femaale strain was 44.2 +/- 6.8, 92.9 +/- 2.1, and 78.7 +/- 5.2%, respectively, indicating the resistance to Avert and Pre-Empt gel baits inherited by Cincy females was extremely stable. The F6 Jwax male x Cincy female strain was significantly more resistant to Avert, Maxforce FC, and Pre-Empt than the F6 Jwax female x Cincy male strain. These findings suggest that behavioral resistance to gel baits has weak sex-linkage, with a greater degree of the resistance trait being inherited by female cockroaches. Alternatively, physiological resistance to fipronil has no sex-linkage, but it is nonetheless important to the complete resistance phenotype.  KEYWORDS:  MeSH Chemical: Insecticides| Pyrazoles| fipronil MeSH: | Animals| Blattellidae/majr/genetics/physiology| Feeding Behavior/majr/physiology| Female| Insecticide Resistance/majr/genetics| Insecticides/administration &amp; dosage| Male| Pyrazoles</t>
  </si>
  <si>
    <t>Comparison of the activity of selamectin, imidacloprid and fipronil for the treatment of cats infested experimentally with Ctenocephalides felis felis and Ctenocephalides felis strongylus.    ABSTRACT:  Twenty adult, domestic short hair cats were randomly allocated into four groups of five cats and housed in separated cages. Each cat was infested with 25 fleas Ctenocephalides felis felis and 25 Ctenocephalides felis strongylus and 2 days later (day 0) the cats in group 1, 2 and 3 received a spot on application of selamectin, imidacloprid or fipronil, respectively, while the cats in group four were not treated. The cats were combed 48 h later, the fleas were removed, counted and their subspecies were determined. All the cats were reinfested with the same number of the two subspecies of fleas on days 7, 14, 21, 29 and 35. The efficacy of each treatment was calculated 48 h after each infestation. The mean number of fleas on the control cats was 16.4 C. f. felis and 13.4 C. f. strongylus. The three treatments were effective for the first 31 days for C. f. felis and for the full 37 days for C. f. strongylus. Over the first 31 days, the efficacy of selamectin ranged from 89 to 100% and 85 to 100% against C. f. felis and C. f. strongylus, respectively, the efficacy of imidacloprid ranged from 76 to 100% and 92 to 100% and the efficacy of fipronil ranged from 98 to 100% and 97 to 100% against C. f. felis and C. f. strongylus. There were no significant differences between the control of C. f. felis and C. f. strongylus by the three products.  KEYWORDS:  MeSH Chemical: Imidazoles| Insecticides| Neonicotinoids| Nitro Compounds| Pyrazoles| imidacloprid| Ivermectin| selamectin| fipronil MeSH: | Animals| Cat Diseases/majr/drug therapy| Cats| Cross-Over Studies| Ectoparasitic Infestations/majr/drug therapy/veterinary| Female| Imidazoles/pharmacology| Insecticides/majr/pharmacology| Ivermectin/analogs &amp; derivatives/pharmacology| Male| Neonicotinoids| Nitro Compounds| Pyrazoles/pharmacology| Siphonaptera/majr/drug effects| Time Factors| Treatment Outcome</t>
  </si>
  <si>
    <t>Persistence and movement of fipronil termiticide with under-slab and trenching treatments.    ABSTRACT:  To have an effective barrier against invading termites around building structures and to assess the potential risks to the urban environment and human beings, we need to understand the fate of termiticides applied in urban soil. The movement and degradation of a new termiticide, fipronil, were investigated in Australian soils following standard termiticide treatment methods (surface application under slab and trenching treatments along walls). Surface application studies in three field sites showed slow dissipation and little movement for fipronil in all three soils under the simulated slab during a three-year period. The greatest mass of the chemical residues remained in the quartzite sand layer (thickness, 5 cm), and only small amounts of these were found to have migrated into the soil layers (depth, 0-15 cm) underneath the quartzite sand layer. Of the three metabolites (desulfinyl, sulfide, and sulfone) found in the soils, the sulfone derivative had the highest concentration. Persistence of fipronil was affected by application rate. The time for 50% loss of the total toxic components (fipronil plus its metabolites) in the quartzite sand layer (thickness, 5 cm) ranged from 200 to 326 d for the low rate (0.15 g active ingredient/m2) and from 633 to 674 d for the high application rate (3 g active ingredient/m2). One-year trenching studies at two sites in Adelaide (Roseworthy Farm [RF] and Terretfield [TF]; South Australia, Australia) showed that vertical movement and dissipation of fipronil occurred in the soils. The average concentration of fipronil in the trenches (depth, 0-30 cm) decreased from 33.7 to 14.9 mg/kg in the loam soil at the RF site and from 39.4 to 14.6 mg/kg in the clay soil at the TF site over the year. With time under the natural weather condition, fipronil and its derivatives were found in the deeper soil sections without treatment (depth, 20-30 cm). However, laboratory studies using repacked soil columns showed low mobility in the loam soil from the RF site and a variably charged clay soil from Malanda (Queensland, Australia) under intermittent wetting and drying conditions.  KEYWORDS:  MeSH Chemical: Insecticides| Pyrazoles| fipronil MeSH: | Animals| Insecticides/majr/chemistry| Isoptera| Pyrazoles/majr/chemistry</t>
  </si>
  <si>
    <t>Genetics and evidence for an esterase-associated mechanism of resistance to indoxacarb in a field population of diamondback moth (Lepidoptera: Plutellidae).    ABSTRACT:  Bioassays (at generation G2) with a newly collected field population (designated CH3) of Plutella xylostella L. from farmers' fields in the Cameron Highlands, Malaysia, indicated resistance ratios of 813-, 79-, 171-, 498- and 1285-fold for indoxacarb, fipronil, spinosad, deltamethrin and Bacillus thuringiensis toxin Cry1Ac respectively compared with a laboratory susceptible population (Lab-UK). At G2 the field-derived population was divided into two subpopulations: one was selected (G2 to G7) with indoxacarb (indoxa-SEL), while the second was left unselected (UNSEL). A significant reduction in the resistance ratio for each compound was observed in UNSEL at G8. For indoxa-SEL, bioassays at G8 found that selection with indoxacarb gave a resistance ratio of 2594 compared with Lab-UK and of 90 compared with UNSEL. The toxicity of fipronil, spinosad and deltamethrin was not significantly different in indoxa-SEL at G8 compared with G2 but was significantly greater than UNSEL at G8. The toxicity of Cry1Ac was significantly reduced in indoxa-SEL at G8 compared with G2 but was also significantly greater than UNSEL at G8. This suggests that indoxacarb selection maintained resistance to these compounds in the indoxa-SEL population. Synergist studies indicated that resistance to indoxacarb in indoxa-SEL was esterase associated. Logit regression analysis of F1 reciprocal crosses between indoxa-SEL and Lab-UK indicated that resistance to indoxacarb was inherited as an autosomal, incompletely recessive (D(LC) = 0.35) trait. Tests of monogenic inheritance suggested that resistance to indoxacarb was controlled by a single locus.Copyright (c) 2006 Society of Chemical Industry.  KEYWORDS:  MeSH Chemical: Insecticides| Oxazines| indoxacarb| Esterases MeSH: | Animals| Esterases/majr/metabolism| Inheritance Patterns| Insecticide Resistance/majr/genetics/physiology| Insecticides/majr/metabolism| Lethal Dose 50| Moths/majr/enzymology/genetics| Oxazines/majr/metabolism| Selection, Genetic</t>
  </si>
  <si>
    <t>Assessment of the efficacy of parasiticides for the control of tick infection in dogs under field conditions: what's new?    ABSTRACT:  For their biological and ecological characteristics, ticks are vectors of the widest variety of pathogens causing tick-borne diseases (TBDs). Little information is available about the ways in which time spent by ticks to feed on hosts, transmission times and TBD prevention are related and it is exclusively limited to laboratory reports on adult stages. In particular, the time required by immature stages to transmit pathogens has not been determined for most TBDs. Considering their importance for animal and human health, effective control of immature ticks is advisable to reduce the damage ticks cause. Recently, the efficacy of a combination of imidacloprid 10%/permethrin 50% was compared with that of fipronil 10%/S-methoprene 9% against ticks when administered to naturally infected dogs. A semi-quantitative method was used to assess the methodological parameters to calculate drug efficacy on immature stages. On adult ticks, the efficacy of both products was high and overall very similar, whereas for the immature stages the combination of imidacloprid 10% and permethrin 50% had a higher efficacy than fipronil 10% and methoprene 9% throughout the observation period (statistically significant difference on day + 28 only). The semi-quantitative method proposed for the evaluation of immature stages can be considered a useful tool for calculating the efficacy of a drug in the field. Due the important role of immatures in the spread of TBDs, the immature tick load should be calculated to assess the efficacy of acaricidal products both under laboratory and field conditions.  KEYWORDS:  MeSH Chemical: Drug Combinations| Imidazoles| Insecticides| Neonicotinoids| Nitro Compounds| Pyrazoles| imidacloprid| Permethrin| Methoprene| fipronil MeSH: | Animals| Bites and Stings/prevention &amp; control| Dog Diseases/majr/drug therapy/parasitology| Dogs/parasitology| Drug Combinations| Drug Evaluation| Female| Imidazoles/administration &amp; dosage/therapeutic use| Insecticides/majr/therapeutic use| Male| Methoprene/administration &amp; dosage/therapeutic use| Neonicotinoids| Nitro Compounds| Permethrin/administration &amp; dosage/therapeutic use| Pyrazoles/administration &amp; dosage/therapeutic use| Rhipicephalus sanguineus/drug effects/growth &amp; development| Tick Infestations/majr/drug therapy/veterinary| Tick-Borne Diseases/majr/prevention &amp; control/transmission/veterinary| Ticks/majr/drug effects/growth &amp; development| Time Factors</t>
  </si>
  <si>
    <t>Phototransformation of the insecticide fipronil: identification of novel photoproducts and evidence for an alternative pathway of photodegradation.    ABSTRACT:  Fipronil is a recently discovered insecticide of the phenylpyrazole series. It has a highly selective biochemical mode of action, which has led to its use in a large number of important agronomical, household, and veterinary applications. Previous studies have shown that, during exposure to light, fipronil is converted into a desulfurated derivative (desulfinyl-fipronil), which has slightly reduced insecticidal activity. In this study, the photodegradation of fipronil was studied in solution at low light intensities (sunlight or UV lamp). In addition to desulfinyl-fipronil, a large number of minor photoproducts were observed, including diversely substituted phenylpyrazole derivatives and aniline derivatives that had lost the pyrazole ring. Desulfinylfipronil itself was shown to be relatively stable under both UV light and sunlight, with only limited changes occurring in the substitution of the aromatic ring. Since this compound accumulated to levels corresponding to only 30-55% of the amount of fipronil degraded, it was concluded that one or more alternative pathways of photodegradation must be operating. On the basis of the structurally identified photoproducts, it is proposed that fipronil photodegradation occurs via at least two distinct pathways, one of which involves desulfuration at the 4-position of the pyrazole ring giving the desulfinyl derivative and the other of which involves a different modification of the 4-substituent, leading to cleavage of the pyrazole ring and the formation of aniline derivatives. The latter compounds do not accumulate to high levels and may, therefore, be degraded further. The ecological significance of these results is discussed, particularly with regard to the insecticidal activity of the photoproducts.  KEYWORDS:  MeSH Chemical: Aniline Compounds| Insecticides| Pyrazoles| Sulfides| fipronil MeSH: | Aedes| Aniline Compounds/chemistry| Animals| Gas Chromatography-Mass Spectrometry| Insecticides/majr/chemistry/radiation effects| Kinetics| Light/majr| Pyrazoles/majr/chemistry/radiation effects/toxicity| Sulfides/chemistry| Toxicity Tests| Ultraviolet Rays/majr</t>
  </si>
  <si>
    <t>[An experimental study on acute poisoning by fipronil in mice and its pharmaceutical therapy].    ABSTRACT:  To investigate the toxicity of fipronil in mice and the therapeutic effects of diazepam and phenobarbital sodium.Mice were administered by gastric tube with fipronil at six doses and their behavioral changes, pathological changes in their major viscera under light and electron microscopy and deaths were observed after acute poisoning. Distribution and quantity of nerve cells positive in glutamic acid (Glu) or gamma-aminobutyric acid (gamma-GABA) in the brain of mice were detected by immunohistochemical methods and micro-image analysis. The time of death time and survival rate were observed and compared between the varied groups of mice injected intraperitoneally with diazepam and phenobarbital sodium, respectively, 0.5 h after poisoning by fipronil at dose of 90 mg/kg.All the mice acutely poisoned by fipronil at varied doses showed some exciting symptoms in the central nervous system (CNS), including convulsion. Nuclear membrane space slightly expanded, neuroglia cells vacuolized and nerve fiber demyelinated under electron microscopy. The number and area of cells positive in Glu in the cerebral cortex of mice acutely poisoned by fipronil increased significantly, as compared to those in control mice. There was no significant difference in the number and area of cells positive in gamma-GABA in the hippocampal CA(1) region between poisoned and normal control groups. Survival rate of mice treated with diazepam or phenobarbital sodium was 58 percent.Mice with acute poisoning by fipronil appeared exciting symptoms in CNS, leading to damage in its nerve cells. Immunohistochemical techniques showed the damage could be related with the over-expression of glutamate transmitter in CNS. Early use of diazepam or phenobarbital sodium in treatment for acutely poisoned mice by fipronil could get better therapeutic efficacy.  KEYWORDS:  MeSH Chemical: Pyrazoles| Glutamic Acid| gamma-Aminobutyric Acid| fipronil MeSH: | Acute Disease| Animals| Cerebral Cortex/chemistry| Female| Glutamic Acid/metabolism| Male| Mice| Mice, Inbred ICR| Poisoning/drug therapy| Pyrazoles/majr/poisoning| gamma-Aminobutyric Acid/metabolism</t>
  </si>
  <si>
    <t>Investigation of resistance mechanisms to fipronil in diamondback moth (Lepidoptera: Plutellidae).    ABSTRACT:  The SZ-F strain of Plutella xylostella (L.) (Lepidoptera: Plutellidae) was derived from a field-collected strain (SZ) by 20 generations of continuous selection with fipronil. The selection resulted in 300-fold increase in resistance to fipronil, and 3.5- and 6.5-fold cross-resistance to dieldrin and endosulfan, respectively, in the SZ-F strain compared with the unselected SZ strain. Analysis of detoxification enzyme activities and bioassay with synergists indicated that metabolic mechanisms are not important to fipronil resistance of the SZ-F strain and that the fipronil resistance is most likely attributed to target site insensitivity. The genomic DNA fragments flanking the second membrane-spanning region of Rdl gamma-aminobutyric acid (GABA) receptor gene from P. xylostella, PxRdl, were cloned and sequenced. A single allele of the PxRdl gene (encoding A302 or allele PxRdl-Ala) was found in both the Roth (susceptible) and SZ strains. In addition to the wild-type allele PxRdl-Ala, the resistant SZ-F strain carried a mutant PxRdl allele with the conserved amino acid replacement A302(GGC)--&gt; S302(TCC) (allele PxRdl-Ser). The mutant PxRdl-Ser allele frequency in the SZ-F strain was 30%. After treatment of 20 mg/l fipronil on the SZ-F strain, the PxRdl-Ser allele frequency in the survivors increased to 57%. High frequency of the PxRdl-Ala allele remaining in the resistant SZ-F strain suggested that the A302S mutation in the PxRdl gene is partially associated with fipronil resistance and that other mutation(s) in the PxRdl gene or other Rdl-like subunit(s) may contribute to fipronil resistance.  KEYWORDS:  MeSH Chemical: Insecticides| Pyrazoles| Serine| Dieldrin| Alanine| Endosulfan| fipronil MeSH: | Alanine| Alleles| Amino Acid Substitution| Animals| Base Sequence| Dieldrin| Endosulfan| Insecticide Resistance/majr/genetics/physiology| Insecticides/majr/pharmacology| Molecular Sequence Data| Moths/majr/drug effects/physiology| Mutation, Missense| Pyrazoles/majr/pharmacology| Sequence Analysis, DNA| Serine</t>
  </si>
  <si>
    <t>Comparative study of integrated pest management and baiting for German cockroach management in public housing.    ABSTRACT:  This study assessed the cost and effectiveness of a building-wide cockroach integrated pest management (IPM) program compared with bait alone treatment in public housing. In total, 12 buildings (66 apartments) were treated and monitored for cockroach infestations over 7 mo. The buildings were divided into two groups: bait treatment and IPM. Apartments in the bait alone group were treated with Maxforce FC Select (0.01% fipronil) during the first 12 wk and Maxforce Roach Killer Bait Gel (2.15% hydramethylnon) from 16 wk when necessary. For the IPM group, cockroaches were flushed and vacuumed at the beginning of the study; sticky traps were placed in all apartments to monitor and reduce cockroach numbers; educational materials were delivered to the residents; and Maxforce FC Select and Maxforce Roach Killer Bait Gel were applied to kill cockroaches. Two seminars were presented to the manger, and Community Service Program staff of the Gary Housing Authority to help gain tenant cooperation in the program. Effects of the treatments were monitored using sticky traps (six per apartment) at 2, 4, 8, 12, 16, and 29 wk after treatment. More treatments were applied during each monitoring visit when necessary. Those apartments with high levels of infestations (&gt; or =12 cockroaches in six traps) before treatment were used to compare the IPM and bait only treatments. IPM resulted in significantly greater trap catch reduction than the bait treatment. The IPM (n=12) and bait only treatment (n=11) resulted in 100.0 and 94.6%, respectively, reduction in trap catch after 16 wk. At 29 wk, only one apartment in the IPM group had a high level (&gt;12 cockroaches) of cockroach infestation. In contrast, five apartments in the bait treatment group had high level infestations at 29 wk based on overnight trapping counts; thus, IPM is a more sustainable method of population reduction. Sanitation levels in the IPM group significantly improved at 29 wk (n=11) compared with that at the beginning of the study. The sanitation levels in the bait treatment group remained similar throughout the experiment (n=9). The cumulative cost of IPM was significantly higher than that of the bait treatment. The median costs per apartment during 29 wk were 64.8 dollars and 35.0 dollars for the IPM and bait treatment, respectively. The median amount of bait used per apartment in the IPM and bait treatment was 45.0 and 50.0 g, respectively. The cost of the IPM group for the 29 wk service was similar to that of the bait treatment group. We expect that IPM will provide better control at similar cost compared with bait treatment beyond 29 wk.  KEYWORDS:  MeSH Chemical: Insecticides| Pyrazoles| Pyrethrins| Pyrimidinones| hydramethylnon| Piperonyl Butoxide| fipronil MeSH: | Animals| Blattellidae/majr| Insect Control/majr/economics/methods| Insecticides| Piperonyl Butoxide| Public Housing| Pyrazoles| Pyrethrins| Pyrimidinones| Sanitation</t>
  </si>
  <si>
    <t>Toxicity, repellency, and transfer of chlorfenapyr against western subterranean termites (Isoptera: Rhinotermitidae).    ABSTRACT:  Chlorfenapyr is a slow-acting insecticide against western subterranean termite, Reticulitermes hesperus Banks, when applied to sand. The LD50 at day 7 for workers is 29.98 ng per termite and considerably higher than that of chlorpyrifos (14.01), cypermethrin (3.21), and fipronil (0.16). Brief exposures to sand treated with chlorfenapyr resulted in dose-dependent mortality over a broad range of concentrations. Brief 1-h exposures to &gt; or =75 ppm provided &gt;88% kill of termites at day 7. Chlorfenapyr deposits did not repel termites, even at 300 ppm. Termites tunneled from 0.1 to 1.8 cm into sand treated with 10- to 300-ppm chlorfenapyr deposits, resulting in &gt; or =70% mortality. Within 1 h after being exposed to 50 ppm chlorfenapyr, approximately 17% of the termites exhibited impaired responses to synthetic trail pheromone. By 4 h, nearly 60% of the workers were not able to follow a 10 fg/cm pheromone trail. There was a direct linear relationship of the uptake of [14C]chlorfenapyr as concentration and duration of exposure increased. The percentage of chlorfenapyr transferred to recipients varied from 13.3 to 38.4%. Donors exposed for 1 h transferred a greater percentage of chlorfenapyr than did donors exposed for 4 h. A 1-h exposure on 100-ppm deposits provided sufficient uptake to kill 100% of the donors and sufficient transfer to kill 96% of the recipients. There was not enough transfer for recipients to serve as secondary donors and kill other termites. Horizontal transfer is limited to contact with the original donor and by the decreased mobility of workers within 4-8 h after exposure to treated sand. The effectiveness of chlorfenapyr barrier treatments is primarily due to its nonrepellency and delayed toxicity.  KEYWORDS:  MeSH Chemical: Carbon Radioisotopes| Insecticides| Pyrethrins| Soil| chlorfenapyr MeSH: | Animals| Behavior, Animal/majr| Carbon Radioisotopes| Insecticides/majr| Isoptera/majr| Pyrethrins/majr| Soil| Time Factors</t>
  </si>
  <si>
    <t>An in vivo rodent model for identifying and characterizing acaricides.    ABSTRACT:  Evaluation of candidate acaricides in livestock or companion animals is expensive, time-consuming, and usually requires large quantities of test material. To identify promising substances at the earliest possible stage of the development process, robust and predictive surrogate animal models, capable of rapidly characterizing potency with minimal compound requirements, are necessary. The objective of this study was to generate an in vivo surrogate animal bioassay capable of rapidly and accurately predicting the topical activity of acaricides emerging from in vitro acaricide bioassays. The rat acaricide test (RAT) requires adult rats, Rattus norvegicus (Berkenhout, 1769), a flexible tick containment device fastened to their dorso-thoracic region, and the nymphal stage of the lone star tick, Amblyomma americanum (L.). The feeding kinetics of A. americanum nymphs on rats was assessed, and compound efficacies were determined by measuring tick survivorship and engorgement weight on acaricide-treated animals. Results from this bioassay demonstrated efficacy with fipronil, ivermectin, permethrin, and chlorpyrifos, and dose-response relationships for each acaricide were determined. The rank order of potencies was fipronil &gt; ivermectin &gt; chlorpyrifos = permethrin for nymphal mortality and fipronil &gt; ivermectin &gt; chlorpyrifos &gt; permethrin for inhibition of nymphal engorgement. The activity of permethrin against nymphs in the RAT was positively correlated with potency values for technical and commercial permethrin formulations against adult A. americanum infestations on cattle. The RAT proved to be an economical, rapid surrogate animal bioassay that together with the in vitro acaricide bioassay can be used for the rapid identification, characterization, and prioritization of candidate acaricides.  KEYWORDS:  MeSH Chemical: Insecticides| Pyrazoles| Permethrin| Ivermectin| Chlorpyrifos| fipronil MeSH: | Animals| Cattle| Chlorpyrifos| Dose-Response Relationship, Drug| Female| Insecticides/majr/administration &amp; dosage| Ivermectin| Models, Animal/majr| Nymph| Permethrin| Pyrazoles| Rats| Rats, Sprague-Dawley| Ticks/majr</t>
  </si>
  <si>
    <t>Bioaccumulation, biotransformation, and metabolite formation of fipronil and chiral legacy pesticides in rainbow trout.    ABSTRACT:  To assess the fate of current-use pesticides, it is important to understand their bioaccumulation and biotransformation by aquatic biota. We examined the dietary accumulation and enantioselective biotransformation of the chiral current-use pesticide fipronil, along with a mixture of selected chiral [alpha-hexachlorocyclohexane (alpha-HCH), heptachlor epoxide (HEPX), polychlorinated biphenyls (PCBs) 84, 132, 174, o,p'-DDT, and o,p'-DDD] and nonchiral (p,p'-DDT, p,p'-DDD) organochlorine compounds in juvenile rainbow trout (Oncorhynchus mykiss). Fish rapidly accumulated all compounds, as measured in the carcass (whole body minus liver and GI tract) during the 32 d uptake phase, which was followed by varying elimination rates of the chemicals (half-lives (t1/2s) ranging from 0.6 d for fipronil to 77.0 d for PCB 174) during the 96 d depuration period. No biotransformation was observed for alpha-HCH, HEPX, PCB 174, o,p'-DDT, or o,p'-DDD based on consistent enantiomeric fractions (EFs) in the fish and their t1/2s falling on a log K(ow)--log t1/2 relationship established for recalcitrant contaminants in fish. p,p'-DDT and PCBs 84 and 132 were biotransformed based on the former's t1/2 position below the log K(ow)--log t1/2 relationship, and the PCBs change in EF. Fipronil was rapidly biotransformed, based on a change in EF, a t1/2 that fell below the log K(ow)--log t1//2 relationship, which accounted for 88% of its elimination, and the rapid formation of fipronil sulfone, a known metabolite. Fipronil sulfone was found to persist longer (t1/2 approximately 2 d) than its parent compound fipronil (t1/2 approximately 0.6 d) and needs to be considered in fate studies of fipronil. This research demonstrates the utilities of the log K(ow)--log t1/2 relationship as a mechanistic tool for quantifying biotransformation and of chiral analysis to measure biotransformation in fish.  KEYWORDS:  MeSH Chemical: Environmental Pollutants| Pesticides| Pyrazoles| Recombinant Fusion Proteins| Water Pollutants, Chemical| alpha-hexachlorocyclohexane| Hexachlorocyclohexane| Polychlorinated Biphenyls| fipronil MeSH: | Animals| Biotransformation| Environmental Pollutants| Hexachlorocyclohexane/chemistry| Kinetics| Oncorhynchus mykiss| Pesticides| Polychlorinated Biphenyls| Pyrazoles/majr/analysis| Recombinant Fusion Proteins/chemistry| Stereoisomerism| Time Factors| Water Pollutants, Chemical/analysis</t>
  </si>
  <si>
    <t>A survey of pesticide residues in pollen loads collected by honey bees in France.    ABSTRACT:  In 2002, a field survey was initiated on French apiaries to monitor weakness of honey bee, Apis mellifera L., colonies. Apiaries were evenly distributed in five sites located on continental France. Five colonies were randomly selected in each apiary, leading to a total of 125 studied honey bee colonies. For 3 yr (starting in autumn 2002), colonies were visited four times per year: after winter, before summer, during summer, and before winter. Pollen loads from traps were collected at each visit. Multiresidue analyses were performed in pollen to search residues of 36 different molecules. Specific analyses were conducted to search fipronil and metabolites and also imidacloprid and metabolites. Residues of 19 searched compounds were found in samples. Contamination by pesticides ranged from 50 to 0%. Coumaphos and tau-fluvalinate residues were the most concentrated of all residues (mean concentrations were 925.0 and 487.2 microg/kg, respectively). Fipronil and metabolite contents were superior to the limit of detection in 16 samples. Residues of fipronil were found in 10 samples. Nine samples contained the sulfone compound, and three samples contained the desulfinyl compound. Residues of imidacloprid and 6-chloronicotinic acid were found in 69% of samples. Imidacloprid contents were quantified in 11 samples with values ranging from 1.1 to 5.7 microg/kg. 6-Chloronicotinic acid content was superior to the limit of quantification in 28 samples with values ranging from 0.6 to 9.3 microg/kg. Statistical tests showed no difference between places of sampling with the exception of fipronil. Possible origins of these contaminations, concentration and toxicity of pesticides, and the possible consequences for bees are discussed.  KEYWORDS:  MeSH Chemical: Insecticides| Pesticide Residues MeSH: | Animals| Bees/majr/drug effects/physiology| France| Insecticides/analysis/toxicity| Lethal Dose 50| Pesticide Residues/majr/analysis/toxicity| Pollen/majr/chemistry</t>
  </si>
  <si>
    <t>The developmental neurotoxicity of fipronil: notochord degeneration and locomotor defects in zebrafish embryos and larvae.    ABSTRACT:  Fipronil is a phenylpyrazole insecticide designed to selectively inhibit insect gamma-aminobutyric acid (GABA) receptors. Although fipronil is often used in or near aquatic environments, few studies have assessed the effects of this neurotoxicant on aquatic vertebrates at sensitive life stages. We explored the toxicological effects of fipronil on embryos and larvae using the zebrafish (Danio rerio) experimental model system. Embryos exposed to fipronil at nominal concentrations at or above 0.7 microM (333 mug/l) displayed notochord degeneration, shortening along the rostral-caudal body axis, and ineffective tail flips and uncoordinated muscle contractions along the body axis in response to touch. This phenotype closely resembles zebrafish locomotor mutants of the accordion class and is consistent with loss of reciprocal inhibitory neurotransmission by glycinergic commissural interneurons in the spinal cord. Consistent with the hypothesis that notochord degeneration may be due to abnormal mechanical stress from muscle tetany, the expression patterns of gene and protein markers specific to notochord development were unaffected by fipronil. Moreover, the degenerative effects of fipronil (1.1 microM) were reversed by coexposure to the sodium channel blocker MS-222 (0.6mM). The notochord effects of fipronil were phenocopied by exposure to 70 microM strychnine, a glycinergic receptor antagonist. In contrast, exposure to gabazine, a potent vertebrate GABA(A) antagonist, resulted in a hyperactive touch response but did not cause notochord degeneration. Although specifically developed to target insect GABA receptors with low vertebrate toxicity, our results suggest that fipronil impairs the development of spinal locomotor pathways in fish by inhibiting a structurally related glycine receptor subtype. This represents an unanticipated and potentially novel mechanism for fipronil toxicity in vertebrates.  KEYWORDS:  MeSH Chemical: Insecticides| Pyrazoles| fipronil MeSH: | Animals| Body Size| Immunohistochemistry| In Situ Hybridization| Insecticides/majr/toxicity| Larva/majr/drug effects| Locomotion/majr/drug effects| Muscle Contraction/drug effects| Nervous System/majr/drug effects| Notochord/majr/drug effects| Pyrazoles/majr/toxicity| Zebrafish/majr/embryology</t>
  </si>
  <si>
    <t>Identification of new human pregnane X receptor ligands among pesticides using a stable reporter cell system.    ABSTRACT:  Pregnane X receptor (PXR, NR1I2) is activated by various chemically unrelated compounds, including environmental pollutants and drugs. We proceeded here to in vitro screening of 28 pesticides with a new reporter system that detects human pregnane X receptor (hPXR) activators. The cell line was obtained by a two-step stable transfection of cervical cancer HeLa cells. The first transfected cell line, HG5LN, contained an integrated luciferase reporter gene under the control of a GAL4 yeast transcription factor-binding site. The second cell line HGPXR was derived from HG5LN and stably expressed hPXR ligand-binding domain fused to GAL4 DNA-binding domain (DBD). The HG5LN cells were used as a control to detect nonspecific activities. Pesticides from various chemical classes were demonstrated, for the first time, to be hPXR activators: (1) herbicides: pretilachlor, metolachlor, and alachlor chloracetanilides, oxadiazon oxiconazole, and isoproturon urea; (2) fungicides: bupirimate and fenarimol pyrimidines, propiconazole, fenbuconazole, prochloraz conazoles, and imazalil triazole; and (3) insecticides: toxaphene organochlorine, permethrin pyrethroid, fipronil pyrazole, and diflubenzuron urea. Pretilachlor, metolachlor, bupirimate, and oxadiazon had an affinity for hPXR equal to or greater than the positive control rifampicin. Some of the newly identified hPXR activators were also checked for their ability to induce cytochrome P450 3A4 expression in a primary culture of human hepatocytes. HGPXR, with HG5LN as a reference, was grafted onto nude mice to assess compound bioavailability through in vivo quantification of hPXR activation. Altogether, our data indicate that HGPXR cells are an efficient tool for identifying hPXR ligands and establishing pesticides as hPXR activators.  KEYWORDS:  MeSH Chemical: Ligands| NR1I2 protein, human| Nr1i2 protein, mouse| Pesticides| Pregnane X Receptor| RNA, Messenger| Receptors, Cytoplasmic and Nuclear| Receptors, Steroid| Cytochrome P-450 Enzyme System| Luciferases| Cytochrome P-450 CYP3A| CYP3A4 protein, human MeSH: | Animals| Cell Line| Cells, Cultured| Cytochrome P-450 CYP3A| Cytochrome P-450 Enzyme System/majr/genetics/metabolism| Female| Gene Expression Regulation/drug effects| Genes, Reporter| Hepatocytes/majr/drug effects/metabolism| Humans| Ligands| Luciferases/metabolism| Mice| Mice, Nude| Neoplasm Transplantation| Pesticides/majr/toxicity| Pregnane X Receptor| RNA, Messenger/metabolism| Receptors, Cytoplasmic and Nuclear/majr/agonists/metabolism| Receptors, Steroid/majr/agonists/metabolism</t>
  </si>
  <si>
    <t>Efficacy of noviflumuron gel bait for control of the German cockroach, Blattella germanica (Dictyoptera: Blattellidae)-laboratory studies.    ABSTRACT:  The insecticidal activity of a cockroach gel bait containing a chitin synthesis inhibitor, noviflumuron, was evaluated using laboratory and field strains of the German cockroach, Blattella germanica (L.). Noviflumuron gel bait (0.01-5 mg g(-1)) caused &gt; or = 90% nymphal mortality to laboratory and field strains of B. germanica in choice tests after 11 and 19 days of continuous exposure respectively. In 1 m x 1 m bioassay arenas, laboratory strain B. germanica population levels exposed to 5 mg g(-1) noviflumuron bait or 0.1 mg g(-1) fipronil gel bait were significantly lower than untreated population levels after 3 weeks and 1 week of exposure respectively. Various noviflumuron bait exposure periods (2, 4 and 7 weeks) caused similar population reductions, with a mean of 99.3 (+/- 0.3)% at 7 weeks. Fipronil gel bait caused 100% population reduction at 2 weeks post-exposure. The control population increased 89.0% at 7 weeks. In a simulated kitchen experiment with mixed stage laboratory populations, cockroach trap catches decreased 96.8 (+/- 2.0)% at 8 weeks in the 0.5 mg g(-1) noviflumuron bait treatment. The trap catches in the control increased 506.5 (+/- 493.7)% during the same period. Trap catch reduction by 0.1 mg g(-1) fipronil gel bait reached 100% at 4 weeks. Noviflumuron bait caused significantly lower nymph/total ratios to B. germanica populations in bioassay arenas from 2 weeks after exposure, demonstrating its effectiveness as a control agent for B. germanica with a pattern of activity similar to that expected from a chitin synthesis inhibitor.Copyright  2006 Society of Chemical Industry.  KEYWORDS:  MeSH Chemical: Benzamides| Gels| Hydrocarbons, Fluorinated| Insecticides| Pyrazoles| noviflumuron| fipronil MeSH: | Animals| Benzamides/majr/administration &amp; dosage| Blattellidae/majr| Gels| Hydrocarbons, Fluorinated/majr/administration &amp; dosage| Insecticides/majr/administration &amp; dosage| Pyrazoles| Toxicity Tests</t>
  </si>
  <si>
    <t>Comparative efficacy of the combination fipronil-(S)-methoprene and the combination permethrin-imidacloprid against Dermacentor reticulatus, the European dog tick, applied topically to dogs.    ABSTRACT:  This study compared the efficacy of two of the most widely veterinary-dispensed topical products for control of ticks on dogs: fipronil-(S)-methoprene and imidacloprid-permethrin. Eighteen healthy beagle dogs of both sexes were divided into three groups of six dogs. Group 1 served as the untreated control. Dogs in group 2 were treated with fipronil 10% + (S)-methoprene 9% w/v applied once on day 0, and those in group 3 were treated with imidacloprid 8.8% and permethrin 44% w/v, applied once on day 0. All dogs were infested with approximately 50 unfed Dermacentor reticulatus ticks on days 1, 7, 14, 21, 28, 35, and 42, and ticks remaining were counted and removed 48 hours after each infestation. The 48-hour efficacy of the fipronil-(S)-methoprene combination remained at 100% at all assessment points through and including day 37, declining to 95.30% on day 44. The 48-hour efficacy of the imidacloprid-permethrin combination peaked at 86.46% on day 9, decreased to 73.37% by the third week, and fell to 63.53% by the end of the study (day 44). Significantly (P &lt; .05) fewer ticks were recovered from dogs treated with fipronil-(S)-methoprene or imidacloprid-permethrin than from untreated control dogs at each infestation. Notably, the dogs treated with fipronil-(S)-methoprene had significantly (P &lt; .05) lower tick counts at every assessment than the dogs treated with imidacloprid-permethrin.  KEYWORDS:  MeSH Chemical: Imidazoles| Insecticides| Neonicotinoids| Nitro Compounds| Pyrazoles| imidacloprid| Permethrin| Methoprene| fipronil MeSH: | Administration, Topical| Animals| Dermacentor/majr| Dog Diseases/majr/drug therapy| Dogs| Drug Therapy, Combination| Female| Imidazoles/pharmacology/therapeutic use| Insecticides/majr/pharmacology/therapeutic use| Male| Methoprene/pharmacology/therapeutic use| Neonicotinoids| Nitro Compounds| Permethrin/pharmacology/therapeutic use| Pyrazoles/pharmacology/therapeutic use| Tick Control/methods| Tick Infestations/majr/drug therapy/veterinary| Time Factors| Treatment Outcome</t>
  </si>
  <si>
    <t>Comparative susceptibility of western corn rootworm (Coleoptera: Chrysomelidae) adults to selected insecticides in Kansas.    ABSTRACT:  Susceptibility of adult populations of the western corn rootworm, Diabrotica virgifera virgifera LeConte, to several insecticides was evaluated in seven Kansas counties, including Dickinson, Ford, Finney, Pottawatomie, Republic, Riley, and Stevens, between 1996 and 2002. All populations surveyed were highly susceptible to methyl parathion with the largest difference in susceptibility of only three-fold based on 16 complete bioassays for the populations from six counties over a 5-yr period. Noticeable decreases in carbaryl susceptibility were found in populations collected from Republic County between 1997 and 2001 when the cucurbitacin-carbaryl-based bait SLAM was widely used as an areawide management approach for adult corn rootworm control. However, the lowered carbaryl susceptibility returned to previous levels 1 yr after the use of SLAM was halted in the managed (treated) cornfields. This change implies possible dispersal of insects into the relatively small managed area from surrounding untreated cornfields and / or some fitness cost associated with carbaryl resistance within the population. Relative susceptibility of western corn rootworm adults also was evaluated for seven commonly used insecticides, including bifenthrin, carbaryl, chlorpyrifos, cypermethrin, fipronil, malathion, and methyl parathion. They were tested with corn rootworm adults collected from a single cornfield. Methyl parathion and bifenthrin were highly toxic to corn rootworm adults, and cypermethrin, chlorpyrifos, carbaryl, and malathion were only slightly less toxic. Although fipronil was highly toxic to adult rootworms, its activity was much slower than that of other insecticides. Thus, bifenthrin and methyl parathion were among the most effective in killing corn rootworm adults.  KEYWORDS:  MeSH Chemical: Insecticides MeSH: | Animals| Coleoptera/majr/drug effects| Dose-Response Relationship, Drug| Insecticide Resistance/majr| Insecticides/majr/pharmacology| Kansas| Time Factors</t>
  </si>
  <si>
    <t>Structural model for gamma-aminobutyric acid receptor noncompetitive antagonist binding: widely diverse structures fit the same site.    ABSTRACT:  Several major insecticides, including alpha-endosulfan, lindane, and fipronil, and the botanical picrotoxinin are noncompetitive antagonists (NCAs) for the GABA receptor. We showed earlier that human beta(3) homopentameric GABA(A) receptor recognizes all of the important GABAergic insecticides and reproduces the high insecticide sensitivity and structure-activity relationships of the native insect receptor. Despite large structural diversity, the NCAs are proposed to fit a single binding site in the chloride channel lumen lined by five transmembrane 2 segments. This hypothesis is examined with the beta(3) homopentamer by mutagenesis, pore structure studies, NCA binding, and molecular modeling. The 15 amino acids in the cytoplasmic half of the pore were mutated to cysteine, serine, or other residue for 22 mutants overall. Localization of A-1'C, A2'C, T6'C, and L9'C (index numbers for the transmembrane 2 region) in the channel lumen was established by disulfide cross-linking. Binding of two NCA radioligands [(3)H]1-(4-ethynylphenyl)-4-n-propyl-2,6,7-trioxabicyclo[2.2.2]octane and [(3)H] 3,3-bis-trifluoromethyl-bicyclo[2,2,1]heptane-2,2-dicarbonitrile was dramatically reduced with 8 of the 15 mutated positions, focusing attention on A2', T6', and L9' as proposed binding sites, consistent with earlier mutagenesis studies. The cytoplasmic half of the beta3 homopentamer pore was modeled as an alpha-helix. The six NCAs listed above plus t-butylbicyclophosphorothionate fit the 2' to 9' pore region forming hydrogen bonds with the T6' hydroxyl and hydrophobic interactions with A2', T6', and L9' alkyl substituents, thereby blocking the channel. Thus, widely diverse NCA structures fit the same GABA receptor beta subunit site with important implications for insecticide cross-resistance and selective toxicity between insects and mammals.  KEYWORDS:  MeSH Chemical: Bridged Bicyclo Compounds| Bridged Bicyclo Compounds, Heterocyclic| GABA Antagonists| Nitriles| Protein Subunits| Receptors, GABA| 1-(4-ethynylphenyl)-4-propyl-2,6,7-trioxabicyclo(2.2.2)octane| 3,3-bis(trifluoromethyl)bicyclo(2.2.1)heptane-2,2-dicarbonitrile MeSH: | Amino Acid Sequence| Animals| Binding Sites| Bridged Bicyclo Compounds/metabolism/pharmacology| Bridged Bicyclo Compounds, Heterocyclic/metabolism/pharmacology| Cell Line| Drosophila| GABA Antagonists/majr/chemistry/metabolism| Gene Expression| Humans| Models, Molecular| Molecular Sequence Data| Mutation/genetics| Nitriles/metabolism/pharmacology| Protein Binding| Protein Structure, Quaternary| Protein Subunits/chemistry/metabolism| Rats| Receptors, GABA/majr/chemistry/genetics/metabolism| Sequence Alignment| Structure-Activity Relationship</t>
  </si>
  <si>
    <t>Strategies for reducing the risk of Lyme borreliosis in North America.    ABSTRACT:  The incidence of Lyme borreliosis continues to increase in the United States. In 1991, when Lyme borreliosis first became a nationally reportable disease to the Centers for Disease Control and Prevention (CDC), a total of 9470 cases were reported; in contrast, by 2002 a total of 23,763 cases were reported, &gt;2.5x the total in 1991. Area-wide acaricides can be highly effective in killing nymphal Ixodes scapularis, with &gt;95% of nymphs killed in studies using cyfluthrin, deltamethrin, or carbaryl. The majority of residents living in households within the area hyperendemic for Lyme borreliosis will not, however, consider the use of area-wide acaricides. A survey of communities in 4 states (Connecticut, Massachusetts, New Jersey, New York) demonstrated that &lt;25% of the populace have used area-wide acaricides on their own property. In searching for alternative methods of reducing Lyme borreliosis risk, host-targeted methods have been proven to be effective. Newly developed methods include the use of acaricides applied to deer feeder stations. This method is called the 4-poster method and has been shown in trials to reduce populations of nymphal I. scapularis by 69%. In addition, rodent-targeted bait boxes containing fipronil have been shown to eliminate ticks on mice and negatively impact the population of questing I. scapularis and reduce the proportion of these ticks infected with Borrelia burgdorferi sensu stricto. Host eradication can also be utilized. On Monhegan Island, Maine, white-tailed deer were totally eradicated from the island from 1999 to 2000. By 2004, no immature I. scapularis could be found on rodents on Monhegan Island. Landscape management practices can also be utilized to reduce the risk of Lyme borreliosis as can personal protection procedures including regular tick checks. These practices have been nicely summarized in a new Tick Management Handbook produced by Dr. Kirby C. Stafford III with the Connecticut Agricultural Experiment Station. Although there is no magic bullet available to completely eliminate the risk of Lyme borreliosis from large geographic areas, the use of Integrated Pest Management (IPM) practices holds the prospect for reducing and managing Lyme borreliosis risk in the future.  KEYWORDS:  MeSH Chemical: Herbicides| Insecticides MeSH: | Animals| Deer/parasitology| Herbicides| Humans| Insecticides| Ixodes/drug effects| Lyme Disease/majr/prevention &amp; control| Rodentia/parasitology| Tick Control/majr/methods| United States</t>
  </si>
  <si>
    <t>A method to induce stable atopic dermatitis-like symptoms in NC/Nga mice housed with skin-lesioned mice.    ABSTRACT:  Itching is a characteristic symptom in various forms of dermatosis, especially atopic dermatitis; consequently it is a major diagnostic criterion. All features are similar to events seen in patients, hence NC/Nga mice are considered to be a suitable model of human atopic dermatitis. However, there were data spreads in commencing time and the degree of skin lesions in NC/Nga mice.In the present study, we attempted to improve experimental conditions to induce stable skin lesions and to establish a more appropriate method. Methods NC/Nga mice were kept together with skin-lesioned mice during the experiment period (mixed-NC mice). The dermatitis scores of face, ears and rostral back were assessed. Scratching behaviour was measured using an apparatus, MicroAct (Neuroscience, Tokyo, Japan). Transepidermal water loss (TEWL) and serum total IgE levels were also measured. To observe the presence of mites, the skin of the rostral backs of the mixed-NC mice was stripped using cellulose tape. We also investigated the effects of fipronil (Wako, Osaka, Japan), an acaricidal compound, on skin lesions and scratching behaviour of these mixed-NC mice.In mixed-NC mice, skin lesions appeared from 2 weeks, worsened gradually and reached peak levels of a dermatitis score in 8 weeks. Scratching behaviour increased significantly from day 3. TEWL also increased from day 3, but total IgE increased from day 7. Mites were observed on the rostral backs of mixed-NC mice from day 3, and all mice had these mites on day 28. Giving pretreatment with fipronil (Wako), the skin lesions and scratching behaviour of mixed-NC mice was significantly suppressed.The findings of the present study suggest that the method of being kept together with skin-lesioned mice can induce stable skin lesions and scratching behaviour at an early stage, without skin lesions. This method could help investigate a more stable evaluation of the effects on symptoms of atopic dermatitis, and mechanisms of the itching. It was considered that parasitism of mites, not allergic reactions, was the pathogenesis of skin lesions and scratching behaviour in mixed-NC mice.  KEYWORDS:  MeSH Chemical: Insecticides| Pyrazoles| Immunoglobulin E| fipronil MeSH: | Animals| Dermatitis, Atopic/majr/etiology/immunology/physiopathology/prevention &amp; control| Disease Models, Animal/majr| Disease Progression| Immunoglobulin E/blood| Insecticides/therapeutic use| Male| Mice| Mice, Inbred Strains| Mite Infestations/complications/prevention &amp; control| Mites| Pruritus/etiology/immunology/parasitology/prevention &amp; control| Pyrazoles/therapeutic use| Severity of Illness Index| Water Loss, Insensible</t>
  </si>
  <si>
    <t>Weathering trials of Amulet cue-lure and Amulet methyl eugenol "attract-and-kill" stations with male melon flies and oriental fruit flies (Diptera: Tephritidae) in Hawaii.    ABSTRACT:  Amulet C-L (cue-lure) and Amulet ME (methyl eugenol) molded paper fiber "attract-and-kill" dispensers containing fipronil were tested under Hawaiian weather conditions against Bactrocera cucurbitae (Coquillett) (melon fly) and Bactrocera dorsalis (Hendel) (oriental fruit fly), respectively. In paired tests (fresh versus weathered), C-L dispensers were effective for at least 77 d, whereas ME dispensers were effective for at least 21 d. Thus, C-L dispensers exceeded, whereas ME dispensers did not meet the label interval replacement recommendation of 60 d. Addition of 4 ml of ME to 56-d-old ME dispensers restored attraction and kill for an additional 21 d. This result suggested the fipronil added at manufacture was still effective. By enclosing and weathering ME dispensers inside small plastic bucket traps, longevity of ME dispensers was extended up to 56 d. Fipronil ME and C-L dispensers also were compared, inside bucket traps, to other toxicants: spinosad, naled, DDVP, malathion, and permethrin. Against B. dorsalis, fipronil ME dispensers compared favorably only up to 3 wk. Against B. cucurbitae, fipronil C-L dispensers compared favorably for at least 15 wk. Our results suggest that fipronil C-L dispensers can potentially be used in Hawaii; however, fipronil ME dispensers need to be modified or protected from the effects of weathering to extend longevity and meet label specifications. Nonetheless, Amulet C-L and ME dispensers are novel prepackaged formulations containing C-L or ME and fipronil that are more convenient and safer to handle than current liquid insecticide formulations used for areawide suppression of B. dorsalis and B. cucurbitae in Hawaii.  KEYWORDS:  MeSH Chemical: Butanones| Insecticides| Pheromones| Pyrazoles| insect attractants| 4-(p-acetoxyphenyl)-2-butanone| methyleugenol| Eugenol| fipronil MeSH: | Animals| Butanones/majr| Eugenol/majr/analogs &amp; derivatives| Hawaii| Insect Control/majr/instrumentation/methods| Insecticides/majr| Pheromones/majr| Pyrazoles| Tephritidae/majr</t>
  </si>
  <si>
    <t>Comparative speed of kill of selamectin, imidacloprid, and fipronil-(S)-methoprene spot-on formulations against fleas on cats.    ABSTRACT:  The speed of kill of selamectin, imidacloprid, and fipronil-(S)-methoprene against Ctenocephalides felis infestations on cats for one month following a single treatment was evaluated. Eighty cats were randomly allocated so that there were 20 cats in four different treatment groups. On Days -2, 7, 14, 21, and 28, each cat was infested with 100 adult C. felis from the Kansas 1 flea strain. Following initial application only imidacloprid had caused a significant reduction in adult fleas on treated cats within 6 hours, but by 24 hours all three formulations had killed 96.7% of the fleas. At 7 days post treatment, all three formulations reduced flea populations within 6 and 24 hours by 68.4% and 99.4%, respectively. At 21 and 28 days after treatment, none of the formulations killed significant numbers of fleas as compared to controls within 6 hours of infestation. At 28 days after treatment, selamectin, fipronil-(S)-methoprene, and imidacloprid had killed 99.0%, 86.4%, and 72.6% of the fleas within 48 hours of infestation, respectively. This study demonstrates that the speed of kill of residual flea products on cats decreases throughout the month following application. It also demonstrated that selamectin provided the highest level of residual activity on cats against the Kansas 1 flea strain.  KEYWORDS:  MeSH Chemical: Imidazoles| Insecticides| Neonicotinoids| Nitro Compounds| Pyrazoles| imidacloprid| Ivermectin| selamectin| fipronil MeSH: | Administration, Cutaneous| Animals| Cat Diseases/majr/drug therapy/parasitology| Cats| Chemistry, Pharmaceutical| Ectoparasitic Infestations/majr/drug therapy/veterinary| Female| Imidazoles/administration &amp; dosage| Insecticides/majr/administration &amp; dosage| Ivermectin/administration &amp; dosage/analogs &amp; derivatives| Male| Neonicotinoids| Nitro Compounds| Pyrazoles/administration &amp; dosage| Siphonaptera/majr/drug effects| Time Factors| Treatment Outcome</t>
  </si>
  <si>
    <t>Efficacy of imidacloprid/permethrin and fipronil/(S)-methoprene combinations against Haemaphysalis longicornis ticks evaluated under in vitro and in vivo conditions.    ABSTRACT:  Haemaphysalis longicornis is one of the most important ticks infesting a wide range of mammals including dogs in Japan. H. longicornis is recorded to be a vector of, for example, Babesia gibsoni. It was the aim of the study presented here to evaluate the efficacy of imidacloprid/permethrin and fipronil/(S)-methoprene against larval, nymphal and adult stages of H. longicornis under in vitro as well as in vivo conditions. In the in vitro part of the study, ticks showed avoidance behaviour to imidacloprid/permethrin-treated filter papers. The onset of acaricidal efficacy in the imidacloprid/permethrin group was recorded earlier than in the fipronil/(S)-methoprene group. In the in vivo experiment three beagles per group were treated with either imidacloprid/permethrin, fipronil/(S)-methoprene or left untreated. Each dog was infested with 30 adult female H. longicornis. Ticks were place on a shaved area of skin of the treated dogs and behaviour of the ticks was recorded as before. After 3 h all ticks were removed and placed in Petri dishes. Ticks were further examined until day 4 post-treatment (p.t.). All ticks recovered from the untreated dogs survived. At 4 h p.t. (1 h post-removal) 40 of the 90 ticks exposed to the imidacloprid/permethrin treatment and 25 of the 90 ticks in the fipronil/(S)-methoprene-treated group were found dead. At day 1 p.t., 61 ticks in the imidacloprid/permethrin- and 81 ticks in the fipronil/(S)-methoprene-treated group were recorded dead. At the final examination day 4 p.t., all 90 ticks were found dead in the imidacloprid/permethrin group, while five ticks remained alive in the fipronil/(S)-methoprene group.  KEYWORDS:  MeSH Chemical: Cholinesterase Reactivators| Imidazoles| Neonicotinoids| Nitro Compounds| Pyrazoles| imidacloprid| Permethrin| Methoprene| fipronil MeSH: | Administration, Topical| Animals| Cholinesterase Reactivators/majr/administration &amp; dosage/therapeutic use| Dog Diseases/majr/drug therapy| Dogs| Drug Therapy, Combination| Female| Imidazoles/administration &amp; dosage/therapeutic use| Ixodidae/majr/drug effects| Male| Methoprene/administration &amp; dosage/therapeutic use| Neonicotinoids| Nitro Compounds/administration &amp; dosage/therapeutic use| Permethrin/administration &amp; dosage/therapeutic use| Pyrazoles/administration &amp; dosage/therapeutic use| Tick Infestations/majr/drug therapy/veterinary</t>
  </si>
  <si>
    <t>Differential blocking actions of 4'-ethynyl-4-n-propylbicycloorthobenzoate (EBOB) and gamma-hexachlorocyclohexane (gamma-HCH) on gamma-aminobutyric acid- and glutamate-induced responses of American cockroach neurons.    ABSTRACT:  4'-Ethynyl-4-n-propylbicycloorthobenzoate (EBOB) has been employed extensively as a radioligand in binding assays to evaluate the pharmacology of gamma-aminobutyric acid (GABA)-gated Cl- channels (GABARs) of insects and mammals, and gamma-hexachlorocyclohexane (gamma-HCH) was used as an insecticide targeting insect GABARs. Since recent studies have shown that not only GABARs but also glutamate-gated chloride channels (GluCls) are blocked by picrotoxinin, dieldrin and fipronil, the actions of EBOB and gamma-HCH on native GABARs and GluCls of terminal abdominal ganglion neurons in American cockroach (Periplaneta americana) were tested using patch-clamp electrophysiology. A marked run-down of the GABA- and glutamate-induced responses of the cockroach neurons occurred, when a standard pipette solution was employed, but addition of pyruvate to the solution permitted stable recordings of these responses. With this solution, EBOB and gamma-HCH were found to block not only the GABA- but also glutamate-gated responses, with the actions augmented by repeated co-application with the agonists. It was also found that prolonged pre-application of EBOB and gamma-HCH prior to co-application with GABA and glutamate resulted in enhanced blocking actions, indicating resting-state actions of the blockers. The blocking actions of EBOB and gamma-HCH on the GABA- and glutamate-induced responses were compared by determining IC50 values under steady state condition. The IC50 values for the actions of EBOB on GABAR and GluCls differed less than those of gamma-HCH.  KEYWORDS:  MeSH Chemical: Bridged Bicyclo Compounds, Heterocyclic| Chloride Channels| Insecticides| Receptors, GABA| Receptors, Glutamate| 1-(4-ethynylphenyl)-4-propyl-2,6,7-trioxabicyclo(2.2.2)octane| Glutamic Acid| gamma-Aminobutyric Acid| Hexachlorocyclohexane MeSH: | Animals| Bridged Bicyclo Compounds, Heterocyclic/majr/pharmacology| Chloride Channels/drug effects| Dose-Response Relationship, Drug| Glutamic Acid/metabolism| Hexachlorocyclohexane/majr/pharmacology| Insecticides/majr/pharmacology| Neurons/majr/drug effects| Patch-Clamp Techniques| Periplaneta| Receptors, GABA/drug effects| Receptors, Glutamate/drug effects| gamma-Aminobutyric Acid/majr/metabolism</t>
  </si>
  <si>
    <t>Acute enantioselective toxicity of fipronil and its desulfinyl photoproduct to Ceriodaphnia dubia.    ABSTRACT:  Fipronil is a phenylpyrazole insecticide increasingly used in applications such as rice culture, turf grass management, and residential pest control, with a high probability to contaminate aquatic environments. As a chiral pesticide, fipronil is released to the environment as a racemic mixture (equal amounts of optical isomers called enantiomers). Enantiomers can have different toxicological and biological activity; however, information on these differences, which is necessary for accurate risk assessment of chiral pesticides, is limited. Here we examine the acute toxicity of fipronil enantiomers, the racemate, and its photoproduct (desulfinyl fipronil) to Ceriodaphnia dubia. The 48-h median lethal concentration (LC50) values based on measured concentrations of each compound indicate the (+) enantiomer (LC50 = 10.3 +/- 1.1 microg/L, mean +/- standard error [SE]) was significantly more toxic to C. dubia than either the (-) enantiomer (LC50 = 31.9 +/- 2.2 microg/L) or racemate (LC50 = 17.7 +/- 1.3 microg/L). To account for any potential loss of fipronil through photolysis, tests were performed under light (fluorescent) and dark exposure conditions, and no significant differences in toxicity were observed. Desulfinyl fipronil, the major photodegradation product, which is not chiral, was detected at &lt; 1% of each parent compound in test solutions after 48 h. Separate toxicity tests with desulfinyl fipronil found a &gt; 20-fold higher LC50 (355 +/- 9.3 microg/L) compared to the fipronil racemate, suggesting lower adverse effects to C. dubia as a result of fipronil photolysis. The present results suggest selection of the (-) enantiomer in fipronil production for lower impacts to C. dubia; however, the consistency and relevancy of fipronil's enantiomer-specific activity at both acute and chronic levels of concern to additional target and nontarget species needs further consideration.  KEYWORDS:  MeSH Chemical: Insecticides| Pesticide Residues| Pyrazoles| Water Pollutants, Chemical| fipronil MeSH: | Animals| Biological Assay| Crustacea| Daphnia/majr/drug effects| Dose-Response Relationship, Drug| Ecosystem| Environmental Exposure| Environmental Monitoring/majr/methods| Insecticides/toxicity| Lethal Dose 50| Light| Models, Chemical| Pesticide Residues/toxicity| Pyrazoles/majr/toxicity| Time Factors| Toxicity Tests| Water Pollutants, Chemical/toxicity| Water Pollution, Chemical</t>
  </si>
  <si>
    <t>Laboratory evaluation of fipronil against Periplaneta americana &amp; Blattella germanica.    ABSTRACT:  In cockroach control, bait formulations are extensively used. Fipronil is one of the broad spectrum insecticides from phenyl pyrazole family available in bait formulation. The compound has been tested under field conditions. However, information on its effectiveness on different surfaces and at various density levels is not known. Therefore, the efficacy of a new formulation of fipronil 0.03 per cent (Goliath gel) was tested under laboratory conditions.The bait formulation was tested against Periplaneta americana at the dosages of 0.025, 0.05, 0.1, 0.15 and 0.2 g/m(2), and Blatella germanica at 0.025, 0.05, 0.075, 0.1 and 0.125 g/m(2) on wood, cement, mud and thatch surface with three density levels of cockroaches viz., 5, 10 and 20 numbers/m(2). Mortality after 24 h of exposure was observed daily for five days.Rate of mortality varied between 16.0 and 96.0 per cent in P. americana and 51.0 and 100.0 per cent in B. germanica on different surfaces tested. The mortality rate of P. americana increased line rarly from the dosage 0.025g to 0.15 g/m(2) and at 0.2 g/m(2), it was independent. The LD(80) values of the gel against P. americana at high density were 0.208, 0.246, 0.361 and 0.466 g/m(2) on wood, cement, mud and thatch surfaces, whereas against B. germanica the values were 0.079, 0.081, 0.089 and 0.055 g/m(2) respectively, indicating a significantly (P&lt;0.001) higher efficacy of Goliath gel against B. germanica than P. americana. The results of fitting logistic regression model to the observed percentage mortality with log dose and cockroach density as explanatory variables satisfactorily described the observations at all densities on each surface. The pattern of response to increasing dosages was similar for all the three density levels on each of the surfaces in P. americana and B. germanica.The effectiveness assessed against P. americana and B. germanica using logistic regression model suggested that the gel when applied at the appropriate dosages on wood, cement, mud and thatch surfaces could cause &gt;80 per cent mortality of these species in dwellings having these types of surfaces.  KEYWORDS:  MeSH Chemical: Gels| Insecticides| Pyrazoles| fipronil MeSH: | Animals| Blattellidae/majr/drug effects| Dose-Response Relationship, Drug| Gels| Insecticides/majr/administration &amp; dosage/pharmacology| Logistic Models| Periplaneta/majr/drug effects| Pyrazoles/majr/administration &amp; dosage/pharmacology</t>
  </si>
  <si>
    <t>Acetylcholine, GABA and glutamate induce ionic currents in cultured antennal lobe neurons of the honeybee, Apis mellifera.    ABSTRACT:  The honeybee, Apis mellifera, is a valuable model system for the study of olfactory coding and its learning and memory capabilities. In order to understand the synaptic organisation of olfactory information processing, the transmitter receptors of the antennal lobe need to be characterized. Using whole-cell patch-clamp recordings, we analysed the ligand-gated ionic currents of antennal lobe neurons in primary cell culture. Pressure applications of acetylcholine (ACh), gamma-amino butyric acid (GABA) or glutamate induced rapidly activating ionic currents. The ACh-induced current flows through a cation-selective ionotropic receptor with a nicotinic profile. The ACh-induced current is partially blocked by alpha-bungarotoxin. Epibatidine and imidacloprid are partial agonists. Our data indicate the existence of an ionotropic GABA receptor which is permeable to chloride ions and sensitive to picrotoxin (PTX) and the insecticide fipronil. We also identified the existence of a chloride current activated by pressure applications of glutamate. The glutamate-induced current is sensitive to PTX. Thus, within the honeybee antennal lobe, an excitatory cholinergic transmitter system and two inhibitory networks that use GABA or glutamate as their neurotransmitter were identified.  KEYWORDS:  MeSH Chemical: Excitatory Amino Acid Agonists| Excitatory Amino Acid Antagonists| GABA Agonists| GABA Antagonists| Ion Channels| Nicotinic Agonists| Nicotinic Antagonists| Glutamic Acid| gamma-Aminobutyric Acid| Histamine| Acetylcholine| Epinephrine MeSH: | Acetylcholine/majr/pharmacology| Animals| Bees| Cells, Cultured| Dose-Response Relationship, Drug| Drug Interactions| Epinephrine/pharmacology| Excitatory Amino Acid Agonists/pharmacology| Excitatory Amino Acid Antagonists/pharmacology| GABA Agonists/pharmacology| GABA Antagonists| Glutamic Acid/majr/pharmacology| Histamine/pharmacology| Ion Channels/majr/physiology| Membrane Potentials/drug effects| Models, Neurological| Neurons, Afferent/majr/drug effects/physiology| Nicotinic Agonists/pharmacology| Nicotinic Antagonists/pharmacology| Olfactory Pathways/majr/cytology| Patch-Clamp Techniques/methods| Pupa| gamma-Aminobutyric Acid/majr/pharmacology</t>
  </si>
  <si>
    <t>Toxicity and hazard assessment of fipronil to Daphnia pulex.    ABSTRACT:  Hazard assessments based on two measures of toxicity were conducted for the water flea, Daphnia pulex (Leydig) exposed to the insecticide, fipronil. The measures of toxicity obtained were 48 h acute lethal concentration estimates, and a direct measure of population growth rate, the 10-day instantaneous rate of increase (r(i)). Additionally, life tables were developed after exposure to several concentrations to tease out the apparent sublethal effects of this insecticide to D. pulex. The acute LC(50) was estimated to be 0.0156 (0.0088-0.083) mg/L. In the 10-day population growth rate study, extinction of D. pulex populations occurred after exposure to 0.08 mg/L of fipronil, which was equivalent to the 48 h acute LC(75). The NOEC and LOEC for population size after a 10-day exposure to fipronil were 0.03 and 0.05 mg/L, respectively. An expected environmental concentration (EEC) in freshwater lakes/ponds based on an application rate of 250 mg ai/ha (recommended rate for use in Tephritid fruit fly control programs) was estimated to be 0.00017 mg/L. Hazard assessments were developed by dividing the EEC by the LC(50) and NOEC for population size. The assessments based on the LC(50) and NOEC for population size were 0.011 and 0.0057, respectively, indicating that fipronil does not pose a hazard to D. pulex when applied at the rates recommended for control of Tephritid fruit flies. Life tables were developed after exposure to two insecticide concentrations and a control. Exposure to 0.015 mg/L, the approximate 48 h acute LC(50), resulted in only a slight decrease in the net reproductive rate (R(o)), birth rate (b), and intrinsic rate of increase (r(m)) and an increase in generation time (T), death rate (d), and doubling time (DT) compared to the control. Exposure to 0.03 mg/L, the approximate 48 h acute LC(60), and NOEC in the 10-day study, resulted in a 57% decline in the net reproductive rate, a 1.45-fold decrease in birth rate, a 1.5-fold decrease in the intrinsic rate of increase, a 6-day increase in generation time, a 4-fold increase in death rate, and a 1.5-fold increase in doubling time. The stable age distribution (after 60 days) of D. pulex changed after exposure to fipronil. Increasing concentrations of fipronil resulted in a decrease in the percentage of individuals in the first, second, third, and fourth juvenile stages, an increase in the adult stage, and no change in the adolescent stage. These results indicate that certain concentrations of fipronil approaching the LC(50) can negatively affect population parameters of D. pulex, but that EECs, at least for fruit fly control, should be lower than the concentration necessary to cause damage.  KEYWORDS:  MeSH Chemical: Insecticides| Pyrazoles| fipronil MeSH: | Animals| Daphnia/majr/drug effects/growth &amp; development/physiology| Insecticides/majr/toxicity| Lethal Dose 50| No-Observed-Adverse-Effect Level| Population Growth| Pyrazoles/majr/toxicity| Reproduction/drug effects</t>
  </si>
  <si>
    <t>Efficacy of a combination of imidacloprid 10%/permethrin 50% versus fipronil 10%/(S)-methoprene 12%, against ticks in naturally infected dogs.    ABSTRACT:  Preventing tick bites is a fundamental step towards reducing the impact of tick-borne protozoal, bacterial and viral diseases (TBDs) in humans and animals. The aim of this study was to evaluate the efficacy of a combination of imidacloprid 10%/permethrin 50% and of fipronil 10%/S-methoprene 12% against ticks in naturally infected dogs and to assess methodological parameters to calculate drug efficacy on tick immature stages. From July to August 2004, 45 privately owned dogs of various sexes, ages, breeds, coat length and habits were enrolled in a trial carried out in an area (radius approximately 50km) in Southern Italy. Three homogeneous groups (both for dog population and tick population) were formed: 15 dogs treated with imidacloprid 10% and permethrin 50% spot-on (group A), 15 dogs treated with fipronil 10% and methoprene 12% spot-on (group B) and 15 untreated dogs (group C). The dogs in each group were then sub-grouped according to their age and weight. Two different treatments were administered (time 0 and +28 days) to groups A and B, and the dogs were checked weekly for tick infestation until day +56 post-treatment (p.t.). Twenty-four areas distributed on the whole body surface were examined for ticks at each follow-up, while only at time 0 and at day +56 p.t., ticks were collected from the dogs and identified. For the immature stages a semi-quantitative method was adopted and the load of immature stages was evaluated and grouped into four classes up to day +56 p.t. when the mean number of immature ticks (MIT) for each infection class was evaluated. All the adult ticks collected were identified as brown dog ticks (Rhipicephalus sanguineus). Immature stages were first compared at day +28 p.t.. The efficacy of both products used in groups A and B on adult ticks was high and generally very similar. Conversely, the efficacy of imidacloprid 10% and permethrin 50% against immatures was higher than that of fipronil 10% and methoprene 12% throughout the observation period with statistically significant differences (p&lt;0.05) at day +28 p.t. (i.e. group A=98.52%, group B=72.40%). On the whole, in analysing the efficacy of both products against adult plus immature ticks, it was found that the combination of imidacloprid 10% and permethrin 50% was more effective than fipronil 10% and methoprene 12%, with the differences being statistically significant at day +28 p.t. (group A=98.43%, group B=77.56%).  KEYWORDS:  MeSH Chemical: Drug Combinations| Imidazoles| Insecticides| Neonicotinoids| Nitro Compounds| Pyrazoles| imidacloprid| Permethrin| Methoprene| fipronil MeSH: | Animals| Dog Diseases/majr/drug therapy| Dogs| Drug Combinations| Female| Imidazoles/majr/therapeutic use| Insecticides/majr/therapeutic use| Male| Methoprene/majr/therapeutic use| Neonicotinoids| Nitro Compounds| Permethrin/majr/therapeutic use| Pyrazoles/majr/therapeutic use| Tick Infestations/majr/drug therapy/veterinary| Ticks</t>
  </si>
  <si>
    <t>Valuation of efficacy and nonrepellency of indoxacarb and fipronil-treated soil at various concentrations and thicknesses against two subterranean termites (Isoptera: Rhinotermitidae).    ABSTRACT:  The efficacy and nonrepellency of indoxacarb (150 SC, 150 g [AI]/liter) and fipronil (Termidor SC, 9.1% [Al]) against field-collected eastern subterranean termite, Reticulitermes flavipes (Kollar), and the Formosan subterranean termite, Coptotermes formosanus Shiraki, were evaluated for mortality and penetration into treated soil in laboratory glass tube bioassays. Both insecticides were tested at five concentrations (0, 1, 10, 50, and 100 ppm) and two thicknesses (20 and 50 mm) of treated soil. Indoxacarb caused significantly greater mortality than controls at all treatment thicknesses of &gt; or = 10 ppm, but not at 1 ppm. Concentration and treatment thickness of indoxacarb significantly affected termite mortality. Eastern subterranean termites were significantly more susceptible to indoxacarb than Formosan subterranean termites, but there were no intercolony differences in either species. Termites completely penetrated through all treatment thickness of indoxacarb-treated soil at all concentrations, except one of the six Formosan subterranean termite replicates of 50 mm at 50 ppm, when all termites were killed before tunneling through the treated soil. Fipronil resulted in significantly faster and greater termite mortality than indoxacarb at corresponding concentrations. Concentration and treatment thickness of fipronil also significantly affected termite mortality. There was no intercolony difference in susceptibility to either insecticide in either termite. Both termite species completely penetrated 20-mm treatments of all tested fipronil concentrations, as well as 50-mm soil treated with fipronil at &lt; or = 10 ppm. At 50 and 100 ppm fipronil, termites tunneled only a mean of 87 +/- 0.21 and 47 +/- 0.18% deep into 50-mm treated soil, respectively, before death. Both insecticides demonstrated a delayed mode of activity and nonrepellency against the two termite species.  KEYWORDS:  MeSH Chemical: Insect Repellents| Insecticides| Oxazines| Pyrazoles| Soil| indoxacarb| fipronil MeSH: | Animals| Insect Repellents| Insecticides/majr/administration &amp; dosage| Isoptera/majr| Oxazines/majr/administration &amp; dosage| Pyrazoles/majr/administration &amp; dosage| Soil/majr</t>
  </si>
  <si>
    <t>Efficacy of simulated barrier treatments against laboratory colonies of Pharaoh ant.    ABSTRACT:  Five selected insecticides were applied to four substrates and evaluated in laboratory studies for repellency and toxicity against the Pharaoh ant, Monomorium pharaonis (L.). We tested both repellent and nonrepellent formulations on outdoor (concrete and mulch) and indoor (ceramic and vinyl) substrates. Repellency was evaluated using a behavioral bioassay in which colonies were given a choice to leave the treated zone and move into empty nests provided in the untreated zone. We used a novel experimental design whereby ants walked on a Slinky coil suspended from a metal support frame, thus permitting a long foraging distance with a minimum use of space and resources. Cypermethrin, a repellent pyrethroid insecticide, resulted in colony budding, although the response was delayed. Toxicity of insecticides was evaluated as worker, queen, and brood mortality. The most effective treatment was fipronil, which provided 100% reduction in pretreatment activity by 2 d posttreatment on both concrete and mulch. Chlorfenapyr was highly effective on both outdoor and indoor substrates. Significant substrate effects were observed with insecticides applied to nonabsorbent substrates (ceramic tile), which performed better than insecticides applied to absorbent substrates (vinyl tile). Other highly absorbent materials (mulch and concrete), however, did not reduce insecticide efficacy. This is because ants relocated nests into and/or under these attractive nesting materials, thus increasing their exposure to toxic insecticide residues. Our results demonstrate efficacy of nonrepellent liquid insecticides as indoor treatments for the control of Pharaoh ants and possibly as exterior perimeter treatments.  KEYWORDS:  MeSH Chemical: Insect Repellents| Insecticides| Pyrazoles| Pyrethrins| cypermethrin| fipronil MeSH: | Absorption| Animals| Ants/majr/physiology| Behavior, Animal| Insect Control/majr/methods| Insect Repellents| Insecticides/majr/administration &amp; dosage| Pyrazoles| Pyrethrins</t>
  </si>
  <si>
    <t>Efficacy of fipronil in the treatment of feline cheyletiellosis.    ABSTRACT:  The purpose of the present study was to confirm the efficacy of 10% (w/v) fipronil spot-on (Frontline spot-on for cats) in the treatment of feline cheyletiellosis under field conditions. A total of 16 cats of different breeds, sexes, 4 months to 14 years of age and weighing 0.5-6 kg were treated with a single topical application of 10% (w/v) fipronil spot-on according to label directions. The animals were naturally infested with Cheyletiella mites and housed in their normal environment throughout the study. Animals were selected based on clinical signs and infestation was confirmed by demonstration of mites. Mite counts and a clinical assessment of mite infestations (i.e. skin lesions and/or scales) were performed on days 0 and approximately days 14 and 28. Individual counts on day 0 ranged from 1 to 40 mites on individual animals. No mites were detected on cats treated with 10% (w/v) fipronil spot-on (Frontline spot-on for cats) at both post-treatment evaluations. Typical skin lesions and/or scales were present in all animals pre-treatment. In 56% of the cats, the lesions resolved within 14 days after treatment. At the final assessment, 75% cats were free of lesions. Two cats that still had clinical signs on day 28 were suspected of having allergic reactions to food or environmental allergens. The lesions on the remaining two cats could not be related to a specific cause. The efficacy of fipronil in elimination of mites was 100% on each occasion when compared to the pre-treatment count. The results of this study demonstrated that fipronil in a topical formulation is highly effective (100%) for the elimination of an existing Cheyletiella mite infestation under field conditions following a single topical application in cats.  KEYWORDS:  MeSH Chemical: Antiparasitic Agents| Pyrazoles| fipronil MeSH: | Administration, Topical| Animals| Antiparasitic Agents/majr/therapeutic use| Cat Diseases/majr/drug therapy/parasitology| Cats| Female| Male| Mite Infestations/majr/drug therapy/parasitology/veterinary| Mites/majr/growth &amp; development| Pyrazoles/majr/therapeutic use| Skin Diseases, Parasitic/majr/parasitology/veterinary| Zoonoses/parasitology</t>
  </si>
  <si>
    <t>Resistance to fipronil in Drosophila simulans: influence of two point mutations in the RDL GABA receptor subunit.    ABSTRACT:  The Eyguieres 42 strain of Drosophila simulans, obtained by laboratory selection, displayed approximately 20,000-fold resistance to the insecticide fipronil. Molecular cloning of the cDNA encoding the RDL GABA receptor subunit of this strain revealed the presence of two mutations: the Rdl mutation (A301G) and an additional mutation in the third transmembrane domain (T350M). In order to assess the individual and combined roles of the two mutations in fipronil resistance, the functional properties of wild-type, A301G, T350M and A301G/T350M homomultimeric RDL receptors were compared by expression in Xenopus oocytes. In wild-type receptors, the inhibition of GABA (EC(30))-induced currents by fipronil and picrotoxin was enhanced by repeated GABA applications. The A301G mutation nearly abolished this effect, decreased the sensitivity to fipronil and picrotoxin and increased the reversibility of inhibition. The T350M mutation also reduced the sensitivity to both antagonists. Of the four receptor variants tested, the double mutant showed the highest resistance to fipronil, following repeated GABA applications. In conclusion, the present study emphasizes new aspects of the pharmacological alterations induced by the Rdl mutation and shows that resistance to GABA receptor-directed insecticides may implicate a mutation distinct from Rdl.  KEYWORDS:  MeSH Chemical: Drosophila Proteins| GABA Antagonists| GABA-A Receptor Agonists| GABA-A Receptor Antagonists| Insecticides| Protein Subunits| Pyrazoles| Rdl protein, Drosophila| Receptors, GABA-A| Picrotoxin| gamma-Aminobutyric Acid| fipronil MeSH: | Amino Acid Sequence| Animals| Base Sequence| Cell Membrane/genetics/metabolism| Drosophila/majr/genetics/metabolism| Drosophila Proteins/majr/agonists/antagonists &amp; inhibitors/genetics| Female| GABA Antagonists/pharmacology| GABA-A Receptor Agonists| GABA-A Receptor Antagonists| Insecticide Resistance/genetics| Insecticides/pharmacology| Oocytes| Picrotoxin/pharmacology| Point Mutation/majr/genetics| Protein Structure, Tertiary/genetics| Protein Subunits/genetics| Pyrazoles/majr/pharmacology| Receptors, GABA-A/majr/genetics| Xenopus| gamma-Aminobutyric Acid/pharmacology</t>
  </si>
  <si>
    <t>Sulfone metabolite of fipronil blocks gamma-aminobutyric acid- and glutamate-activated chloride channels in mammalian and insect neurons.    ABSTRACT:  Fipronil sulfone, a major metabolite of fipronil in both insects and mammals, binds strongly to GABA receptors and is thought to play a significant role in poisoning by fipronil. To better understand the mechanism of selective insecticidal action of fipronil, we examined the effects of its sulfone metabolite on GABA- and glutamate-activated chloride channels (GluCls) in cockroach thoracic ganglion neurons and on GABA(A) receptors in rat dorsal root ganglion neurons using the whole-cell patch-clamp technique. Fipronil sulfone blocked both desensitizing and nondesensitizing GluCls in the cockroach. Activation was required for block and unblock of desensitizing GluCls. In contrast, activation was not prerequisite for block and unblock of nondesensitizing channels. After repetitive activation of the receptors, the IC50 of fipronil sulfone to block the desensitizing GluCls was reduced from 350 to 25 nM and that for blocking nondesensitizing GluCls was reduced from 31.2 to 8.8 nM. This use-dependent block may be explained by its slow unbinding rate. In cockroach and rat neurons, fipronil sulfone blocked GABA receptors in both activated and resting states, with IC50 values ranging from 20 to 70 nM. In conclusion, although fipronil sulfone is a potent inhibitor of cockroach GABA receptors, desensitizing and nondesensitizing GluCls, and rat GABA(A) receptors, its selective toxicity in insects over mammals appears to be associated with its potent blocking action on both desensitizing and nondesensitizing GluCls, which are lacking in mammals.  KEYWORDS:  MeSH Chemical: Chloride Channels| Insecticides| Pyrazoles| Receptors, GABA| Receptors, GABA-A| Sulfones| Glutamic Acid| gamma-Aminobutyric Acid| fipronil MeSH: | Animals| Animals, Newborn| Chloride Channels/majr/antagonists &amp; inhibitors| Cockroaches/majr/physiology| Ganglia, Spinal/cytology/drug effects| Glutamic Acid/majr/physiology| Insecta/majr/physiology| Insecticides/majr/pharmacokinetics/pharmacology| Kinetics| Membrane Potentials/drug effects| Neurons/majr/drug effects| Patch-Clamp Techniques| Pyrazoles/majr/pharmacokinetics/pharmacology| Rats| Rats, Sprague-Dawley| Receptors, GABA/drug effects| Receptors, GABA-A/drug effects| Sulfones/majr/pharmacokinetics/pharmacology| gamma-Aminobutyric Acid/majr/physiology</t>
  </si>
  <si>
    <t>Effects of synergists on toxicity of six insecticides in parasitoid Diaeretiella rapae (Hymenoptera: Aphidiidae).    ABSTRACT:  The resistance to and the effects of synergists on the toxicity of six insecticides in Diaeretiella rapae (M'Intosh) (Hymenoptera: Aphidiidae), a parasitoid of vegetable aphid collected in Jianxin at Fuzhou-City, Fujian, China, were studied. In comparison with susceptible F21 progeny, the resistance ratios in resistant F0 parents were 27.6 for methamidophos, 20.8 for fipronil, 47.5 for avermectin, 3.3 for fenvalerate, 4.5 for cypermethrin, and 74.7 for imidacloprid. Piperonyl butoxide (PB), triphenyl phosphate (TPP), and diethyl maleate (DEM) were chosen to be applied in susceptible F21 progeny, as well as in resistant F11 progeny and F0 parents. Significant synergistic effects on the toxicity of the six insecticides were found by using PB, TPP, and DEM in F0 parents; on methamidophos, avermectin, and imidacloprid by PB, TPP, and DEM in F11 progeny; on fipronil by PB and DEM in F11 progeny; and on fenvalerate and cypermethrin by PB in F11 progeny. PB also showed significant synergism on the six insecticides in susceptible F21 progeny, although the synergism was far less in F21 progeny than those in resistant F0 parents. TPP and DEM showed little or no synergistic effects on the toxicity of the six insecticides in F21 progeny. Compared with TPP and DEM, the highest synergistic ratios of PB for methamidophos, fipronil, avermectin, fenvalerate, cypermethrin, and imidacloprid were observed in F0 parents, and F11 and F21 progeny. The resistance levels to methamidophos, fipronil, avermectin, fenvalerate, and cypermethrin could be inhibited strongly by applying PB in F0 parents. From the results, oxidative degradation is believed to play a critical role in resistance to methamidophos, fipronil, avermectin, fenvalerate, and cypermethrin in D. rapae. To a lesser extent, hydrolytic reactions also were partially involved in the resistance to these five insecticides by using the synergists PB, TPP, and DEM. However, although high synergism of PB, TPP, and DEM on imidacloprid was found, the resistance levels to imidacloprid remained high in the presence of PB, TPP, and DEM. The mediated detoxification of oxidative degradation and hydrolytic reactions was thought to be involved in the resistance to imidacloprid in F0 parents.  KEYWORDS:  MeSH Chemical: Enzyme Inhibitors| Insecticides MeSH: | Animals| Aphids/majr| Drug Synergism| Enzyme Inhibitors| Insecticide Resistance/drug effects| Insecticides/majr/administration &amp; dosage| Lethal Dose 50</t>
  </si>
  <si>
    <t>Fipronil resistance in the diamondback moth (Lepidoptera: Plutellidae): inheritance and number of genes involved.    ABSTRACT:  Bioassays (at generation 1, G1) using fipronil, spinosad, indoxacarb, and Bacillus thuringiensis toxins Cry1Ac and Cry1Ca with a newly collected field population of Plutella xylostella (L.) from farmers fields in the Cameron Highlands, Malaysia, indicated a resistance ratio of approximately 400-, 1,170-, 330-, 2,840-, and 1,410-fold, respectively, compared with a laboratory-susceptible population of P. xylostella (ROTH). At G3, the field-derived population was divided into two subpopulations, one was selected (G3 to G7) with fipronil (fip-SEL), whereas the second was left unselected (UNSEL). Bioassays at G8 found that selection with fipronil gave a resistance ratio of approximately 490 compared with UNSEL and approximately 770 compared with ROTH. The resistance ratio for fipronil, spinosad, indoxacarb, Cry1Ac, and Cry1Ca in the UNSEL population declined significantly by G8. Logit regression analysis of F1 reciprocal crosses between fip-SEL (at G8) and UNSEL indicated that resistance to fipronil in the fip-SEL population was inherited as an autosomal, incompletely recessive (D(LC) = 0.37) trait. At the highest dose of fipronil tested, resistance was completely recessive, whereas at the lowest dose it was incompletely recessive. A direct test of monogenic inheritance based on a backcross of F1 progeny with fip-SEL suggested that resistance to fipronil was controlled by a single locus. The fip-SEL population at G8 showed little change in its response to spinosad and indoxacarb compared with G1, whereas its susceptibility to Cry1Ac and Cry1Ca increased markedly over the selection period. This suggests that there may be some low level of cross-resistance between fipronil, spinosad, and indoxacarb.  KEYWORDS:  MeSH Chemical: Bacillus thuringiensis Toxins| Bacterial Proteins| Bacterial Toxins| Drug Combinations| Endotoxins| Hemolysin Proteins| Macrolides| Oxazines| Pyrazoles| insecticidal crystal protein, Bacillus Thuringiensis| indoxacarb| fipronil| spinosad MeSH: | Animals| Bacillus thuringiensis Toxins| Bacterial Proteins| Bacterial Toxins| Crosses, Genetic| Drug Combinations| Endotoxins| Hemolysin Proteins| Insecticide Resistance/majr/genetics| Macrolides| Moths/majr/genetics| Oxazines| Pyrazoles/majr| Regression Analysis</t>
  </si>
  <si>
    <t>Acute human self-poisoning with the N-phenylpyrazole insecticide fipronil--a GABAA-gated chloride channel blocker.    ABSTRACT:  Fipronil, a broad spectrum N-phenylpyrazole insecticide that inhibits GABAA-gated chloride channels, has been in use since the mid-1990s. A high affinity for insect compared to mammalian GABA receptors results in lower animal toxicity than other insecticides blocking this channel. To date, only two accidental cases of fipronil poisoning in humans have been published.We report seven patients with fipronil self-poisoning seen prospectively in Sri Lanka together with pharmacokinetics for four patients. Non-sustained generalized tonic-clonic seizures were seen in two patients (peak measured plasma fipronil concentrations 1600 and 3744 microg/L); both were managed with diazepam without complications. A patient with a peak measured plasma concentration of 1040 microg/L was asymptomatic throughout his stay. Plasma concentration was still high at discharge 3-4 days post-ingestion when the patients were well. Retrospective review of &gt;1000 pesticide poisoning deaths since 1995 found only one death from fipronil-based products. In contrast to the good outcome of the above cases, this patient required intubation and ventilation and had continuous fits despite therapy with barbiturates and benzodiazepines.Our experience with prospectively observed patients suggests that fipronil poisoning is characterized by vomiting, agitation, and seizures, and normally has a favorable outcome. Management should concentrate on supportive care and early treatment of seizures. However, further experience is needed to determine whether increased susceptibility to fipronil or larger doses can produce status epilepticus.  KEYWORDS:  MeSH Chemical: Chloride Channels| Insecticides| Pyrazoles| Receptors, GABA-A| fipronil MeSH: | Acute Disease| Adolescent| Adult| Chloride Channels/majr/antagonists &amp; inhibitors| Fatal Outcome| Female| Humans| Insecticides/majr/blood/pharmacokinetics/poisoning| Ion Channel Gating/drug effects| Male| Occupational Exposure| Prospective Studies| Pyrazoles/majr/blood/pharmacokinetics/poisoning| Receptors, GABA-A/majr/drug effects| Retrospective Studies| Suicide| Suicide, Attempted</t>
  </si>
  <si>
    <t>Population consequences of fipronil and degradates to copepods at field concentrations: an integration of life cycle testing with leslie matrix population modeling.    ABSTRACT:  The predominant data used in ecological risk assessment today are individual-based rather than population-based; yet environmental policies are usually designed to protect populations of threatened species or communities. Most current methods in ecotoxicology are limited by largely logistic/ technology-driven requirements that yield data for a relatively small number of test species and end points that focus on acute lethality or sublethal nonproduction-based parameters (e.g., biomarkers, mutagenesis, genetic change, physiological condition). A contrasting example is presented here showing the predictive ability of meiobenthos-based full life cycle toxicity testing to extrapolate multi-generational effects of chemicals on variables of import to population growth and maintenance. Less than 24-h-old larvae of a meiobenthic copepod were reared individually in 96-well microplate exposures to parent and degradates of the phenylpyrazole insecticide fipronil. Survival, development rates, sex ratio change, fertility, fecundity, and hatching success were tracked daily for 32 d through mating and production of three broods in spiked seawater. These data were then inserted in a Leslie (Lefkovitch) matrix stage-based population growth model to predict relative rates of population increase (lambda) and changes in net population growth with time and toxicant concentration. Field-reported test concentrations produced strong reproductive (52-88%) and net production (40-80%) depressions for parent (at 0.25 and 0.5 microg/L), desthionyl (0.25 and 0.5 microg/L), and sulfide (0.15 microg/L) moieties as compared to controls. Spiked sediment exposures of 65-300 ng of fipronil/g of dry sediment yielded significantly reduced production rates per female that were 67-50% of control production. The consistent reproductively linked impacts of fipronil and its degradation products at the population maintenance levels suggest risks to sediment-dwelling crustaceans at concentrations well below noneffects for most aquatic test species based on risk assessment data from primarily acute and sub-life cycle toxicity tests.  KEYWORDS:  MeSH Chemical: Insecticides| Pyrazoles| Water Pollutants, Chemical| fipronil MeSH: | Animals| Copepoda/majr/drug effects/physiology| Dose-Response Relationship, Drug| Female| Fertility/majr/drug effects| Insecticides/majr/chemistry/metabolism/toxicity| Life Cycle Stages| Models, Biological| Population Growth| Pyrazoles/majr/chemistry/metabolism/toxicity| Reproduction/drug effects| Risk Assessment| Sex Factors| Time Factors| Toxicity Tests| Water Pollutants, Chemical/majr/metabolism/toxicity</t>
  </si>
  <si>
    <t>Evaluation of selective toxicity of five pesticides against Plutella xylostella (Lep: Plutellidae) and their side-effects against Cotesia plutellae (Hym: Braconidae) and Oomyzus sokolowskii (Hym: Eulophidae).    ABSTRACT:  The toxicities of five pesticides commonly used in vegetable fields to the larvae of the diamondback moth, Plutella xylostella (L) and its two major parasitoids, Cotesia plutellae (Kurdjumov) and Oomyzus sokolowskii (Kurdjumov), were evaluated in the laboratory using several bioassays. When tested at the rates recommended for field application by the manufacturer, fipronil, avermectin and chlorfluazuron produced over 95% mortality on third-instar larvae of P xylostella, but fenvalerate and methomyl did not produce any substantial mortality to such larvae, and over 70% of P xylostella larvae could still pupate normally after feeding on cabbage leaf treated with the two pesticides. In a residual contact assay with adult parasitoids, fipronil and methomyl caused over 93% mortality within 24 h; fenvalerate killed approximately 55% of the adults within 24 h; avermectin and chlorfluazuron showed differential toxicity to the two parasitoids. Avermectin was extremely harmful to O sokolowskii but slightly toxic to C plutellae, while chlorfluazuron was more toxic to C plutellae than to O sokolowskii. In the residue assay with cocoons of C plutellae and pupae of O sokolowskii developed within P xylostella pupae, treatments with pesticides did not reduce adult emergence. However, the mortality of C plutellae adults emerged from the fipronil-treated cocoons increased greatly within 24 h post-emergence; adults from the fenvalerate-treated cocoons parasitized less host larvae. Treatments with fenvalerate and methomyl significantly increased the mortality of O sokolowskii adults within 24 h post-emergence. Recommendations of choosing pesticides for the control of P xylostella are given.2004 Society of Chemical Industry.  KEYWORDS:  MeSH Chemical: Insecticides| Nitriles| Phenylurea Compounds| Pyrazoles| Pyrethrins| Pyridines| Methomyl| Ivermectin| avermectin| chlorfluazuron| fipronil| fenvalerate MeSH: | Animals| Hymenoptera/majr/drug effects| Insecticides/majr/toxicity| Ivermectin/majr/analogs &amp; derivatives/toxicity| Larva| Methomyl/toxicity| Moths/majr/parasitology| Nitriles| Pest Control, Biological| Phenylurea Compounds/toxicity| Pupa/drug effects| Pyrazoles/toxicity| Pyrethrins/toxicity| Pyridines/toxicity</t>
  </si>
  <si>
    <t>Efficacy of fipronil/(S)-methoprene combination spot-on for dogs against shed eggs, emerging and existing adult cat fleas (Ctenocephalides felis, Bouché).    ABSTRACT:  The inhibitory activities of fipronil (10% (w/v) solution), (S)-methoprene (9% (w/v) solution), and fipronil/(S)-methoprene (10 and 9% (w/v) solution, respectively) combination against eggs and emerging adult cat fleas (Ctenocephalides felis) and adulticidal activity were tested on experimentally infested dogs. Thirty-two Beagle dogs were selected for this study and eight replicates of four animals were formed based on body weight within sex. One dog in each replicate was randomly allocated to treatment with: (1) untreated control; (2) fipronil 10% (w/v) solution, (3) (S)-methoprene 9% (w/v) solution, and (4) fipronil 10% (w/v) and (S)-methoprene 9% (w/v) combination solution. Treatments were applied once topically on Day 0 at the rate of 0.067 ml/kg. On Days -12, -1, 21, and weekly to Day 84 each dog was infested with approximately 200 fleas and comb counted approximately 24h later, or 2 days (our 48 h) after in the case of Day -1 infestation. On Days -11, 1, 22, and weekly to Day 85 each dog was again infested with approximately 200 fleas. Flea eggs were collected over approximately 24 h beginning 3 days after infestation. Fleas were combed off of the dogs and counted at the end of the egg collection period (approximately 96 h count). One aliquot of up to about 100 eggs, if available, from each animal at each infestation time was incubated for approximately 72 h to determine larval hatch and the other for 35 days to determine the number of adults that developed. The 10% (w/v) fipronil spot-on provided excellent control (&gt;95%) of adult fleas on dogs for 5 weeks. Similarly, the combination spot-on of 10% (w/v) fipronil and 9% (w/v) (S)-methoprene provided excellent control of adult fleas, i.e., &gt;95% for 5 weeks. From week 6 post-treatment onward, the relatively low inhibition of adult flea emergence substantiated the lack of significant ovicidal/larvicidal activity in the fipronil (10%, w/v) treatment group. However, the combination product provided excellent (&gt;90%) ovicidal activity for 8 weeks and high (91.4%) inhibition of adult flea emergence for 12 weeks. In addition, a synergistic effect of the two compounds in combination was demonstrated with fipronil enhancing the ovicidal and inhibition of adult flea emergence activity of (S)-methoprene against cat flea eggs. When all stages of the life cycle of the cat flea are considered, the combination spot-on product provided a high level of total flea control yielding a curative effect against adult fleas and inhibition of flea development stages with little to no potential reinfestation pressure on the animal or in the environment for 12 weeks.  KEYWORDS:  MeSH Chemical: Insecticides| Pyrazoles| Methoprene| fipronil MeSH: | Administration, Topical| Animals| Dog Diseases/majr/parasitology/prevention &amp; control| Dogs| Drug Therapy, Combination| Ectoparasitic Infestations/majr/prevention &amp; control/veterinary| Female| Insecticides/majr/administration &amp; dosage| Male| Methoprene/majr/administration &amp; dosage| Parasite Egg Count/veterinary| Pyrazoles/majr/administration &amp; dosage| Random Allocation| Siphonaptera/majr/growth &amp; development/metabolism</t>
  </si>
  <si>
    <t>Evaluation of the prophylactic effect and curative efficacy of fipronil 1% pour on (Topline) on post-castration scrotal myiasis caused by Cochliomyia hominivorax in cattle.    ABSTRACT:  A field trial was carried out during a summer-fall period on a commercial beef cattle farm in Minas Gerais State, located in the Southeast of Brazil. In order to evaluate the prophylactic effect and the curative efficacy of fipronil in a 1% solution, 200 Zebu crossbred bulls, with ages varying from 20 to 30 months and weights from 233 to 362 kg, were selected. The bulls were assigned by ranked pair to an untreated control group (A) or to a treated group (B), resulting in 100 animals per group. All experimental animals were surgically castrated on day 0, following routine procedures. After castration all animals in the group B were treated with 10 mg/kg bw of a 1% fipronil solution, topically on the dorsal mid-line. The wounds were individually inspected on days: 2, 4, 7, 10, 14, 17, 21, 28 and 35. After castration the animals were naturally exposed to Cochliomyia hominivorax and remained in the same pasture throughout the trial. Among the animals in the control group, 83 were observed to harbor C. hominivorax eggs, with a total of 97 ovipositions, and among those 73 animals had active myiasis. In group B (fipronil 1%), 66 animals showed C. hominivorax eggs, with 92 ovipositions and five animals with active myiasis. Most ovipositions and active myiasis were detected until seven days post-castration for both groups. Wound parasite infestation evidenced bleeding, serous purulent exudation and presence of active C. hominivorax larvae. Treatment with fipronil 1% had a prophylactic effect on scrotal wounds against the development of C. hominivorax larvae in more than 95% of the treated animals for up to 17 days after castration. The treatment showed partial protection of 66% and 50% on days 21 and 28 post-treatment (pt), respectively. Three animals from the control group and one from the treated group showed active screwworms on day 21 pt, and one animal from the treated group and two from the control group also presented C. hominivorax larvae on scrotal wounds on day 28 pt. By the end of the observation period (day 35 pt), the castration wound had healed in all animals. All experimental animals presenting scrotal wounds infested with C. hominivorax larvae were treated with a 1% pour-on formulation of fipronil, on the same day that infestation was observed. Active C. hominivorax larvae were not seen during the monitoring period immediately after treatment. The curative efficacy of fipronil 1% against C. hominivorax larvae infestation in castration wounds was 100%.  KEYWORDS:  MeSH Chemical: Insecticides| Pyrazoles| fipronil MeSH: | Administration, Topical| Animals| Brazil| Cattle| Cattle Diseases/majr/drug therapy/parasitology/prevention &amp; control| Diptera/majr/growth &amp; development/metabolism| Insecticides/majr/therapeutic use| Male| Myiasis/majr/drug therapy/parasitology/prevention &amp; control/veterinary| Orchiectomy/adverse effects| Pyrazoles/majr/therapeutic use| Screw Worm Infection/majr/drug therapy/parasitology/prevention &amp; control/veterinary| Scrotum/parasitology/surgery| Wound Healing/drug effects</t>
  </si>
  <si>
    <t>Kinetic and pharmacological characterization of desensitizing and non-desensitizing glutamate-gated chloride channels in cockroach neurons.    ABSTRACT:  Glutamate-gated chloride channels (GluCls) are found only in invertebrate nerve and muscle, where they mediate inhibitory synaptic transmission, and are important target sites of insecticides. Two GluCl subtypes have previously been distinguished in isolated cockroach CNS neurons based on differential pharmacology. The present study characterizes the kinetics and pharmacological properties of desensitizing and non-desensitizing GluCls. Both types of GluCls were sensitive to glutamate and ibotenic acid. The non-desensitizing GluCl subtype was elicited by glutamate with an EC(50) of 115.8 microM and a Hill coefficient of 2.6 and was also sensitive to the agonist ibotenic acid with an EC(50) of 42 microM and a Hill coefficient of 1.7. The desensitizing and non-desensitizing currents were carried by chloride ions, and occurred either separately or in combination in individual neurons. The GluCls were also found to coexist with and function independently of the GABA-activated chloride channels. The desensitizing and non-desensitizing GluCls exhibited different sensitivities to the ligand-gated channel blocker picrotoxinin. The desensitizing GluCls were blocked only 8% by 30 microM picrotoxinin, whereas the non-desensitizing GluCls were potently blocked by picrotoxinin with an IC(50) of 4.1 microM. The insecticides fipronil and dieldrin at 1 microM inhibited the desensitizing currents by 56 and 13%, respectively, and the non-desensitizing currents by 98 and 43%, respectively. It is concluded that the two types of GluCls found in cockroach neurons exhibit significantly different electrophysiological and pharmacological characteristics.  KEYWORDS:  MeSH Chemical: Chloride Channel Agonists| Chloride Channels| Picrotoxin| Glutamic Acid MeSH: | Animals| Chloride Channel Agonists| Chloride Channels/majr/antagonists &amp; inhibitors/metabolism| Dose-Response Relationship, Drug| Glutamic Acid/majr/pharmacokinetics/pharmacology| In Vitro Techniques| Ion Channel Gating/majr/drug effects/physiology| Neurons/majr/drug effects/metabolism| Periplaneta/majr/drug effects/metabolism| Picrotoxin/pharmacokinetics/pharmacology</t>
  </si>
  <si>
    <t>A method to quantify and analyze the foraging activity of honey bees: relevance to the sublethal effects induced by systemic insecticides.    ABSTRACT:  The assessment of agropharmaceuticals' side effects requires more realistic simulations of field conditions than those deduced from the dose-lethality relation obtained under laboratory conditions. Because the presence of sublethal doses or concentrations may also alter the behavior of foraging insects, we attempted to devise a quantifiable and accurate protocol for evidencing various alterations in free-flying bees. Such a protocol was illustrated by testing new classes of systemic insecticides. The protocol focused on video recording to quantify the foraging activity of small colonies of honey bees confined in insect-proof tunnels. The basis of the protocol was not the colony itself but the change in each colony on a specific day and between days. First, the paradigms of attendance at a safe feeding source were established by observing 8 control colonies at different times of the season during 5 days after the necessary forager training was accomplished. Second, on three different colonies we considered the paradigms on the control day before contamination and during 4 days after the feeding source was contaminated. During the same period, one more colony was exclusively fed with safe food to serve as control. Two plant-systemic insecticides were tested at contamination levels 70 times lower than the 50% of the lethal concentration. Imidacloprid, at 6 microg/kg, clearly induced a decrease in the proportion of active bees. Fipronil, at 2 microg/kg, induced an additional decrease in attendance at the feeder. Such levels are still higher than the corresponding lowest observable effect concentration (LOEC). Our protocol, which provided intermediate conditions between field and laboratory conditions, allowed the quantification, with an enhanced level of sensitivity, of sublethal effects on foraging bees.Copyright 2004 Springer Science + Business Media, Inc.  KEYWORDS:  MeSH Chemical: Environmental Pollutants| Insecticides MeSH: | Agriculture| Animals| Bees/majr| Environmental Exposure/majr| Environmental Pollutants/majr/analysis/poisoning| Feeding Behavior/majr| Insecticides/majr/analysis/poisoning| Male| Seasons</t>
  </si>
  <si>
    <t>Cross-resistance potential of fipronil in Musca domestica.    ABSTRACT:  The toxicity of fipronil to insecticide-susceptible houseflies and the cross-resistance potential of fipronil were determined for six insecticide-resistant laboratory housefly strains by topical application and feeding bioassay. The insecticide-resistant strains represented different levels and patterns of resistance to pyrethroids, organophosphates, carbamates and organochlorines. Five strains were almost susceptible to fipronil in feeding bioassay with resistance factors at LC50 between 0.36 and 3.0. Four of these strains were almost susceptible to topically applied fipronil (resistance factors at LD50 were 0.55, 0.83, 3.3 and 2.5, respectively), whereas one strain was 13-fold resistant to topically applied fipronil. A highly gamma-HCH-resistant strain, 17e, was 430-fold resistant to fipronil in topical application bioassay and 23-fold resistant in feeding bioassay at LD50/LC50. We also tested the toxicity of fipronil in a feeding bioassay and gamma-HCH in topical application bioassay on thirteen housefly field populations. Eleven of the field populations had resistance factors for fipronil ranging from 0.98 to 2.4 at LC50, whereas two populations were 4.0- and 4.6-fold resistant to fipronil. The resistance level to gamma-HCH at LD50 in the field populations ranged from 1.8- to 8.1-fold. The two strains showing fipronil resistance were 3.4- and 8.1-fold resistant to gamma-HCH. Fipronil and gamma-HCH toxicities were positively correlated in the field populations. Biochemical assays of esterase, glutathione S-transferase and cytochrome P450 monooxygenase indicated that the low fipronil resistance observed in laboratory and field strains could be caused by elevated detoxification or be due to a target-site resistance mechanism with cross-resistance to gamma-HCH.  KEYWORDS:  MeSH Chemical: Insecticides| Pyrazoles| Hexachlorocyclohexane| Cytochrome P-450 Enzyme System| Glutathione Transferase| Esterases| fipronil MeSH: | Animals| Cytochrome P-450 Enzyme System/metabolism| Esterases/metabolism| Feeding Methods| Female| Glutathione Transferase/metabolism| Hexachlorocyclohexane/toxicity| Houseflies/majr/drug effects/metabolism| Insecticide Resistance/majr| Insecticides/majr/metabolism/toxicity| Lethal Dose 50| Male| Pyrazoles/majr/toxicity</t>
  </si>
  <si>
    <t>GABA receptor antagonists and insecticides: common structural features of 4-alkyl-1-phenylpyrazoles and 4-alkyl-1-phenyltrioxabicyclooctanes.    ABSTRACT:  Fipronil [5-amino-3-cyano-1-(2,6-dichloro-4-trifluoromethylphenyl)-4-trifluoromethylsulfinylpyrazole] is one of the most important insecticides. Structure-activity studies described here reveal that fipronil retains its very high binding potency at the human beta3 and house fly gamma-aminobutyric acid (GABA) receptors and toxicity to house flies on replacing the pyrazole trifluoromethylsulfinyl moiety with tert-butyl or isopropyl and the phenyl trifluoromethyl substituent with ethynyl, trifluoromethoxy, bromo or chloro. Among the compounds studied, those with other alkyl groups at the 4-position of the pyrazole, as well as phenyl substitution without one or both of the 2,6-dichloro groups, are less effective. 5-Amino-4-tert-butyl-3-cyano-1-(2,6-dichloro-4-ethynylphenyl)pyrazole is highly effective and almost isosteric with 4-tert-butyl-3-cyano-1-(4-ethynylphenyl)-2,6,7-trioxabicyclo[2.2.2]octane (the most potent 4-alkyl-1-phenyltrioxabicyclooctane) as a noncompetitive GABA antagonist and insecticide. These findings are interpreted as three binding subsites in the GABA receptor: a hydrophobic site undergoing steric interaction with the tert-butyl or equivalent group; a hydrogen bonding site to pyrazole N-2; a pi bonding site to the face of the phenyl moiety; with supplemental enhancement by the 3-cyano and 4-ethynyl substituents.  KEYWORDS:  MeSH Chemical: Cyclooctanes| GABA Antagonists| Insecticides| Pyrazoles| Receptors, GABA| fipronil MeSH: | Alkylation| Animals| Cyclooctanes/majr/chemical synthesis/chemistry/pharmacology/toxicity| Diptera/drug effects/physiology| GABA Antagonists/majr/chemistry/pharmacology| Humans| Inhibitory Concentration 50| Insecticides/majr/chemistry/pharmacology/toxicity| Molecular Conformation| Molecular Structure| Pyrazoles/majr/chemical synthesis/chemistry/pharmacology/toxicity| Receptors, GABA/majr/metabolism| Structure-Activity Relationship</t>
  </si>
  <si>
    <t>Impacts of residual insecticide barriers on perimeter-invading ants, with particular reference to the odorous house ant, Tapinoma sessile.    ABSTRACT:  Three liquid insecticide formulations were evaluated as barrier treatments against perimeter-invading ants at a multifamily housing complex in West Lafayette, IN. Several ant species were present at the study site, including (in order of abundance) pavement ant, Tetramorium caespitum (L.); honey ant, Prenolepis imparis (Say); odorous house ant, Tapinoma sessile (Say); thief ant, Solenopsis molesta (Say); acrobat ant, Crematogaster ashmeadi (Mayr); crazy ant, Paratrechina longicornis (Latrielle), field ants, Formica spp.; and carpenter ant Camponotus pennsylvanicus (DeGeer). Studies began in May 2001 and concluded 8 wk later in July. Individual replicate treatments were placed 0.61 in (2 feet) up and 0.92 m (3 feet) out from the ends of 46.1 by 10.1-m (151 by 33-foot) apartment buildings. Ant sampling was performed with 10 placements of moist cat food for 1 h within treatment zones, followed by capture and removal of recruited ants for later counting. All treatments led to substantial reductions in ant numbers relative to untreated controls. The most effective treatment was fipronil, where 2% of before-treatment ant numbers were present at 8 wk after treatment. Both imidacloprid and cyfluthrin barrier treatments had efficacy comparative with fipronil, but to 4 and 2 wk, respectively. Odorous house ants were not sampled before treatment. Comparisons of ant species composition between treatments and controls revealed an increase in odorous house ant frequencies at 1-8 wk after treatment in treated locations only. These results demonstrate efficacy for both nonrepellent and repellent liquid insecticides as perimeter treatments for pest ants. In addition, our findings with odorous house ant highlight an apparent invasive-like characteristic of this species that may contribute to its dramatic increase in structural infestation rates in many areas of the United States.  KEYWORDS:  MeSH Chemical: Insect Repellents| Insecticides| Pesticide Residues MeSH: | Animals| Ants/majr| Housing| Insect Repellents/majr/administration &amp; dosage| Insecticides/majr/administration &amp; dosage| Pesticide Residues</t>
  </si>
  <si>
    <t>In vitro metabolism of fipronil by human and rat cytochrome P450 and its interactions with testosterone and diazepam.    ABSTRACT:  Fipronil (5-amino-1-[2,6-dichloro-4-(trifluoromethyl)phenyl]-4-[(trifluoromethyl)sulfinyl]-1H-pyrazole-3-carbonitrile) is a highly active, broad spectrum insecticide from the phenyl pyrazole family, which targets the gamma-amino butyric acid (GABA) receptor. Although fipronil is presently widely used as an insecticide and acaricide, little information is available with respect to its metabolic fate and disposition in mammals. This study was designed to investigate the in vitro human metabolism of fipronil and to examine possible metabolic interactions that fipronil may have with other substrates. Fipronil was incubated with human liver microsomes (HLM) and several recombinant cytochrome P450 (CYP) isoforms obtained from BD Biosciences. HPLC was used for metabolite identification and quantification. Fipronil sulfone was the predominant metabolite via CYP oxidation. The K(m) and V(max) values for human liver microsomes are 27.2 microM and 0.11 nmol/mg proteinmin, respectively; for rat liver microsomes (RLM) the K(m) and V(max) are 19.9 microM and 0.39 nmol/mg proteinmin, respectively. CYP3A4 is the major isoform responsible for fipronil oxidation in humans while CYP2C19 is considerably less active. Other human CYP isoforms have minimal or no activity toward fipronil. Co-expression of cytochrome b(5) (b(5)) is essential for CYP3A4 to manifest high activity toward fipronil. Ketoconazole, a specific inhibitor of CYP3A4, inhibits 78% of the HLM activity toward fipronil at a concentration of 2 microM. Oxidative activity toward fipronil in 19 single-donor HLMs correlated well with their ability to oxidize testosterone. The interactions of fipronil and other CYP3A4 substrates, such as testosterone and diazepam, were also investigated. Fipronil metabolism was activated by testosterone in HLM but not in CYP3A4 Supersomes. Testosterone 6beta-hydroxylation in HLM was inhibited by fipronil. Fipronil inhibited diazepam demethylation but had little effect on diazepam hydroxylation. The results suggest that fipronil has the potential to interact with a wide range of xenobiotics or endogenous chemicals that are CYP3A4 substrates and that fipronil may be a useful substrate for the characterization of CYP3A4 in HLM.  KEYWORDS:  MeSH Chemical: Drug Combinations| Enzyme Inhibitors| Insecticides| Isoenzymes| Pyrazoles| Testosterone| Cytochrome P-450 Enzyme System| Diazepam| fipronil| Ketoconazole MeSH: | Animals| Chromatography, High Pressure Liquid| Cytochrome P-450 Enzyme System/majr/metabolism| Diazepam/majr/metabolism| Dose-Response Relationship, Drug| Drug Combinations| Drug Interactions| Enzyme Inhibitors/pharmacology| Humans| Insecticides/majr/metabolism| Isoenzymes/metabolism| Ketoconazole/pharmacology| Microsomes, Liver/enzymology| Pyrazoles/majr/metabolism| Rats| Species Specificity| Testosterone/majr/metabolism</t>
  </si>
  <si>
    <t>Effective treatment and control of biting lice, Felicola subrostratus (Nitzsch in Burmeister, 1838), on cats using fipronil formulations.    ABSTRACT:  The efficacy of 0.25% fipronil spray (Frontline Spray, Merial), 10% fipronil spot-on (Frontline Spot-on for Cats, Merial) and 10% fipronil/12% (S)-methoprene (Frontline Plus for Cats, Merial) against the biting louse Felicola subrostratus on cats was assessed and confirmed under laboratory conditions. A field study evaluated the efficacy of a single topical application of Frontline Spray, and spot-on against the parasite on cats. In the laboratory studies, animals were allocated based on pre-treatment louse counts to the treatment groups: (1) untreated control and (2) 10% fipronil spot-on in the exploratory study or (1) untreated control, (2) 0.25% fipronil spray, at 6 ml/kg; (3) 10% fipronil spot-on as per label and (4) 10% fipronil/12% (S)-methoprene as per label in the confirmation study. Cats in treatment groups 2-4 were treated twice topically on Days 0 and 28. No live F. subrostratus were found on cats treated with fipronil formulations at any post-treatment examination. The difference from controls was significant (P &lt; 0.01) for each product at each examination. Based on whole body counts at Day 42, the efficacy of each product was determined to be 100%. In the field study, cats were allocated in strict order of presentation. Cats were randomly allocated to one of the three treatment groups: (1) propoxur collar (Bolfo, Bayer); (2) 0.25% fipronil spray, at 6 ml/kg and (3) 10% fipronil spot-on as per label. Cats were treated once topically on Day 0. Louse counts of cats treated with fipronil formulations were not different than those of cats receiving the propoxur collar. The efficacy was determined to be &gt; 98% on Day 2 and 100% on Days 28 and 42 in all treatment groups. The results of these studies demonstrate that fipronil in topical formulations is effective for treatment and control of biting lice (F. subrostratus) infestations on cats.Copyright 2004 Elsevier B.V.  KEYWORDS:  MeSH Chemical: Insecticides| Pyrazoles| Propoxur| fipronil MeSH: | Administration, Topical| Animals| Cat Diseases/majr/parasitology/prevention &amp; control| Cats| Female| Insecticides/majr/administration &amp; dosage| Lice Infestations/majr/parasitology/prevention &amp; control/veterinary| Male| Phthiraptera/majr| Propoxur/administration &amp; dosage| Pyrazoles/majr/administration &amp; dosage| Random Allocation</t>
  </si>
  <si>
    <t>An enzyme-linked immunosorbent assay for lipovitellin quantification in copepods: a screening tool for endocrine toxicity.    ABSTRACT:  Vitellogenin (VTG) has been widely used as a biomarker of estrogenic exposure in fish, leading to the development of standardized assays for VTG quantification. However, standardized quantitative assays for invertebrate, particularly crustacean, lipovitellin (also known as vitellin [VTN]) are lacking. In this study, a fluorescence-based VTN enzyme-linked immunosorbent assay (ELISA) was developed to quantify microquantities of VTN in the estuarine, sediment-dwelling copepod Amphiascus tenuiremis. This ELISA utilizes a VTN-specific polyclonal antibody developed against amphipod (Leptocheirus plumulosus) embryo VTN and exhibits specificity toward female copepod proteins. In routine assays, the working range of the ELISA was 31.25 to 1,000 ng/ml (75-25% specific binding/maximum antibody binding [B/B0]) with a 50% B/B0 intra- and interassay variation of 3.9% (n = 9) and 12.5% (n = 26), respectively. This ELISA is capable of detecting VTN as low as 2 ng/ml, and can accurately detect VTN in as few as four copepods. The ELISA significantly discriminated positive (gravid female) and negative (male) samples, and was suitable for screening endocrine toxicity in copepods. Stage-I juvenile copepods were individually reared to adults in aqueous microvolumes of the phenylpyrazole insecticide, fipronil, and whole-body homogenate extracts were assayed for VTN levels. Fipronil-exposed virgin adult females, but not males, exhibited significantly higher levels of VTN relative to control males and females. This crustacean VTN ELISA is likely useful for evaluating endocrine activity of environmental toxicants in copepods and other crustacean species.  KEYWORDS:  MeSH Chemical: Egg Proteins| Egg Proteins, Dietary| Pyrazoles| lipovitellin| fipronil MeSH: | Amphipoda| Animals| Biological Assay| Chromatography, Affinity| Copepoda/majr/chemistry/drug effects| Egg Proteins| Egg Proteins, Dietary/majr/analysis/toxicity| Environmental Monitoring/majr| Enzyme-Linked Immunosorbent Assay/majr/methods| Female| Fluorescence| Palaemonidae/metabolism| Pyrazoles| Sensitivity and Specificity</t>
  </si>
  <si>
    <t>Fipronil effects on estuarine copepod (Amphiascus tenuiremis) development, fertility, and reproduction: a rapid life-cycle assay in 96-well microplate format.    ABSTRACT:  Fipronil is a novel gamma-aminobutyric acid receptor-specific phenylpyrazole insecticide commonly used near estuarine environments for rice production, turf-grass management, and residential insect control. In this study, we evaluated the acute, developmental, and reproductive toxicity of fipronil to the estuarine harpacticoid copepod Amphiascus tenuiremis. Fipronil was highly toxic to A. tenuiremis (adult 96-h median lethal concentration [LC50] = 6.8 microg/L) and was more toxic to male copepods (96-h LC50 = 3.5 microg/L) than to nongravid female copepods (96-h LC50 = 13.0 microg/L). By using a newly developed 96-well microplate-based life-cycle toxicity test, we successfully reared single individuals of A. tenuiremis to adulthood in 200-microl microwells and concurrently assessed developmental and reproductive effects (after paired virginal matings) of environmentally relevant aqueous fipronil concentrations (0.16, 0.22, and 0.42 microg/L measured). Throughout the entire life cycle, copepod survival in all treatments was &gt;90%. However, fipronil at 0.22 microg/L and higher significantly delayed male and female development from stage 1 copepodite to adult by approximately 2 d. More importantly, fipronil significantly halted female egg extrusion by 71% in the 0.22-microg/L fipronil treatment, and nearly eliminated reproduction (94% failure) in the 0.42-microg/L fipronil treatment. A three-generation Leslie matrix-based population growth model of fipronil reproductive and life-cycle impacts predicted a 62% decline in population size of A. tenuiremis relative to controls at only 0.16 microg/L.  KEYWORDS:  MeSH Chemical: Insecticides| Pyrazoles| Water Pollutants, Chemical| fipronil MeSH: | Animals| Copepoda/majr/growth &amp; development/physiology| Environmental Exposure/majr| Female| Fertility/majr/drug effects| History, 15th Century| Insecticides/majr/toxicity| Larva/growth &amp; development| Lethal Dose 50| Male| Population Dynamics| Pyrazoles/majr/toxicity| Water Pollutants, Chemical/majr/toxicity</t>
  </si>
  <si>
    <t>Phenylpyrazole insecticide fipronil induces male infertility in the estuarine meiobenthic crustacean Amphiascus tenuiremis.    ABSTRACT:  Copepods are the most abundant arthropods on earth and are often the most important secondary producers in estuarine/marine food webs. The new GABA (gamma-aminobutyric acid)-disrupting insecticide fipronil (FP) induces unique sex-specific reproductive dysfunction in male meiobenthic copepods, leading to trans-generational population depression at environmentally realistic concentrations (0.63 microg/L). Using a newly developed 96-well microplate lifecycle bioassay, more than 700 individual Stage-I juveniles were reared to adulthood in as short as 12 days in only 200 microL of control (CTL) or 0.63 microg-FP/L seawater solution. Individual virgin male: female pairs were then cross-mated for all possible combinations within and across rearing treatments and allowed to mate for an additional 12 days in CTL or 0.63 microg-FP/L solution. FP at 0.63 microg/L caused no significant lethality to any mating combinations but evoked 73% or 89% inhibition of reproduction when FP-reared males were mated with either a control- or FP-reared female in FP solution, respectively. In contrast, when CTL-reared males were mated with FP-reared females in FP solution, there was no difference in reproductive success compared to FP-free controls. When FP-reared males were mated with either female group in FP-free solution, these mating pairs displayed a 3-day delay in time to brood sac extrusion but ultimately did reproduce. As fipronil (1) has a high K(ow), (2) is persistent in sediments where meiobenthic copepods live, and (3) has been detected in estuarine waters &gt;0.7 microg/L, it may pose high risk to copepod production in estuarine systems.  KEYWORDS:  MeSH Chemical: Insecticides| Pyrazoles| Water Pollutants, Chemical| fipronil MeSH: | Animals| Biological Assay| Copepoda/majr/physiology| Female| Infertility, Male/majr/chemically induced/veterinary| Insecticides/majr/toxicity| Male| Population Dynamics| Pyrazoles/majr/toxicity| Risk Assessment| Water Pollutants, Chemical/majr/toxicity</t>
  </si>
  <si>
    <t>Origin and extent of resistance to fipronil in the German cockroach, Blattella germanica (L.) (Dictyoptera: Blattellidae).    ABSTRACT:  Fipronil, a phenylpyrazole insecticide, was made available in 1999 in bait formulations for use against the German cockroach, Blattella germanica (L.). We have investigated resistance to fipronil in the descendants of cockroaches collected just before, or contemporaneously with, the introduction of fipronil baits. Cockroaches were obtained in two types of settings: homes that either had or had not been serviced by a pest management professional while occupied by their current residents. Thorough inspections by us turned up no evidence that fipronil had been used in any of the homes, and in addition, no residents claimed to have used baits containing fipronil. Resistance to fipronil was detected by topically dosing adult males with the LC99 of fipronil, the value of which was determined in a dose-response assay with males of an insecticide-susceptible strain. Fewer than 99 of 100 males of all field-collected strains died within 72 h of being treated. Moreover, substantial numbers of males survived doses three and 10-fold greater than the LC99. Regression analysis showed that 67% of the variation in the percentage of males that died after being treated with fipronil was explained by a linear relationship with the percentage that died after being treated with dieldrin. Therefore, it appears that resistance to fipronil in German cockroaches--whose ancestors had never been exposed to it--is attributable to enduring resistance to the cyclodienes, which were formerly used for cockroach control and have a similar mode of action as fipronil. Lastly, we found that insects resistant to topically administered fipronil were likewise resistant, and to a similar degree, to ingested fipronil.  KEYWORDS:  MeSH Chemical: Pheromones| Pyrazoles| insect attractants| fipronil MeSH: | Animals| Blattellidae/majr| Insecticide Resistance/majr| Male| Pheromones| Pyrazoles/majr/administration &amp; dosage</t>
  </si>
  <si>
    <t>Fipronil modulation of glutamate-induced chloride currents in cockroach thoracic ganglion neurons.    ABSTRACT:  Fipronil is the first phenylpyrazole insecticide introduced for pest control. It is effective against some insects that have become resistant to other insecticides, and exhibits low mammalian toxicity. Although fipronil is known to block GABA receptors, the mechanisms of its selective toxicity and efficacy against insects with dieldrin-resistant GABA receptors are not fully understood. We studied the effects of fipronil on the inhibitory glutamate receptor-chloride channel complex, which is found only in invertebrates. Glutamate-activated chloride currents were recorded from neurons isolated from cockroach thoracic ganglia using the whole-cell patch clamp technique. When glutamate was applied to a neuron, it evoked inward currents with an EC50 of 36.8 +/- 3.0 microM and a Hill coefficient of 1.56 +/- 0.17. The similarity between the reversal potential and the calculated chloride equilibrium potential indicated that glutamate-induced currents were carried by chloride ions. Fipronil suppressed the glutamate-induced peak currents in a dose-dependent manner with an IC50 of 0.73 +/- 0.27 microM and a Hill coefficient of 0.68 +/- 0.15. The current decay phases were greatly prolonged after fipronil application in a concentration-dependent manner. Picrotoxinin (PTX) at 100 microM slightly suppressed glutamate-induced currents to 87.8 +/- 3.7% of the control, and dieldrin at 100 microM had no effect (96.7 +/- 3.1%). AP5 and CNQX, mammalian glutamate receptor antagonists, were without effect on glutamate-induced Cl- currents. It is concluded that the potent blocking action of fipronil against glutamate-gated chloride channels may contribute to the higher toxicity against insects than mammals, as well as the efficacy against insects resistant to other insecticides.  KEYWORDS:  MeSH Chemical: Chloride Channels| Pyrazoles| Receptors, Glutamate| Glutamic Acid| fipronil MeSH: | Animals| Chloride Channels/majr/antagonists &amp; inhibitors/physiology| Cockroaches| Dose-Response Relationship, Drug| Ganglia, Invertebrate/majr/drug effects/physiology| Glutamic Acid/majr/pharmacology| Neurons/drug effects/physiology| Pyrazoles/majr/pharmacology| Receptors, Glutamate/physiology</t>
  </si>
  <si>
    <t>Chloride channels as tools for developing selective insecticides.    ABSTRACT:  Ligand-gated chloride channels underlie inhibition in excitable membranes and are proven target sites for insecticides. The gamma-aminobutyric acid (GABA(1)) receptor/chloride ionophore complex is the primary site of action for a number of currently used insecticides, such as lindane, endosulfan, and fipronil. These compounds act as antagonists by stabilizing nonconducting conformations of the chloride channel. Blockage of the GABA-gated chloride channel reduces neuronal inhibition, which leads to hyperexcitation of the central nervous system, convulsions, and death. We recently investigated the mode of action of the silphinenes, plant-derived natural compounds that structurally resemble picrotoxinin. These materials antagonize the action of GABA on insect neurons and block GABA-mediated chloride uptake into mouse brain synaptoneurosomes in a noncompetitive manner. In mammals, avermectins have a blocking action on the GABA-gated chloride channel consistent with a coarse tremor, whereas at longer times and higher concentrations, activation of the channel suppresses neuronal activity. Invertebrates display ataxia, paralysis, and death as the predominant signs of poisoning, with a glutamate-gated chloride channel playing a major role. Additional target sites for the avermectins or other chloride channel-directed compounds might include receptors gated by histamine, serotonin, or acetylcholine.The voltage-sensitive chloride channels form another large gene family of chloride channels. Voltage-dependent chloride channels are involved in a number of physiological processes including: maintenance of electrical excitability, chloride ion secretion and resorption, intravesicular acidification, and cell volume regulation. A subset of these channels is affected by convulsants and insecticides in mammals, although the role they play in acute lethality in insects is unclear. Given the wide range of functions that they mediate, these channels are also potential targets for insecticide development.Copyright 2003 Wiley-Liss, Inc.  KEYWORDS:  MeSH Chemical: Chloride Channels| GABA Antagonists| Indoles| Insecticides| Receptors, GABA| Sesquiterpenes| Stilbenes| glutamate-gated chloride channels| Ivermectin| selamectin MeSH: | Animals| Chloride Channels/majr/drug effects/physiology| GABA Antagonists/chemistry/toxicity| Indoles/chemistry/toxicity| Insecticides/majr/pharmacology| Ion Channel Gating/drug effects/physiology| Ivermectin/majr/analogs &amp; derivatives/chemistry/toxicity| Nervous System/drug effects| Receptors, GABA/drug effects| Sesquiterpenes/toxicity| Stilbenes/chemistry/toxicity</t>
  </si>
  <si>
    <t>Comparison of the activity of selamectin, fipronil, and imidacloprid against flea larvae (Ctenocephalides felis felis) in vitro.    ABSTRACT:  The activity of selamectin, fipronil and imidacloprid against larval cat fleas (Ctenocephalides felis felis) was evaluated in an in vitro potency assay system. One hundred microliters of each compound at various concentrations in acetone were added to glass vials (1.5 by 3 cm) to which had been previously added 20 mg of sand and 10 mg of flea feces. Vials were then ball milled to allow the acetone to evaporate. Selamectin and fipronil were tested at 0.001, 0.003, 0.005, 0.01, 0.03, 0.05, 0.11, 0.3, and 0.5 microg of active compound per tube. Imidacloprid was tested at 0.01, 0.03, 0.05, 0.1, 0.3, 0.5, 1.0, 3.0, and 5.0 microg of active compound per tube. Thirty first instar C. felis larvae were added to each vial. The number of larvae remaining alive in each vial was determined once daily for 72 h. With selamectin, reductions of &gt;/=93.5% were achieved at 24 h after exposure at doses of &gt;/=0.3 microg. In contrast, at 24 h neither fipronil nor imidacloprid reached 90% reduction, even at the highest doses tested (0.5 microg for fipronil and 5.0 microg for imidacloprid). Selamectin was significantly (P&lt;/=0.05) more potent than imidacloprid and fipronil at levels &gt;/=0.03 microg. A similar pattern of activity was observed at both 48 and 72 h, but higher percentages of larvae were killed for each of the compounds as the incubation time increased. At 72 h selamectin was significantly (P&lt;/=0.05) more potent than imidacloprid at levels of 0.01-0.1 microg and significantly (P&lt;/=0.05) more potent than fipronil at levels of 0.003-0.01 microg. Therefore, selamectin was more potent than either fipronil or imidacloprid in killing flea larvae in this in vitro assay system.  KEYWORDS:  MeSH Chemical: Antiparasitic Agents| Imidazoles| Neonicotinoids| Nitro Compounds| Pyrazoles| imidacloprid| Ivermectin| selamectin| fipronil MeSH: | Animals| Antiparasitic Agents/majr/pharmacology| Cat Diseases/majr/drug therapy/parasitology| Cats| Ectoparasitic Infestations/veterinary| Imidazoles/pharmacology| Ivermectin/majr/analogs &amp; derivatives/pharmacology| Larva/growth &amp; development| Neonicotinoids| Nitro Compounds| Pyrazoles/pharmacology| Siphonaptera/majr/drug effects</t>
  </si>
  <si>
    <t>Toxicity and pathogenicity of Metarhizium anisopliae var. acridum (Deuteromycotina, Hyphomycetes) and fipronil to the fringe-toed lizard Acanthodactylus dumerili (Squamata: Lacertidae).    ABSTRACT:  Reptiles in arid and semiarid zones are frequently exposed to insecticides sprayed to control locusts and grasshoppers. We evaluated the toxicity and pathogenicity of new biological and chemical control agents to the fringe-toed lizard Acanthodactylus dumerili in Mauritania, West Africa. A mycoinsecticide based on spores of the entomopathogenic fungus Metarhizium anisopliae var. acridum (isolate IMI 330189, Green Muscle) was tested at high challenge concentrations, using three exposure routes. Thirty-minute inhalation exposure to 3.9 x 10(8) viable conidia/L had no adverse effect. Locomotor activity, feeding activity, food consumption, body weight, and liver-to-body weight ratio were similar among treatments. Gross necropsy revealed no pulmonary lesions, hyphal mats, clumps of spores, or other abnormalities associated with fungal infections. Oral exposure to an oil-miscible flowable concentrate administered at approximately 10(7) viable conidia/g body weight had no effect on locomotor activity, food consumption, and body weight of survivors. However, two of the treated lizards died within one week of exposure. Feeding activity (sexes pooled) and relative liver mass of female survivors were significantly reduced. This was also observed in lizards treated with deactivated (nonviable) conidia, indicating an inherent toxicity of the formulation. Limited necropsy examination at four weeks posttreatment revealed that one lizard treated with viable spores had developed a pulmonary mycetoma that contained a clump of viable spores and fungal mycelium. The toxicity of mycotoxins was tested by feeding mycosed nymphs of desert locust Schistocerca gregaria to lizards. An average consumption of 231 mg (females) or 260 mg (males) nymphs/g body weight showed no adverse effect for any of the endpoints. No risk due to the pathogen is anticipated at recommended field application rates. The second agent tested was fipronil (Adonis), a phenylpyrazole insecticide. A single dose of 30 microg fipronil/g body weight was administered via contaminated prey or stomach instillation. The percentage of dead or moribund lizards at four weeks posttreatment was 62.5% in animals fed contaminated prey and 42.0% in gavaged animals. In both tests, survivors showed significantly reduced feeding activity, food consumption, body weight, and organ-to-body-weight ratios (liver and/or fat body). The high toxicity of fipronil to lizards was not previously known, suggesting that follow-up studies (e.g., subacute dietary tests) are needed to provide adequate data for risk assessment.  KEYWORDS:  MeSH Chemical: Insecticides| Pyrazoles| fipronil MeSH: | Animals| Body Composition/drug effects| Body Weight/drug effects| Dose-Response Relationship, Drug| Feeding Behavior/drug effects| Insecticides/majr/toxicity| Lizards/majr| Locomotion/drug effects| Mitosporic Fungi/majr/pathogenicity| Pyrazoles/majr/toxicity| Risk Assessment</t>
  </si>
  <si>
    <t>Operational note effects of fipronil and lambda-cyhalothrin against larval Anopheles quadrimaculatus and nontarget aquatic mosquito predators in Arkansas small rice plots.    ABSTRACT:  The effects of fipronil and lambda-cyhalothrin, applied at rates labeled for control of the rice water weevil, Lissorhoptrus oryzophilus, on 3 nontarget indigenous insect species in Arkansas rice are described. Three replicates of untreated control checks and fipronil- and lambda-cyhalothrin-treated plots containing 3 sentinel cages each were performed. Ten 4th-stage larvae of Anopheles quadrimaculatus, 10 adult Tropisternus lateralis, or 10 adult Notonecta indica were placed within individual cages in small rice plots treated with ICON 6.2 FS (fipronil) at 0.025 lb active ingredient (AI)/acre (0.028 kg/ha) or KARATEZ 2.08 CS (lambda-cyhalothrin) at 0.03 lb AI/acre (0.033 kg/ha) applied over vegetation and water with a single-boom sprayer. At 24 h after treatment in fipronil plots, significantly higher control of An. quadrimaculatus and T. lateralis (69 and 48% control, respectively) was achieved, compared to N. indica (18%). In lambda-cyhalothrin plots 24 h after treatment, 100% reductions of both T. lateralis and N. indica were highly significant (P &lt; 0.05) from the lower level of control in An. quadrimaculatus (10%). At 48 h after treatment, no significant, differences existed between all species within fipronil plots, with An. quadrimaculatus, T. lateralis, and N. indica obtaining 41, 10, and 7% control, respectively. Significantly higher (P &lt; 0.05) control was obtained in lambda-cyhalothrin plots 48 h after treatment, with 93 and 53% control of T. lateralis and N. indica, respectively, compared to 7% control of An. quadrimaculatus. A marked difference in susceptibility was found between selected nontarget organisms used in this study. When using lambda-cyhalothrin to control adult L. oryzophilus, populations of nontarget beneficial insects, such as T. lateralis and N. indica, could be adversely affected, whereas nontarget pestilent species, such as An. quadrimaculatus, could proliferate. Fipronil achieved higher percentages of control against An. quadrimaculatus, compared to lambda-cyhalothrin, and was less harmful to both nontarget predators.  KEYWORDS:  MeSH Chemical: Insecticides| Nitriles| Pyrazoles| Pyrethrins| fipronil| cyhalothrin MeSH: | Agriculture/majr| Animals| Anopheles/majr| Arkansas| Coleoptera| Food Chain| Hemiptera| Insecticides/majr| Larva| Nitriles| Oryza| Pyrazoles/majr| Pyrethrins/majr</t>
  </si>
  <si>
    <t>Differential actions of fipronil and dieldrin insecticides on GABA-gated chloride channels in cockroach neurons.    ABSTRACT:  Fipronil and dieldrin are known to inhibit GABA receptors in both mammals and insects. However, the mechanism of selective toxicity of these insecticides between mammals and insects remains to be seen. One possible mechanism is that insect GABA receptors are more sensitive than mammalian GABAA receptors to fipronil and dieldrin. We examined differential actions of fipronil and dieldrin on GABA-gated chloride channels in insects and compared them with the data on mammalian GABAA receptors. Neurons were acutely dissociated from the American cockroach thoracic ganglia, and currents evoked by GABA were recorded by the whole-cell patch-clamp technique. GABA-evoked currents were carried by chloride ions, blocked by picrotoxinin, but not by bicuculline. Fipronil inhibited GABA currents with an IC50 value of 28 nM, whereas dieldrin exhibited a dual action potentiation with an EC50 value of 4 nM followed by inhibition with an IC50 value of 16 nM. Fipronil and dieldrin acted on the resting receptor at comparable rates, whereas fipronil blocked the activated receptor 10 times faster than dieldrin. Fipronil inhibition was partially reversible, whereas dieldrin inhibition was irreversible. Fipronil was 59 times more potent on cockroach GABA receptors than on rat GABAA receptors. However, the potentiating and inhibitory potencies of dieldrin in cockroach GABA receptors were comparable with those in rat GABAA receptors. It was concluded that the higher toxicity of fipronil in insects than in mammals is due partially to the higher sensitivity of GABA receptors. The mechanism of dieldrin's selective toxicity must lie in factors other than the sensitivity of GABA receptors.  KEYWORDS:  MeSH Chemical: Chloride Channels| Insecticides| Pyrazoles| Receptors, GABA| gamma-Aminobutyric Acid| Dieldrin| fipronil MeSH: | Animals| Chloride Channels/majr/drug effects/physiology| Cockroaches| Dieldrin/majr/toxicity| Insecticides/majr/toxicity| Neurons/majr/drug effects/physiology| Pyrazoles/majr/toxicity| Receptors, GABA/metabolism| gamma-Aminobutyric Acid/majr/metabolism</t>
  </si>
  <si>
    <t>Horizontal and trophic transfer of diflubenzuron and fipronil among grasshoppers (Melanoplus sanguinipes) and between grasshoppers and darkling beetles (Tenebrionidae).    ABSTRACT:  The possibility of horizontal transmission of diflubenzuron and fipronil was assessed in rangeland grasshoppers. Laboratory studies of Melanoplus sanguinipes demonstrated that fipronil was horizontally transferred at lethal levels (p &lt; 0.05) via cannibalism through four passages when the initial dose applied to a food source was 250 times the label rate for rangeland grasshopper and locust control (label rate is 4 g AI/ha). Mortality was 100% on the first three passages through cannibalism. At 25 and 1 times the label rate, fipronil was lethal (p &lt; 0.05) only on the first cannibalistic passage. Diflubenzuron generated significant (p &lt; 0.05) mortality via horizontal transmission through two passages when the initial dose applied to a food source was 2,000 times the label rate for rangeland grasshopper control (label rate is 8.71 g AI/ha). There was 100% mortality in the first passage via cannibalism. At 250 and 25 times the label rate, diflubenzuron was lethal only on the first cannibalistic passage. Field applications of these two acridicides followed by collection of cadavers (Amphitornus coloradus and Ageneotettix deorum) that were fed to M. sanguinipes in the laboratory revealed that fipronil (25 times the label rate) generated significant (p &lt; 0.05) mortality through two passages and diflubenzuron (label rate) caused no mortality via necrophagy. Tenebrionid beetles fed grasshopper cadavers collected from the field application of fipronil yielded 45% mortality, compared with 25% mortality in the controls. These findings suggest that horizontal and trophic transfer probably play a nominal ecotoxicological role in rangeland grasshopper control programs with diflubenzuron, but the transfer of fipronil to grasshoppers, scavengers, and natural enemies via necrophagy may increase both the efficacy of control programs and their environmental affects.  KEYWORDS:  MeSH Chemical: Pyrazoles| Diflubenzuron| fipronil MeSH: | Animals| Cannibalism| Coleoptera/majr/physiology| Diflubenzuron/majr/toxicity| Feeding Behavior/majr/physiology| Grasshoppers/majr/physiology| Insect Control/majr/methods| Pyrazoles/majr/toxicity</t>
  </si>
  <si>
    <t>[An experimental tool essential for the evaluation of insecticides: the testing huts].    ABSTRACT:  The following study analyses the potentialities of the experimental huts built in M'be Valley (Côte d'Ivoire) where the evaluations of the insecticide products have been carried out for many years in line with the WHOPES protocol on the methodology of stage 2 assays. Starting a testing station first requires a good knowledge of the sensitivity of Anopheles gambiae to the main insecticide families. Then thanks to the experimental huts the efficacy of the various means of treatment can be compared with the one in untreated huts; this study focuses on house spraying using 100 mg a.i./m2 and bednets impregnated with lambda-cyhalothrin at a dose of 15 mg a.i./m2. The fipronil used in house spraying doesn't show any repellent effect, however it does have an irritating effect that increases the natural exophily of An. gambiae females entering the testing huts. The blood-feeding rate recorded in the treated huts was reduced to 24% and to 38% mortality rate consisting mainly of a 24 hours delayed mortality. The bednets treated with lambda-cyhalothrin have greatly reduced the contact between man and vector since the entry rate of An. gambiae females was cut down by 68% compared to the control. The exophily of this anopheles was twofold greater with the impregnated bednets and the blood-feeding rate reduced to 47%. Finally the global mortality rate, two thirds of immediate mortality, one third of delayed mortality, reached 35%. The experimental huts in the M'be Valley therefore provide essential information regarding the selection of the most efficacious insecticides against An. gambiae. This experimental method must be extended to other sites in order to finalize ever more selective and appropriate means of control against nuisance and disease-vector mosquitoes.  KEYWORDS:  MeSH Chemical: Insecticides| Nitriles| Pyrazoles| Pyrethrins| decamethrin| Propoxur| DDT| fipronil| cyhalothrin| Fenitrothion MeSH: | Animals| Anopheles/physiology| Bedding and Linens/majr| Cote d'Ivoire| DDT/standards| Feeding Behavior| Female| Fenitrothion/standards| Housing/majr/standards| Humans| Insect Vectors/physiology| Insecticide Resistance| Insecticides/majr/standards| Mosquito Control/majr/methods/standards| Nitriles| Propoxur/standards| Pyrazoles/standards| Pyrethrins/standards</t>
  </si>
  <si>
    <t>Comparative speed of kill between nitenpyram, fipronil, imidacloprid, selamectin and cythioate against adult Ctenocephalides felis (Bouché) on cats and dogs.    ABSTRACT:  Speed of kill and percentage kill of nitenpyram (CAPSTAR) was compared to fipronil (Frontline) spot-on), imidacloprid (Bayvantage/Advantage), selamectin (Stronghold/Revolution) and cythioate (Cyflee) against adult fleas on cats and dogs 3 and 8h post-treatment. Selamectin was used on dogs only; cythioate was used on cats only. Groups of eight cats and eight dogs (four males and four females each) were experimentally infested with 100 unfed fleas 1 day prior to treatment with the test products. One group of cats and one group of dogs served as control. Fleas were collected from four cats and four dogs in each group (two males and two females) by combing 3h after treatment, the remaining four cats or dogs were combed 8h after treatment. In cats cythioate treatment resulted in a mean efficacy of 62.4 and 97.4% at 3 and 8h post-treatment, respectively. Imidacloprid efficacy at the same times was 26.9 and 82.8%, whereas fipronil efficacy was 24.3 and 62.6% efficacy, respectively. In dogs mean efficacy 3 and 8h after treatment with selamectin was 39.7 and 74.4%; with imidacloprid efficacy was 22.2 and 95.7%, respectively and 35.9 and 46.5%, respectively after treatment with fipronil. Nitenpyram was 100% effective in cats and 99.1% effective in dogs within 3h of treatment and 100% effective in cats and dogs within 8h.  KEYWORDS:  MeSH Chemical: Imidazoles| Insecticides| Neonicotinoids| Nitro Compounds| Pyrazoles| Pyridines| nitenpyram| imidacloprid| Ivermectin| selamectin| fipronil MeSH: | Animals| Cat Diseases/majr/drug therapy/parasitology| Cats| Dog Diseases/majr/drug therapy/parasitology| Dogs| Ectoparasitic Infestations/majr/drug therapy/veterinary| Female| Imidazoles/pharmacology/therapeutic use| Insecticides/majr/pharmacology/therapeutic use| Ivermectin/majr/analogs &amp; derivatives/pharmacology/therapeutic use| Male| Neonicotinoids| Nitro Compounds| Pyrazoles/pharmacology/therapeutic use| Pyridines/pharmacology/therapeutic use| Siphonaptera/majr/drug effects| Time Factors</t>
  </si>
  <si>
    <t>Assay of fipronil efficacy to prevent canine monocytic ehrlichiosis in endemic areas.    ABSTRACT:  Our objective was to evaluate the efficacy of fipronil for the prevention of Ehrlichia canis transmission to dogs by Rhipicephalus sanguineus in two endemic areas situated in Africa (Dakar and Djibouti). We carried out controlled trials in kennels for 1 year on 248 dogs, mainly police dogs and military working dogs. Eight groups were studied in a multi-centre study. Fifty five fipronil treated dogs were located in two separated kennels (G3, 37 dogs in Djibouti and G8, 18 dogs in Dakar). G1 (66 dogs) and G2 (60 dogs) were untreated control groups located in Djibouti, whereas G4 (32 dogs), G5 (13 dogs), G6 (18 dogs) and G7 (4 dogs) were the control groups located in Dakar. The epidemiological status of each group is known. G1 and G2 dogs were not kept in kennels, whereas G3, G4, G5, G6, G7, G8 dogs were housed in equivalent kennels. Tick infestation, clinical status and Ehrlichia seroprevalence were assessed during 1 year (duration of the study). Dog treated with fipronil showed neither canine monocytic ehrlichiosis (CME) nor tick infestations. In all groups of untreated control animals, R. sanguineus tick infestations were frequent, particularly in kennels (G5, G6 and G7) as well as morbidity and mortality due to CME. E. canis infection rates were low for fipronil treated animals: 2.7% (1/37) for G3 and 5.5% (1/18) for G8 group. Among control animals, seroprevalence was maximum (100%) in dogs kept in kennels (G5, G6 and G7 groups) and high among native dogs in Djibouti (G1 group): 69.7% (46/66) and in Dakar (G4 group): 50% (16/32). Dogs belonging to expatriate citizens (G2 group) were less likely to be infected: 21.7% (13/60). The comparison of serological results among French army dogs and French citizen dogs that were introduced in Djibouti for an average of 10 months shows a statistically significant (P&lt;0.001) difference. Among fipronil treated animals (G3 group), 2 dogs out of 55 seroconverted (3.6%) compared to 13 out of 60 dogs (21.7%) in the control G2 group. The results of our study indicate the preventative efficacy of a fipronil monthly treatment to avoid CME in endemic areas. Epidemiological data concerning animals that live in the same endemic areas are an example of the serious consequences (in terms of mortality and morbidity) that are related to the absence of efficient methods for tick-control. In order to protect dogs that are in transit in endemic areas against tick-transmitted diseases, the use of an adapted acaricide product is recommended.  KEYWORDS:  MeSH Chemical: Insecticides| Pyrazoles| fipronil MeSH: | Africa| Animals| Arthropod Vectors/drug effects| Dog Diseases/majr/parasitology/prevention &amp; control/transmission| Dogs| Ehrlichia canis/drug effects| Ehrlichiosis/majr/parasitology/prevention &amp; control/transmission/veterinary| Insecticides/majr/administration &amp; dosage/pharmacology| Pyrazoles/majr/administration &amp; dosage/pharmacology| Seroepidemiologic Studies| Tick Infestations/prevention &amp; control/transmission| Ticks/drug effects</t>
  </si>
  <si>
    <t>Preference of food particle size among several urban ant species.    ABSTRACT:  Appropriate particle size may be a critical characteristic for effective granular ant baits. We examined the particle size preference of six species of pest ants to an anchovy-based bait. We also examined head capsule widths of Argentine ants, Linepithema humile (Mayr) (mean = 0.54 mm), California harvester ants, Pogonomyrmex californicus (Buckley) (mean = 1.63 mm), red imported fire ants, Solenopsis invicta Buren (mean = 0.9 mm), and southern fire ants, Solenopsis xyloni McCook (mean = 0.76 mm) and compared them with the first and second most preferred particle size. There were differences between particle size of which the most mass was removed and of which there were more particles removed by ants. California Argentine ants, southern fire ants, and Alabama Argentine ants removed more 840 to 1,000-microm particle mass of the anchovy diet but had more visits to dishes containing 420 to 590 microm particles. California harvester ants and Allegheny mound ants, Formica spp., removed more &gt;2,000 microm particle mass but visited dishes containing 1,000 to 2,000 microm particles more often. Red imported fire ants also removed more &gt;2,000 microm particle mass but visited dishes with 590 to 840-microm particles most often. Pharaoh ants, Monomorium pharaonis (L.), removed and visited 420 to 590-microm particles more than any other size. A linear regression model determined that particle size preferred by each ant species relates to forager head width. The majority of particles of commercial ant bait, including Amdro, Ascend, Award, Bushwhacker, Max Force with fipronil, and old and new formulations of Max Force with hydramethylnon, were 1,000 to 2,000 microm, but the majority of Niban particles were &lt;420 microm. Altering the size of particles of toxic ant baits to fit the particle size preference of each pest ant species may increase the efficacy of ant baits.  KEYWORDS:  MeSH: | Animals| Ants/majr/anatomy &amp; histology/physiology| Food/majr| Food Preferences| Insect Control/methods| Particle Size| Species Specificity</t>
  </si>
  <si>
    <t>ICON rice seed treatment toxicity to crayfish (Procambarus clarkii) in experimental rice paddies.    ABSTRACT:  Outdoor pools (2.3 x 2.3 m) were used to simulate typical rice agricultural practices in Louisiana, USA, to evaluate the toxicity of ICON (active ingredient [a.i.] fipronil) and its degradates to crayfish (Procambarus clarkii). Six paddies were planted with seed treated with ICON 6.2 FS at an exaggerated application rate of 0.05 kg a.i./ha (recommended rate, 0.042 kg a.i./ha), simulating three rice-planting scenarios. Two reference paddies were planted with untreated seed. Crayfish were exposed to tail water within 24 to 48 h after seeding, simulating standard Louisiana agricultural and water management practices. At 50 d after planting, a separate group of crayfish was caged in situ for 14 d to evaluate toxicity. An additional 50 crayfish were added to two paddies approximately 100 d after rice planting and held for 29 weeks to evaluate bioaccumulation. Residues of fipronil and its degradates in water and soil were similar to residue concentrations measured from rice fields in Louisiana. Tail water from the treated paddies was not toxic to crayfish. The fipronil 96-h median lethal concentration (LC50) for adult crayfish was 180 microg/L, which would provide at least a sixfold safety factor between the maximum fipronil concentration in tail water and the crayfish LC50. In situ exposures of crayfish also were not toxic. Concentrations of fipronil and its degradates after 29 weeks of exposure were less than 5 microg/kg in crayfish tail muscle tissue. These results demonstrate that label instructions adequately protect crayfish in a rice-crayfish cropping scenario when ICON is applied at maximum application rates as a seed treatment.  KEYWORDS:  MeSH Chemical: Insecticides| Nitriles| Pyrethrins| Water Pollutants, Chemical| cyhalothrin MeSH: | Agriculture| Animals| Astacoidea/majr| Insecticides/majr/pharmacokinetics/toxicity| Lethal Dose 50| Nitriles| Oryza| Pyrethrins/majr/toxicity| Tissue Distribution| Water Pollutants, Chemical/majr/pharmacokinetics/toxicity</t>
  </si>
  <si>
    <t>Fipronil: environmental fate, ecotoxicology, and human health concerns.    ABSTRACT:  Fipronil is a highly effective, broad-spectrum insecticide with potential value for the control of a wide range of crop, public hygiene, amenity, and veterinary pests. It can generally be applied at low to very low dose rates to achieve effective pest control. Application rates vary between 0.6 and 200 g a.i./ha, depending on the target pest and formulation. It belongs to the phenyl pyrazole or fiprole group of chemicals and is a potent disrupter of the insect central nervous system via interference with the gamma-aminobutyric acid (GABA-) regulated chloride channel. Fipronil degrades slowly on vegetation and relatively slowly in soil and in water, with a half-life ranging between 36 hr and 7.3 mon depending on substrate and conditions. It is relatively immobile in soil and has low potential to leach into groundwater. One of its main degradation products, fipronil desulfinyl, is generally more toxic than the parent compound and is very persistent. There is evidence that fipronil and some of its degradates may bioaccumulate, particularly in fish. Further investigation on bioaccumulation is warranted, especially for the desulfinyl degradate. The suitability of fipronil for use in IPM must be evaluated on a case-by-case basis. In certain situations, fipronil may disrupt natural enemy populations, depending on the groups and species involved and the timing of application. The indications are that fipronil may be incompatible with locust IPM; hence, this possibility requires further urgent investigation. It is very highly toxic to termites and has severe and long-lasting negative impacts on termite populations. It thus presents a long-term risk to nutrient cycling and soil fertility where termites are "beneficial" key species in these ecological processes. Its toxicity to termites also increases the risk to the ecology of habitats in which termites are a dominant group, due to their importance as a food source to many higher animals. This risk has been demonstrated in Madagascar, where two endemic species of lizard and an endemic mammal decline in abundance because of their food chain link to termites. Fipronil is highly toxic to bees (LD50 = 0.004 microgram/bee), lizards [LD50 for Acanthodactylus dumerili (Lacertidae) is 30 micrograms a.i./g bw], and gallinaceous birds (LD50 = 11.3 mg/kg for Northern bobwhite quail), but shows low toxicity to waterfowl (LD50 &gt; 2150 mg/kg for mallard duck). It is moderately toxic to laboratory mammals by oral exposure (LD50 = 97 mg/kg for rats; LD50 = 91 mg/kg for mice). Technical fipronil is in toxicity categories II and III, depending on route of administration, and is classed as a nonsensitizer. There are indications of carcinogenic action in rats at 300 ppm, but it is not carcinogenic to female mice at doses of 30 ppm. The acute toxicity of fipronil varies widely even in animals within the same taxonomic groups. Thus, toxicological findings from results on standard test animals are not necessarily applicable to animals in the wild. Testing on local species seems particularly important in determining the suitability of fipronil-based products for registration in different countries or habitats and the potential associated risk to nontarget wildlife. Risk assessment predictions have shown that some fipronil formulations present a risk to endangered bird, fish, and aquatic and marine invertebrates. Great care should thus be taken in using these formulations where they may impact any of these endangered wildlife groups. Work in Madagascar has highlighted field evidence of this risk. The dose levels at which fipronil produces thyroid cancer in rats are very high and are unlikely to occur under normal conditions of use. There is also dispute as to whether this is relevant to human health risk. However, as fipronil is a relatively new insecticide that has not been in use for long enough to evaluate the risk it may pose to human health, from data on human exposure to the product, a precautionary approach may be warranted. The use of some fipronil-based products on domestic animals is not recommended where handlers spend significant amounts of time grooming or handling treated animals. In general, it would appear unwise to use fipronil-based insecticides without accompanying environmental and human health monitoring, in situations, regions, or countries where it has not been used before, and where its use may lead to its introduction into the wider environment or bring it into contact with people. Further work is needed on the impacts of fipronil on nontarget vertebrate fauna (amphibians, reptiles, birds, and mammals) in the field before the risk to wildlife from this insecticide can be adequately validated. Further field study of the effects of fipronil on the nutrient cycling and soil water-infiltration activities of beneficial termites is required to assess the ecological impacts of the known toxicity of fipronil to these insects.  KEYWORDS:  MeSH Chemical: Insecticides| Pyrazoles| Soil Pollutants| fipronil MeSH: | Animals| Animals, Wild| Biodegradation, Environmental| Environmental Monitoring/majr/methods| Humans| Insecticides/majr/chemistry/metabolism/toxicity| Plants/drug effects| Pyrazoles/majr/chemistry/metabolism/toxicity| Soil Pollutants/analysis</t>
  </si>
  <si>
    <t>Evaluation of the efficacy of fipronil formulations in the treatment and control of biting lice, Trichodectes canis (De Geer, 1778) on dogs.    ABSTRACT:  The efficacy of FRONTLINE SPRAY (0.25% (w/v) fipronil), FRONTLINE SPOT-ON FOR DOGS (10% (w/v) fipronil) and FRONTLINE PLUS FOR DOGS (10% (w/v) fipronil and 9% (S)-methoprene) against the biting louse Trichodectes canis on dogs was confirmed under laboratory conditions. A field study evaluated the efficacy of a single topical application of FRONTLINE SPRAY and FRONTLINE SPOT-ON against the parasite on dogs. A total of 48 dogs of mixed breeds, both sexes, aged 2 months-7 years and weighing 1.8-37.0kg were used. The animals were either experimentally (laboratory study) or naturally (field study) infested with lice. Dogs were housed individually in order to prevent contact between animals. In the laboratory study, animals were allocated based on pre-treatment louse counts from 38 hair coat-partings per animal. Dogs were randomly assigned to the four treatment groups: (1) untreated control; (2) FRONTLINE SPRAY, at 6ml/kg; (3) FRONTLINE SPOT-ON as per label and (4) FRONTLINE PLUS as per label. Dogs in treatment groups 2-4 were treated twice topically on Days 0 and 28. The number of live lice in the 38 hair coat-partings per animal were counted on Days 2, 7 and weekly to Day 63. In addition, a whole body comb count was performed on Day 63. No live T. canis were found on dogs treated with FRONTLINE formulations at any post-treatment examination. The difference from controls was significant (P&lt;0.01) for each product at each examination. Based on the whole body comb count at Day 63, the efficacy of each product was determined to be 100%. In the field study, dogs were allocated in strict order of presentation. Dogs were randomly allocated to one of the three treatment groups: (1) BOLFO collar (propoxur); (2) FRONTLINE SPRAY, at 6ml/kg and (3) FRONTLINE SPOT-ON as per label. Dogs were treated once topically on Day 0. The number of live lice was determined by whole body searches on Days 0 (pre-treatment), 2, 28 and 42. Louse counts of dogs treated with either FRONTLINE SPRAY, or FRONTLINE SPOT-ON were not different than those of dogs receiving the propoxur collar. The efficacy was determined to be &gt;98% on Day 2 and, 100% on Days 28 and 42 in all treatment groups. The results of these studies demonstrate that fipronil in topical formulations is effective for treatment and control of biting lice (T. canis) infestations on dogs.  KEYWORDS:  MeSH Chemical: Aerosols| Insecticides| Pyrazoles| fipronil MeSH: | Administration, Topical| Aerosols| Animals| Dog Diseases/majr/drug therapy/prevention &amp; control| Dogs| Female| Insecticides/majr/pharmacology/therapeutic use| Lice Infestations/majr/drug therapy/prevention &amp; control/veterinary| Male| Phthiraptera/majr/drug effects| Pyrazoles/majr/pharmacology/therapeutic use| Treatment Outcome</t>
  </si>
  <si>
    <t>Laboratory evaluation of fipronil and imidacloprid topical insecticides for control of the plague vector Oropsylla montana (Siphonaptera: Ceratophyllidae) on california ground squirrels (Rodentia: Sciuridae).    ABSTRACT:  Two insecticides, fipronil and imidacloprid, were evaluated for efficacy and longevity against Oropsylla montana (Baker), the most important vector of plague in California. Wild-caught California ground squirrels, Spermophilus beecheyi (Richardson), were individually housed in the laboratory to serve as natural hosts to O. montana and for on-animal insecticide trials. Several concentrations oftechnical grade fipronil and imidacloprid in acetone were applied to samples of clean rodent bedding to determine residual activity and longevity against fleas. Immature and adult cat fleas, Ctenocephalides felis (Bouche), were used as representative fleas for periodic assays in place of less fecund O. montana. Toxicity of treated bedding did not decrease significantly for 1 yr at all applied concentrations. Fipronil provided 100% kill for at least 1 yr at &gt; or = 100 ppm, whereas imidacloprid required 10,000 ppm for similar performance. Laboratory squirrels were treated with topical formulations of fipronil (Frontline Top Spot) and imidacloprid (Advantage Flea Adulticide) at a dosage rate of 15 mg/kg and evaluated for residual activity every 2 wk against adult O. montana. Residual activity was determined by percent recovery of O. montana adults released on treated and untreated animals after 48 h. Frontline provided 100% kill of adult fleas for at least 10 wk, and up to 26 wk on one animal. Advantage failed to provide 100% kill of adult fleas at 2 wk, with complete loss of efficacy by week 6. Concurrent assays with bedding samples from squirrel nest boxes showed negligible toxicity transfer from treated animals to nest bedding.  KEYWORDS:  MeSH Chemical: Imidazoles| Insecticides| Neonicotinoids| Nitro Compounds| Pesticide Residues| Pyrazoles| imidacloprid| fipronil MeSH: | Animals| California| Ectoparasitic Infestations/majr/parasitology/prevention &amp; control/veterinary| Female| Imidazoles/majr/pharmacology| Insect Control/majr/methods| Insect Vectors/majr/drug effects/growth &amp; development| Insecticides/majr/pharmacology| Laboratories| Male| Neonicotinoids| Nitro Compounds| Pesticide Residues| Plague| Pyrazoles/majr/pharmacology| Sciuridae/majr/parasitology| Siphonaptera/majr/drug effects/growth &amp; development</t>
  </si>
  <si>
    <t>Development of a mouse model to determine the systemic activity of potential flea-control compounds.    ABSTRACT:  Probe studies were performed to determine if the cat flea (Ctenocephalides felis), the most common ectoparasite of companion animals, will feed on laboratory mice and, if so, to incorporate this into a small animal assay to detect systemically active compounds. Consequently, a protocol was developed which incorporated acepromazine maleate to temporarily sedate various strains of mice and allow fleas a window of time to feed undisturbed. For validation of the model, CD-1 mice were dosed per os with seven known insecticides at 30, 10 and 1mg/kg. Mice were sedated with 0.0125 ml acepromazine maleate intraperitoneally, and infested with fleas. After 2h, fleas were removed, one-third were examined immediately to confirm the occurrence of feeding, and 77% were found to have ingested a blood meal. The remaining fleas were incubated for 24h to determine mortality. Nitenpyram, the active ingredient in Capstar, was highly active (&gt;94%) at 1mg/kg. Selamectin, the active ingredient in Revolution, was very active (86%) at 10mg/kg, but inactive at 1mg/kg. Fipronil, the active ingredient of Frontline Topspot, was very active (83%) at 30 mg/kg, moderately active (54%) at 10mg/kg and inactive at 1mg/kg. Cythioate, the active ingredient in Proban, and nodulisporic acid, a recently discovered oral insecticide, were moderately active (64 and 55%, respectively) at 10mg/kg, but both were inactive at 1mg/kg. Lufenuron and ivermectin exhibited no efficacy at any level tested. These findings suggest that this mouse model can effectively identify systemic flea-control leads and, subsequently, reduce the use of large animals in research.  KEYWORDS:  MeSH Chemical: Antiparasitic Agents| Insecticides MeSH: | Animals| Antiparasitic Agents/majr/pharmacology| Cat Diseases/majr/prevention &amp; control| Cats| Disease Models, Animal/majr| Dose-Response Relationship, Drug| Ectoparasitic Infestations/majr/prevention &amp; control/veterinary| Insect Control/methods| Insecticides/majr/pharmacology| Mice| Parasitic Sensitivity Tests/veterinary| Siphonaptera/majr/drug effects/growth &amp; development</t>
  </si>
  <si>
    <t>Effect of insecticides used in corn, sorghum, and alfalfa on the predator Orius insidiosus (Hemiptera: Anthocoridae).    ABSTRACT:  Orius insidoisus (Say) is an important predator in corn, sorghum, and alfalfa. Foliar insecticides commonly used on corn (permethrin, bifenthrin, and fipronil); sorghum (chlorpyrifos, carbofuran, dimethoate, and cyfluthrin); and both crops (A-cyhalothrin and ethyl parathion) were evaluated in 1998 and 1999 for their residual effects on O. insidiosus by caging adults on treated plants at several time intervals: at application (day 0) and 2, 3, and 6 d after application. In addition, imidacloprid, fipronil, and thiamethoxam used as seed treatments on corn and sorghum were tested for their effects on O. insidiosus by caging adults on plants in the presence and absence of greenbugs, Schizaphis graminum (Rondani). Finally, six of the same insecticides that also are used on alfalfa were evaluated in the field for their effects on O. insidiosus and other insects. On day 0, ethyl parathion. bifenthrin, and [lambda]-cyhalothrin on corn caused significantly higher mortality to O. insidiosus than permethrin and fipronil. Ethyl parathion and carbofuran on sorghum caused significantly higher mortality than chlorpyrifos, dimethoate, and A-cyhalothrin, which differed significantly from the control. Mortality with cyfluthrin did not differ significantly from that in the control. Insecticides had no significant effects on O. insidiosus 3 and 6 d after application in 1998 with the exception of permethrin on day 3. Similar patterns of mortality were observed in 1999 experiments. No significant differences in mortality of adults occurred with fipronil and thiamethoxam in the presence and absence of greenbugs. Imidachloprid caused significantly higher mortality to O. insidiosus adults than thiamethoxam or fipronil in some instances when greenbugs were not supplied as food. In alfalfa, the insecticides caused significant mortality to most of the insects evaluated. Ethyl parathion, permethrin, chlorpyrifos, and cyfluthrin caused significantly higher mortality to O. insidiosus than carbofuran and A-cyhalothrin, which differed significantly from the control in 1998. In 1999, all treatments significantly reduced O. insidiosus numbers and did not differ significantly from each other.  KEYWORDS:  MeSH Chemical: Insecticides| Pesticide Residues| Soil MeSH: | Animals| Hemiptera/majr| Insect Control/majr/methods| Insecticides/majr| Medicago sativa| Pesticide Residues| Predatory Behavior| Seeds| Soil| Zea mays</t>
  </si>
  <si>
    <t>Effect of 0.29% w/w fipronil spray on adult flea mortality and egg production of three different cat flea, Ctenocephalides felis (Bouché), strains infesting cats.    ABSTRACT:  To evaluate the effect of fipronil spray on adult flea mortality and flea egg production of three different cat flea, Ctenocephalides felis (Bouché) strains, 30 domestic short hair cats were randomly allocated into six groups of five cats each. On day 0, cats in groups 2, 4 and 6 were treated with fipronil at 5-6ml/kg. Cats in groups 1, 3 and 5 served as untreated controls. On days -2, 7, 14, 21, and 28 each cat was infested with 50 adult cat fleas. Groups 1 and 2 were infested with fleas from the Kansas1 Colony (KS1) strain. Groups 3 and 4 were infested with a recently colonized cat flea strain from Florida (R6). Groups 5 and 6 were infested with fleas from the ARC strain. The adulticidal activity of fipronil was determined by flea comb counts 48h after treatment and then 48h after each reinfestation. Any flea eggs produced during the infestations were collected and counted prior to the 48h comb counts. Fipronil spray was &gt; or = 99.5% effective against adults of all three cat flea strains when applied during an active infestation. Fipronil spray provided &gt; or = 98.2 and &gt; or = 99.5% control of adult fleas and egg production, respectively, for all strains through week 2. On days 23 and 30 control of R6 adults and egg production was significantly lower than either the ARC or the KS1 strain. On day 30, control of R6 adults and egg production was 77.3 and 87.3%, respectively. Control of KS1 adults and egg production on day 30 was significantly lower than the ARC strain. Fipronil provided &gt; or = 99.5 and &gt; or = 99.9% control of ARC fleas and egg production, respectively, throughout the entire study. The susceptibility to fipronil for the three strains was also evaluated on filter paper pesticide bioassays. The R6 strain was found to be less susceptible than the KS1 and ARC strains. The LC(95) estimates for the strains were 10.13, 4.77 and 2.62mg/m(2) for the R6, ARC and KS1 strains, respectively.  KEYWORDS:  MeSH Chemical: Insecticides| Pyrazoles| fipronil MeSH: | Animals| Cat Diseases/majr/drug therapy/parasitology| Cats| Ectoparasitic Infestations/majr/drug therapy/veterinary| Female| Insect Control/majr/methods| Insecticides/majr/pharmacology| Male| Oviposition/drug effects| Parasite Egg Count/veterinary| Parasitic Sensitivity Tests| Pyrazoles/majr/pharmacology| Random Allocation| Siphonaptera/majr/drug effects/physiology| Treatment Outcome</t>
  </si>
  <si>
    <t>Pyrethroid resistance and cross-resistance in the German cockroach, Blattella germanica (L).    ABSTRACT:  A German cockroach (Blatella germanica (L)) strain, Apyr-R, was collected from Opelika, Alabama after control failures with pyrethroid insecticides. Levels of resistance to permethrin and deltamethrin in Apyr-R (97- and 480-fold, respectively, compared with a susceptible strain, ACY) were partially or mostly suppressed by piperonyl butoxide (PBO) and S,S,S,-tributylphosphorotrithioate (DEF), suggesting that P450 monooxygenases and hydrolases are involved in resistance to these two pyrethroids in Apyr-R. However, incomplete suppression of pyrethroid resistance with PBO and DEF implies that one or more additional mechanisms are involved in resistance. Injection, compared with topical application, resulted in 43- and 48-fold increases in toxicity of permethrin in ACY and Apyr-R, respectively. Similarly, injection increased the toxicity of deltamethrin 27-fold in ACY and 28-fold in Apyr-R. These data indicate that cuticular penetration is one of the obstacles for the effectiveness of pyrethroids against German cockroaches. However, injection did not change the levels of resistance to either permethrin or deltamethrin, suggesting that a decrease in the rate of cuticular penetration may not play an important role in pyrethroid resistance in Apyr-R. Apyr-R showed cross-resistance to imidacloprid, with a resistance ratio of 10. PBO treatment resulted in no significant change in the toxicity of imidacloprid, implying that P450 monooxygenase-mediated detoxication is not the mechanism responsible for cross-resistance. Apyr-R showed no cross-resistance to spinosad, although spinosad had relatively low toxicity to German cockroaches compared with other insecticides tested in this study. This result further confirmed that the mode of action of spinosad to insects is unique. Fipronil, a relatively new insecticide, was highly toxic to German cockroaches, and the multi-resistance mechanisms in Apyr-R did not confer significant cross-resistance to this compound. Thus, we propose that fipronil could be a valuable tool in integrated resistance management of German cockroaches.  KEYWORDS:  MeSH Chemical: Insecticides| Organothiophosphates| Pesticide Synergists| Pyrethrins| butyl phosphorotrithioate| Piperonyl Butoxide MeSH: | Animals| Biological Assay| Cockroaches/majr/drug effects| Drug Synergism| Insecticide Resistance| Insecticides/majr/toxicity| Lethal Dose 50| Organothiophosphates/pharmacology| Pesticide Synergists/majr/pharmacology| Piperonyl Butoxide/majr/pharmacology| Pyrethrins/majr/toxicity</t>
  </si>
  <si>
    <t>Transfer of ingested insecticides among cockroaches: effects of active ingredient, bait formulation, and assay procedures.    ABSTRACT:  Foraging cockroaches ingest insecticide baits, translocate them, and can cause mortality in untreated cockroaches that contact the foragers or ingest their excretions. Translocation of eight ingested baits by adult male Blattella germanica (L.) was examined in relation to the type of the active ingredient, formulation, and foraging area. Ingested boric acid, chlorpyrifos, fipronil, and hydramethylnon that were excreted by adults in small dishes killed 100% of first instars within 10 d and &gt;50% of second instars within 14 d. Residues from these ingested baits were also highly effective on nymphs in larger arenas and killed 16-100% of the adults. However, when the baits and dead cockroaches were removed from the large arenas and replaced with new cockroaches, only residues of the slow-acting hydramethylnon killed most of the nymphs and adults, whereas residues of fast acting insecticides (chlorpyrifos and fipronil) killed fewer nymphs and adults. Excretions from cockroaches that ingested abamectin baits failed to cause significant mortality in cockroaches that contacted the residues. These results suggest that hydramethylnon is highly effective in these assays because cockroaches that feed on the bait have ample time to return to their shelter and defecate insecticide-laden feces. The relatively high concentration of hydramethylnon in the bait (2.15%) and its apparent stability in the digestive tract and feces probably contribute to the efficacy of hydramethylnon. To control for differences among baits in inert ingredients and the amount of active ingredient, we compared 1% chlorpyrifos with 1% hydramethylnon in identical baits. Again, hydramethylnon residues provided greater secondary kill, but the results highlighted the importance of the inert ingredients. We conclude that, in the absence of cannibalism and necrophagy, translocation of baits and secondary kill are most effective with slow acting insecticides in palatable baits that can traverse the digestive tract and be deposited within and around the cockroach aggregation.  KEYWORDS:  MeSH Chemical: Boric Acids| Insecticides| Pesticide Residues| Pheromones| Pyrazoles| Pyrimidinones| insect attractants| abamectin| Ivermectin| hydramethylnon| Chlorpyrifos| fipronil| boric acid MeSH: | Animals| Biological Assay/methods| Blattellidae/majr/metabolism| Boric Acids/metabolism| Chlorpyrifos/metabolism| Insect Control/majr/methods| Insecticides/majr/metabolism| Ivermectin/majr/analogs &amp; derivatives/metabolism| Male| Pesticide Residues| Pheromones/majr/metabolism| Pyrazoles/metabolism| Pyrimidinones/metabolism</t>
  </si>
  <si>
    <t>Insecticide susceptibility in Coptotermes formosanus and Reticulitermes virginicus (Isoptera: Rhinotermitidae).    ABSTRACT:  Lethal time to mortality responses were established for eight insecticides against workers and soldiers of the Formosan subterranean termite, Coptotermes formosanus Shiraki, and workers of Reticulitermes virginicus (Banks). There were significant differences in the tolerance ratios between workers of C. formosanus colonies to all toxicants tested except fipronil. One colony was 16 times more tolerant than another to deltamethin. C. formosanus soldiers had significant differences in tolerance ratios among colonies exposed to all toxicants except chlorpyrifos. Methoxychlor, permethrin, deltamethrin, and fipronil did not kill soldiers from two, one, one, and three colonies, respectively, within 8 h. Seventy-five percent of R. virginicus colonies were significantly less susceptible than the most susceptible colony to chlordane, methoxychlor, chlorpyrifos, cypermethrin, and fipronil, with 50% of the colonies less susceptible to permethrin and bendiocarb. In 50% of C. formosanus colonies the worker lethal time curves displayed substantial flattening in response to permethrin, and deltamethrin. Lethal time curses for C. formosanus soldiers exposed to chlordane, chlorpyrifos, permethrin, cypermethrin, deltamethrin, and bendiocarb showed substantial flattening. R. virginicus workers demonstrated substantial curve flattening when exposed to chlordane, methoxychlor, chlorpyrifos, deltamethrin, and fipronil. These findings indicate substantial intercolony and intra-colony differences in susceptibility to insecticides.  KEYWORDS:  MeSH Chemical: Carbamates| Insecticides| Nitriles| Phenylcarbamates| Pyrazoles| Pyrethrins| Chlordan| cypermethrin| decamethrin| Permethrin| Chlorpyrifos| bendiocarb| fipronil| Methoxychlor MeSH: | Animals| Carbamates/pharmacology| Chlordan/pharmacology| Chlorpyrifos/pharmacology| Insect Control/majr| Insecticides/majr/pharmacology| Isoptera/majr/drug effects/growth &amp; development| Methoxychlor/pharmacology| Nitriles| Permethrin/pharmacology| Phenylcarbamates/majr| Pyrazoles/pharmacology| Pyrethrins/pharmacology</t>
  </si>
  <si>
    <t>Toxicity of fipronil and its degradation products to Procambarus sp.: field and laboratory studies.    ABSTRACT:  Fipronil is a phenylpyrazole insecticide that is the active ingredient in the pesticide Icon 6.2 FS which is applied to rice seeds targeting the rice water weevil. An arthropod-selective insecticide, fipronil blocks the GABA-gated chloride channel and is unique in that several of its degradation products have been indicated to be equal or more potent than fipronil. After application of rice seeds (2-3 days postplant) to flooded rice fields, water is typically pumped from the rice fields and can be used for the culture of crayfish (Procambarus sp.). Because fipronil is selective for arthropods, is transported via organic sediment, and crayfish consume organic sediment, 96-h LC(50) experiments were conducted with fipronil and three of its environmental derivatives in crayfish under conditions without carrier solvents in water of similar pH, alkalinity, and hardness as observed in south Louisiana crayfish culture ponds. Measured LC(50)s for fipronil to red swamp (Procambarus clarkii) and white river (Procambarus zonangulus) crayfish were 14.3 (95% CI; 5.1-23.4) and 19.5 (95% CI; 11.1-27.9) microg/L, respectively. LC(50)s of fipronil sulfone (11.2; 9.2-13.2 microg/L), fipronil sulfide (15.5; 13-18 microg/L); and the photoproduct, desulfinyl fipronil (68.6; 46-95.2 microg/L) displayed very high toxicity in crayfish. In situ toxicity studies using caged crayfish in culturing ponds receiving effluent from drained rice fields indicated that effluent from rice fields planted with Icon-treated seed was significantly more toxic compared to untreated surface water (40% survival compared to 83% survival). Hazard quotient comparisons using measured water concentrations in the field and laboratory-based LC(50)s indicated that fipronil and its metabolites in water resulting from Icon-treated rice seed planting poses a significant risk to crayfish survival.  KEYWORDS:  MeSH Chemical: Insecticides| Pyrazoles| Water Pollutants, Chemical| fipronil MeSH: | Animals| Astacoidea/majr/drug effects/physiology| Environmental Exposure| Insecticides/majr/toxicity| Oryza| Population Dynamics| Pyrazoles/majr/agonists/toxicity| Water Pollutants, Chemical/majr/toxicity</t>
  </si>
  <si>
    <t>Method of insecticide delivery affects horizontal transfer of fipronil in the German cockroach (Dictyoptera: Blattellidae).    ABSTRACT:  Horizontal transmission of insecticide occurs when foragers contact or ingest an insecticide, return to the aggregation or nest, and translocate the insecticide to the shelter and its vicinity. Relatively more sedentary members of the population then contact or eat the translocated insecticide and die. We evaluated three different methods of delivering fipronil to adult male German cockroaches, Blattella germanica (L.), for their potential to cause such secondary mortality in various developmental stages of the cockroach. Adult males topically treated with 5 ng of fipronil (approximately LD99) caused low mortality in untreated nymphs and no mortality in untreated adults within the same aggregation. Males exposed to residual fipronil on a glass surface translocated more insecticide, resulting in higher mortality of cockroaches they contacted, but only early instars were affected and no adult mortality was observed. Ingested fipronil bait, however, was most effectively translocated, and caused high mortality of untreated adults and nymphs. Ingestion of fipronil also caused greater secondary kill compared with a topical application of 25 ng, approximately the same amount recovered from the exterior of males that ingested 1 mg of 0.05% fipronil bait. Secondary mortality in the untreated population was significantly affected by the duration of contact between the treated and untreated cockroaches, the quantity and freshness of excretions from the treated insects, and the accessibility of the secretions to untreated cockroaches. The mechanisms that cause secondary kill may include ingestion of excreted fipronil residues, cannibalism of bait-fed cockroaches, as well as contact with fipronil-contaminated substrates.  KEYWORDS:  MeSH Chemical: Insecticides| Pyrazoles| fipronil MeSH: | Animals| Blattellidae/majr/drug effects| Dose-Response Relationship, Drug| Female| Insect Control/majr/methods| Insecticides/majr/pharmacology| Male| Pyrazoles/majr/pharmacology</t>
  </si>
  <si>
    <t>High-affinity ivermectin binding to recombinant subunits of the Haemonchus contortus glutamate-gated chloride channel.    ABSTRACT:  Glutamate-gated chloride channels (GluCls) are targets for the avermectin anthelmintics. A family of five GluCl subunit genes encoding seven subunits has been identified in Caenorhabditis elegans. We have previously shown that two orthologous genes in the parasite, Haemonchus contortus, encode three GluCl subunits (HcGluClbeta, Hcgbr-2A and Hcgbr-2B) with high amino-acid identity (&gt;80%) to their C. elegans counterparts. We amplified and cloned a further subunit cDNA, HcGluClalpha, from H. contortus eggs. Sequence comparisons suggested that this subunit was closely related to, but not orthologous with, the C. elegans GluClalpha1, alpha2 or alpha3/GBR-2 subunits ( approximately 55% amino-acid identity). The HcGluClalpha cDNA from an ivermectin-resistant isolate contained no coding changes from the wild-type. All of the known H. contortus GluCl cDNA clones were subcloned into the expression vector pcDNA3.1 and transiently expressed in COS-7 cells. As predicted by functional data from the C. elegans orthologues, the Hcgbr-2A and HcGluClbeta subunits failed to bind [3H]ivermectin. The Hcgbr-2B and HcGluClalpha subunits bound [3H]ivermectin with high affinity; the K(d) values were 70+/-16 and 26+/-12 pM, respectively. This binding was inhibited by a variety of avermectins, though cold ivermectin was the most potent inhibitor of [3H] ivermectin binding. Picrotoxin, fipronil, glutamate and GABA all failed to compete for ivermectin binding to either subunit. The affinity of [3H]ivermectin binding to H. contortus L3 P2 larval membrane preparations was re-examined and found to be 70+/-7 pM. The properties of orthologous GluCl subunits are likely to be conserved across species, but the repertoire and relative importance of those subunits may vary.  KEYWORDS:  MeSH Chemical: Chloride Channels| Protein Subunits| Recombinant Proteins| glutamate-gated chloride channels| Glutamic Acid| Ivermectin MeSH: | Animals| Caenorhabditis elegans/metabolism| Chloride Channels/majr/chemistry/genetics/metabolism| Cloning, Molecular| Female| Glutamic Acid/metabolism| Haemonchus/majr/genetics/physiology| Ivermectin/majr/metabolism| Kinetics| Molecular Sequence Data| Oocytes/physiology| Phylogeny| Protein Subunits| Recombinant Proteins/chemistry/metabolism| Reverse Transcriptase Polymerase Chain Reaction| Transfection</t>
  </si>
  <si>
    <t>Role of human GABA(A) receptor beta3 subunit in insecticide toxicity.    ABSTRACT:  The gamma-aminobutyric acid type A (GABA(A)) receptor is the target for the major insecticides alpha-endosulfan, lindane, and fipronil and for many analogs. Their action as chloride channel blockers is directly measured by binding studies with [(3)H]ethynylbicycloorthobenzoate ([(3)H]EBOB). This study tests the hypothesis that GABA(A) receptor subunit composition determines the sensitivity and selectivity of insecticide toxicity. Human receptor subtypes were expressed individually (alpha1, alpha6, beta1, beta3, and gamma2) and in combination in insect Sf9 cells. Binding parameters were similar for [(3)H]EBOB in the beta3 homooligomer, alpha1beta3gamma2 heterooligomer, and native brain membranes, but toxicological profiles were very different. Surprisingly, alpha-endosulfan, lindane, and fipronil were all remarkably potent on the recombinant beta3 homooligomeric receptor (IC50 values of 0.5-2.4 nM), whereas they were similar in potency on the alpha1beta3gamma2 subtype (IC50 values of 16-33 nM) and highly selective on the native receptor (IC50 values of 7.3, 306, and 2470 nM, respectively). The selectivity order for 29 insecticides and convulsants as IC50 ratios for native/beta3 or alpha1beta3gamma2/beta3 was as follows: fipronil &gt; lindane &gt; 19 other insecticides including alpha-endosulfan and picrotoxinin &gt; 4 trioxabicyclooctanes and dithianes (almost nonselective) &gt; tetramethylenedisulfotetramine, 4-chlorophenylsilatrane, or alpha-thujone. Specificity between mammals and insects at the target site (fipronil &gt; lindane &gt; alpha-endosulfan) paralleled that for toxicity. Potency at the native receptor is more predictive for inhibition of GABA-stimulated chloride uptake than that at the beta3 or alpha1beta3gamma2 receptors. Therefore, the beta3 subunit contains the insecticide target and other subunits differentially modulate the binding to confer compound-dependent specificity and selective toxicity.Copyright 2001 Academic Press.  KEYWORDS:  MeSH Chemical: Bridged Bicyclo Compounds, Heterocyclic| Convulsants| Insecticides| Protein Subunits| Pyrazoles| Receptors, GABA-A| Recombinant Proteins| Tritium| 1-(4-ethynylphenyl)-4-propyl-2,6,7-trioxabicyclo(2.2.2)octane| Muscimol| gamma-Aminobutyric Acid| Hexachlorocyclohexane| Endosulfan| fipronil MeSH: | Binding Sites| Binding, Competitive| Bridged Bicyclo Compounds, Heterocyclic/metabolism| Convulsants/toxicity| Endosulfan/toxicity| Genes| Hexachlorocyclohexane/toxicity| Humans| Insecticides/majr/toxicity| Muscimol/pharmacology| Protein Subunits/majr| Pyrazoles/toxicity| Receptors, GABA-A/majr/chemistry/drug effects/physiology| Recombinant Proteins/metabolism| Structure-Activity Relationship| Transfection| Tritium| gamma-Aminobutyric Acid/pharmacology</t>
  </si>
  <si>
    <t>Control of flea populations in a simulated home environment model using lufenuron, imidacloprid or fipronil.    ABSTRACT:  Control strategies were evaluated over a 6-month period in a home simulation model comprising a series of similar carpeted pens, housing matched groups of six cats, in which the life-cycle of the flea Ctenocephalides felis felis Bouche (Siphonaptera: Pulicidae) had been established. Additional adult fleas were placed on the cats at intervals to mimic acquisition of extraneous fleas from outside the home. Treatment strategies included a single subcutaneous deposition of injectable lufenuron supported by initial treatments with a short-acting insecticidal spray, or monthly topical applications of imidacloprid or fipronil. An untreated control group indicated that conditions were suitable for flea replication and development. Controls had to be combed on 18 occasions to remove excessive flea burdens and two developed allergic reactions. Lufenuron cats were combed once and required two insecticidal treatments in the first month to achieve control. Even so, small flea burdens were constantly present thereafter. Imidacloprid and fipronil treatments appeared to give virtually complete control throughout. Single fleas were found on imidacloprid cats on two occasions, whereas none were recovered from fipronil cats at any time after the first treatment. Tracer cats were used to monitor re-infestation rates at the end of the trial period. Small numbers of host-seeking fleas were demonstrated in all treatment pens, indicating that total eradication had not been accomplished. It is concluded that the home environment simulation model incorporating tracer animals could provide a powerful tool for studying flea population dynamics under controlled conditions but improved techniques are needed for quantifying other off-host life-cycle stages.  KEYWORDS:  MeSH Chemical: Benzamides| Imidazoles| Insecticides| Neonicotinoids| Nitro Compounds| Pyrazoles| fluphenacur| imidacloprid| fipronil MeSH: | Animals| Benzamides/majr| Cat Diseases/prevention &amp; control| Cats| Ectoparasitic Infestations/prevention &amp; control| Housing| Imidazoles/majr| Insect Control/majr/methods| Insecticides/majr| Neonicotinoids| Nitro Compounds| Pyrazoles/majr| Siphonaptera/majr</t>
  </si>
  <si>
    <t>Comparative study on the effects of three insecticides (fipronil, imidacloprid, selamectin) on developmental stages of the cat flea (Ctenocephalides felis Bouché 1835): a light and electron microscopic analysis of in vivo and in vitro experiments.    ABSTRACT:  The effects of three insecticides (fipronil, imidacloprid and selamectin) on developmental stages of cat fleas (Ctenocephalides felis) were studied in vivo, in vitro and by means of light and electron microscopy. The results were documented by video. Adult fleas were attached to the skin of dogs that had been treated 7 days before with one of the three compounds. Furthermore, adult fleas were exposed exclusively to the hair and skin debris of such treated dogs or were placed on filter papers that had been impregnated with one of these three compounds or with the blood of treated dogs. Larval fleas were exposed to hair of treated dogs, to debris obtained by combing treated dogs, to dried blood samples of treated dogs or were placed onto filter papers impregnated with one of the three compounds. In these experiments with adult and larval fleas, it was noted that none of the three insecticides had a repellent effect on adult or larval fleas. Imidacloprid was the only compound that acted exclusively by body contact, and was apparently taken up by adult and larval fleas via the thin, non-sclerotized intersegmental membranes of the flea's body, shown when flea stages were exposed to hairs taken from dogs treated with one of the compounds or placed onto drug-impregnated filter papers. Imidacloprid killed larvae and adult fleas within 1 h, while it took at least 24 h until all adult fleas had died on fipronil- or selamectin-treated dogs, thus allowing longer feeding periods, increasing the risk of transmission of flea-derived diseases. Flea larvae covered with debris from dogs topically treated 7 days before with fipronil, imidacloprid or selamectin died, like the untreated control, within 16-28 h after exposure. This was, however, probably mainly due to a drying effect. Adult and larval fleas exposed to filter papers impregnated with the blood of treated dogs survived longer than 7 days, as did the untreated controls. All three drugs apparently acted on nerves and muscles and thus stopped motility.  KEYWORDS:  MeSH Chemical: Imidazoles| Insecticides| Neonicotinoids| Nitro Compounds| Pyrazoles| imidacloprid| Ivermectin| selamectin| fipronil MeSH: | Animals| Cats| Dog Diseases/majr/drug therapy/parasitology| Dogs| Ectoparasitic Infestations/majr/drug therapy/parasitology/veterinary| Female| Imidazoles/majr| In Vitro Techniques| Insect Control/majr/methods| Insecticides/majr| Ivermectin/majr/analogs &amp; derivatives| Male| Microscopy, Electron| Neonicotinoids| Nitro Compounds| Pyrazoles/majr| Siphonaptera/majr/growth &amp; development/ultrastructure</t>
  </si>
  <si>
    <t>Evaluation of the speed of kill of fleas and ticks with Frontline Top Spot in dogs.    ABSTRACT:  The speed of kill of a spot-on formulation of fipronil (Frontline Top Spot, Merial Limited, Duluth, GA) against adult cat fleas (Ctenocephalides felis) and brown dog ticks (Rhipicephalus sanguineus) was evaluated in dogs in a commercial laboratory setting. Forty dogs were allocated to 20 replicates of two based on sex and pretreatment flea counts. Within each replicate, dogs were randomly allocated to an untreated control group or to treatment with fipronil, administered topically as a spot-on per label instructions. The technical staff performing the flea and tick counts were unaware of treatment group assignments. Each dog was infested with approximately 100 unfed adult fleas on Day -8 or -6 and on Day -1. Each dog also was infested with approximately 50 unfed adult ticks on Day -1. Treatments were administered on Day 0 according to body weight. Flea and tick counts were performed on four randomly selected dogs from each treatment group at approximately 6, 12, 18, 24, and 48 hours after treatment. Flea and tick count reductions for dogs treated with fipronil were significant (P &lt; .05), as compared with untreated controls, at 18, 24, and 48 hours after treatment. Controlled efficacy of fipronil against C. felis and R. sanguineus ranged from 94% to 100% at these evaluation times. This study demonstrated that the speed of kill of fipronil, applied topically as a spot-on, was 100% against C. felis fleas on dogs within 12 to 18 hours after treatment and 100% against R. sanguineus ticks between 24 and 48 hours after treatment.  KEYWORDS:  MeSH Chemical: Insecticides| Pyrazoles| fipronil MeSH: | Administration, Topical| Animals| Dog Diseases/majr/drug therapy| Dogs| Ectoparasitic Infestations/majr/drug therapy/veterinary| Female| Insecticides/administration &amp; dosage/therapeutic use| Male| Pyrazoles/majr/administration &amp; dosage/therapeutic use| Siphonaptera/majr/drug effects| Ticks/majr/drug effects| Time Factors</t>
  </si>
  <si>
    <t>Purification and characterization of trans-permethrin metabolizing microsomal esterases from workers of the eastern subterranean termite, Reticulitermes flavipes (Kollar).    ABSTRACT:  Three alpha-naphthyl acetate hydrolyzing esterase isozymes were purified from microsomes prepared from Reticulitermes flavipes workers. The two step process involved sequential preparative IEF followed by continuous elution preparative electrophoresis on a 5% non-denaturing polyacrylamide gel. The first IEF run resulted in 5.4-fold purification with a yield of 46.1%. Subsequent IEF further purified the esterases 14.3-fold and 12% yield. Preparative electrophoresis of the pooled IEF fractions produced three major peaks of alpha-naphthyl acetate hydrolyzing activity. The esterases were correspondingly designated microsomal esterase (ME) 1, ME 2, and ME 3 based on increasing molecular retention on a native PAGE gel. ME 1, ME 2, and ME 3 were acidic proteins with pI values of 4.61, 4.70, and 4.77, respectively. Molecular mass as determined by gel filtration chromatography of ME 1, ME 2, and ME 3 was 69, 64, and 62 kDa, respectively. SDS-PAGE gels produced a single band for each of the isozymes with a molecular mass of 63 kDa indicating that the esterases were monomers. Specific activities of ME 1, ME 2, and ME 3 increased with increasing pH and the enzymes were active over a broad temperature range (25-55 degrees C). The three purified isozymes were inhibited at low concentration by paraoxon (10(-10) M), chlorpyrifos (10(-6) M), DEF (10(-6) M), and PMSF (10(-6) M) indicating that they were "B" type serine esterases. Conversely, inhibition was not observed at 10(-4) M eserine, PHMB, or CaCl(2), further supporting the conclusion that the microsomal esterases were of the "B" type. None of the isozymes was inhibited by 10(-4) M imidacloprid, fipronil, or PBO. Quantitatively, ME 1, ME 2 and ME 3 metabolized t-permethrin at 21.8, 21.0, and 38.8 nmol/h/mg protein, representing a purification factor of 333-, 318-, and 591-fold over microsomes, respectively. The three isozymes produced the same type and number of t-permethrin metabolites.  KEYWORDS:  MeSH Chemical: Pyrethrins| Concanavalin A| Permethrin| Naphthol AS D Esterase MeSH: | Animals| Concanavalin A/metabolism| Female| Isoptera/majr/enzymology| Microsomes/majr/enzymology| Naphthol AS D Esterase/majr/antagonists &amp; inhibitors/isolation &amp; purification/metabolism| Permethrin| Pyrethrins/majr/metabolism</t>
  </si>
  <si>
    <t>GLC-3: a novel fipronil and BIDN-sensitive, but picrotoxinin-insensitive, L-glutamate-gated chloride channel subunit from Caenorhabditis elegans.    ABSTRACT:  1. We report the cloning and expression of a novel Caenorhabditis elegans polypeptide, GLC-3, with high sequence identity to previously cloned L-glutamate-gated chloride channel subunits from nematodes and insects. 2. Expression of glc-3 cRNA in XENOPUS oocytes resulted in the formation of homo-oligomeric L-glutamate-gated chloride channels with robust and rapidly desensitizing currents, an EC(50) of 1.9+/-0.03 mM and a Hill coefficient of 1.5+/-0.1. GABA, glycine, histamine and NMDA all failed to activate the GLC-3 homo-oligomer at concentrations of 1 mM. The anthelminthic, ivermectin, directly and irreversibly activated the L-glutamate-gated channel with an EC(50) of 0.4+/-0.02 microM. 3. The GLC-3 channels were selective for chloride ions, as shown by the shift in the reversal potential for L-glutamate-gated currents after the reduction of external Cl(-) from 107.6 to 62.5 mM. 4. Picrotoxinin failed to inhibit L-glutamate agonist responses at concentrations up to 1 mM. The polycyclic dinitrile, 3,3-bis-trifluoromethyl-bicyclo[2,2,1]heptane-2,2-dicarbonitrile (BIDN), completely blocked L-glutamate-induced chloride currents recorded from oocytes expressing GLC-3 with an IC(50) of 0.2+/-0.07 microM. The phenylpyrazole insecticide, fipronil, reversibly inhibited L-glutamate-gated currents recorded from the GLC-3 receptor with an IC(50) of 11.5+/-0.11 microM. 5. In this study, we detail the unusual antagonist pharmacology of a new GluCl subunit from C. elegans. Unlike all other native and recombinant nematode GluCl reported to date, the GLC-3 receptor is insensitive to picrotoxinin, but is sensitive to two other channel blockers, BIDN and fipronil. Further study of this receptor may provide insights into the molecular basis of non-competitive antagonism by these compounds.  KEYWORDS:  MeSH Chemical: Antinematodal Agents| Antiparasitic Agents| Bridged Bicyclo Compounds| Chloride Channels| Convulsants| DNA, Complementary| Insecticides| Nitriles| Pyrazoles| glutamate-gated chloride channels| Picrotoxin| Ivermectin| 3,3-bis(trifluoromethyl)bicyclo(2.2.1)heptane-2,2-dicarbonitrile| picrotoxinin| fipronil MeSH: | Amino Acid Sequence| Animals| Antinematodal Agents/pharmacology| Antiparasitic Agents/pharmacology| Bridged Bicyclo Compounds/majr/pharmacology| Caenorhabditis elegans/majr/drug effects/genetics| Chloride Channels/majr/classification/drug effects/genetics| Convulsants/antagonists &amp; inhibitors| DNA, Complementary/analysis| Insecticides/pharmacology| Ivermectin/pharmacology| Molecular Sequence Data| Nitriles/majr/pharmacology| Oocytes/drug effects/metabolism| Picrotoxin/majr/analogs &amp; derivatives/pharmacology| Polymerase Chain Reaction| Pyrazoles/majr/pharmacology| Sequence Homology, Amino Acid| Transfection| Xenopus laevis</t>
  </si>
  <si>
    <t>Lethal and sublethal effects of insecticide residues on Orius insidiosus (Hemiptera: Anthocoridae) and Geocoris punctipes (Hemiptera: Lygaeidae).    ABSTRACT:  Laboratory-reared predators, the insidious flower bug, Orius insidiosus (Say), and big-eyed bug Geocoris punctipes (Say), were exposed to 10 insecticides, including three newer insecticides with novel modes of action, using a residual insecticide bioassay. These species are important predators of several economic pests of cotton. Insecticides tested were: azinphos-methyl, imidacloprid, spinosad, tebufenozide, fipronil, endosulfan, chlorfenapyr, cyfluthrin, profenofos, and malathion. There was considerable variation in response between both species tested to the insecticides. Tebufenozide and cyfluthrin were significantly less toxic to male O. insidiosus than malathion. Tebufenozide was also significantly less toxic to female O. insidiosus than malathion. Imidacloprid, tebufenozide, and spinosad were significantly less toxic to male G. punctipes than chlorfenapyr, endosulfan, and fipronil. Spinosad, tebufenozide, and azinphos-methyl were significantly less toxic to female G. punctipes than fipronil and endosulfan. Fecundity of O. insidiosus was significantly greater in the spinosad treatment compared with other treatments including the control. Consumption of bollworm, Helicoverpa zea (Boddie), eggs by O. insidiosus was significantly lower in the fipronil, profenofos, and cyfluthrin treatments compared with other treatments including the control. Consumption of H. zea eggs by G. punctipes was significantly lower in the malathion, profenofos, endosulfan, fipronil, azinphos-methyl, and imidacloprid treatments compared with the control. Egg consumption by G. punctipes was not significantly different in the tebufenozide treatment compared with the control. The lower toxicity of spinosad to G. punctipes is consistent with other reports. Based on these results, the following insecticides are not compatible with integrated pest management of cotton pests: malathion, endosulfan, profenofos, fipronil, and cyfluthrin; while imidacloprid, tebufenozide, azinphos-methyl, and spinosad should provide pest control while sparing beneficial species.  KEYWORDS:  MeSH Chemical: Insecticides| Pesticide Residues MeSH: | Animals| Female| Hemiptera/majr/physiology| Insect Control/methods| Insecticides/majr| Male| Pesticide Residues/majr</t>
  </si>
  <si>
    <t>Fipronil modulation of gamma-aminobutyric acid(A) receptors in rat dorsal root ganglion neurons.    ABSTRACT:  The gamma-aminobutyric acid (GABA) receptor is an important site of action of a variety of chemicals, including barbiturates, benzodiazepines, picrotoxin, bicuculline, general anesthetics, alcohols, and certain insecticides. Fipronil is the first phenylpyrazole insecticide introduced for pest control. It is effective against some insects that have become resistant to the existing insecticides. To elucidate the mechanism of fipronil interaction with the mammalian GABA system, whole-cell patch-clamp experiments were performed using rat dorsal root ganglion neurons in primary culture. Fipronil suppressed the GABA-induced whole-cell currents reversibly in both closed and activated states. The IC(50) values and Hill coefficients for fipronil block of the GABA(A) receptor were estimated to be 1.66 +/- 0.18 microM and 1.23 +/- 0.14 for the closed receptor, respectively, and 1.61 +/- 0.14 microM and 0.96 +/- 0.06 for the activated receptor, respectively. The association rate and dissociation rate constants of fipronil effect were estimated to be 673 +/- 220 M(-1) s(-1) and 0.018 +/- 0.0035 s(-1) for the closed GABA(A) receptor, respectively, and 6600 +/- 380 M(-1) s(-1) and 0.11 +/- 0.0054 s(-1) for the activated GABA(A) receptor, respectively. Thus, both the association and dissociation rate constants of fipronil for the activated GABA(A) receptor are approximately 10 times as large as those for the closed receptor. Experiments with coapplication of fipronil and picrotoxinin indicated that they did not compete for the same binding site to block the receptor. It is concluded that although fipronil binds to the GABA(A) receptor without activation, channel opening facilitates fipronil binding to and unbinding from the receptor.  KEYWORDS:  MeSH Chemical: Antiparasitic Agents| Pyrazoles| Receptors, GABA-A| Picrotoxin| picrotoxinin| fipronil MeSH: | Animals| Antiparasitic Agents/pharmacology| Binding, Competitive| Cells, Cultured| Dose-Response Relationship, Drug| Drug Interactions| Ganglia, Spinal/majr/drug effects/metabolism/physiology| In Vitro Techniques| Kinetics| Membrane Potentials/drug effects| Neurons/majr/drug effects/metabolism/physiology| Picrotoxin/analogs &amp; derivatives/pharmacology| Pyrazoles/majr/pharmacology| Rats| Receptors, GABA-A/majr/drug effects/metabolism</t>
  </si>
  <si>
    <t>Comparisons of toxic baits for controlling the cockroach, Blattella germanica: attractiveness and feeding stimulation.    ABSTRACT:  Female German cockroaches, Blattella germanica (L.) (Dictyoptera: Blattellidae) and nymphs (stages 1, 3 and 6) were used to test the attractiveness and the feeding stimulation of several commercial gel formulations of insecticide food baits in laboratory binary choice tests. The four toxic gel baits tested were: 'Avert' (0.05% abamectin=avermectin B1), 'Drax' (33.3% boric acid), 'Goliath' (0.05% fipronil) and 'Maxforce' (2.15% hydramethylnon). The attractiveness of a bait was estimated by the number of cockroaches that chose it first, and by their tendency to change to it secondarily. Feeding stimulation was estimated by the mean duration of feeding bouts and total duration of food intake. Variability of these factors was assessed in relation to age of cockroaches and to age of baits. With a few exceptions, cockroach age did not affect performance in any of these tests. Attractiveness to B. germanica ranked 'Goliath' gel higher than 'Avert', 'Drax' and 'Maxforce' gels, whether or not the active ingredient fipronil was present in 'Goliath' gel. Feeding stimulation ranked 'Avert' and 'Maxforce' gels higher than 'Goliath' gel, and 'Drax' gel was inferior. With ageing up to 3 months, the feeding stimulation power of 'Goliath' and 'Maxforce' gels increased, whereas that of 'Avert' fluctuated. Assuming that all types of bait effectively kill cockroaches once ingested, these results illustrate the importance of behavioural observations on bait efficiency and show that ranking of these different food baits varies in relation to the parameter analysed.  KEYWORDS:  MeSH Chemical: Boric Acids| Insecticides| Pyrazoles| Pyrimidinones| abamectin| Ivermectin| hydramethylnon| fipronil MeSH: | Age Factors| Animals| Behavior, Animal| Boric Acids| Bread| Cockroaches/majr/physiology| Feeding Behavior/physiology| Insect Control/majr/methods| Insecticides/majr| Ivermectin/majr/analogs &amp; derivatives| Pyrazoles| Pyrimidinones| Videotape Recording</t>
  </si>
  <si>
    <t>Evaluation of efficacy of selamectin, fipronil, and imidacloprid against Ctenocephalides felis in dogs.    ABSTRACT:  To evaluate efficacy of monthly administration of selamectin, fipronil, and imidacloprid against Ctenocephalides felis in dogs.Randomized controlled trial.44 healthy dogs.Dogs known to be free of fleas were infested with 100 unfed adult fleas on days -28 and -21. On days 0, 30, 60, 90, and 120, dogs (12/group) were treated by topical administration of selamectin (6 mg/kg [2.7 mg/lb] of body weight), fipronil (7.5 mg/kg [3.4 mg/lb]), or imidacloprid (10 mg/kg [4.5 mg/lb]); 8 untreated dogs were used as controls. On day -6 and every 2 weeks after initial treatment, comb counts of viable adult fleas were made, and fleas (&lt; or =50/dog) were replaced onto the dog from which they were removed. On day 89, fleas were not replaced. On day 91 and every 7 days until the end of the study, dogs were challenged with 20 adult fleas.14 days after initial treatment, geometric mean flea counts were reduced by 97.5 to 99.1 % for all treatments, compared with pretreatment counts on day -6. Selamectin, fipronil, and imidacloprid reduced geometric mean flea counts by 99.7 to 100% from day 29 to the end of the study.Selamectin is as effective as fipronil and imidacloprid in reducing C felis infestation in dogs housed for 3 months in a flea-infested environment under conditions known to support the flea life cycle, and in protecting against subsequent weekly challenges with C felis for an additional 2 months.  KEYWORDS:  MeSH Chemical: Antiparasitic Agents| Imidazoles| Insecticides| Neonicotinoids| Nitro Compounds| Pyrazoles| imidacloprid| Ivermectin| selamectin| fipronil MeSH: | Administration, Topical| Animals| Antiparasitic Agents/majr/administration &amp; dosage/standards| Dog Diseases/majr/drug therapy/parasitology| Dogs| Ectoparasitic Infestations/majr/drug therapy/veterinary| Female| Imidazoles/majr/administration &amp; dosage/standards| Insecticides/majr/administration &amp; dosage/standards| Ivermectin/majr/administration &amp; dosage/analogs &amp; derivatives/standards| Least-Squares Analysis| Male| Neonicotinoids| Nitro Compounds| Pyrazoles/majr/administration &amp; dosage/standards| Siphonaptera/majr/growth &amp; development</t>
  </si>
  <si>
    <t>Insecticide resistance and cross-resistance in the house fly (Diptera: Muscidae).    ABSTRACT:  A house fly strain, ALHF, was collected from a poultry farm in Alabama after a control failure with permethrin, and further selected in the laboratory with permethrin for five generations. The level of resistance to permethrin in ALHF was increased rapidly from an initial 260-fold to 1,800-fold after selection. Incomplete suppression of permethrin resistance by piperonyl butoxide (PBO) and S,S,S,-tributylphosphorotrithioate (DEF) reveals that P450 monooxygenase- and hydrolase-mediated detoxication, and one or more additional mechanisms are involved in resistance to permethrin. The ALHF strain showed a great ability to develop resistance or cross-resistance to different insecticides within and outside the pyrethroid group including some relatively new insecticides. Resistance to beta-cypermethrin, cypermethrin, deltamethrin, and propoxur (2,400-4,200-, 10,000-, and &gt; 290-fold, respectively, compared with a susceptible strain, aabys) in ALHF house flies was partially or mostly suppressed by PBO and DEF, indicating that P450 monooxygenases and hydrolases are involved in resistance to these insecticides. Partial reduction in resistance with PBO and DEF implies that multiresistance mechanisms are responsible for resistance. Fifteen- and more than fourfold resistance and cross-resistance to chlorpyrifos and imidacloprid, respectively, were not effected by PBO or DEF, indicating that P450 monooxygenases and hydrolases are not involved in resistance to these two insecticides. Forty-nine-fold cross-resistance to fipronil was mostly suppressed by PBO and DEF, revealing that monooxygenases are a major mechanism of cross-resistance to fipronil. Multiresistance mechanisms in the ALHF house fly strain, however, do not confer cross-resistance to spinosad, a novel insecticide derived from the bacterium Saccharopolyspora spinosa. Thus, we propose that spinosad be used as a potential insecticide against house fly pests, especially resistant flies.  KEYWORDS:  MeSH Chemical: Imidazoles| Insecticides| Neonicotinoids| Nitriles| Nitro Compounds| Pyrazoles| Pyrethrins| cypermethrin| decamethrin| imidacloprid| Permethrin| Propoxur| Chlorpyrifos| fipronil MeSH: | Animals| Chlorpyrifos| Imidazoles| Insect Control/majr/methods| Insecticide Resistance| Insecticides/majr| Muscidae/majr| Neonicotinoids| Nitriles| Nitro Compounds| Permethrin| Propoxur| Pyrazoles| Pyrethrins</t>
  </si>
  <si>
    <t>Single channel analysis of the blocking actions of BIDN and fipronil on a Drosophila melanogaster GABA receptor (RDL) stably expressed in a Drosophila cell line.    ABSTRACT:  Single channel recordings were obtained from a Drosophila S2 cell line stably expressing the wild-type RDL(ac) Drosophila melanogaster homomer-forming ionotropic GABA receptor subunit, a product of the resistance to dieldrin gene, RDL: GABA (50 microM) was applied by pressure ejection to outside-out patches from S2-RDL cells at a holding potential of -60 mV. The resulting inward current was completely blocked by 100 microM picrotoxin (PTX). The unitary current-voltage relationship was linear at negative potentials but showed slight inward rectification at potentials more positive than 0 mV. The reversal potential of the current (E(GABA)=-1.4 mV) was close to the calculated chloride equilibrium potential. The single channel conductance elicited by GABA was 36 pS. A 71 pS conductance channel was also observed when the duration of the pulse, used to eject GABA, was longer than 80 ms. The mean open time distribution of the unitary events was fitted best by two exponential functions suggesting two open channel states. When either 1 microM fipronil or 1 microM BIDN was present in the external saline, the GABA-gated channels were completely blocked. When BIDN or fipronil was applied at a concentration close to the IC(50) value for suppression of open probability (281 nM, BIDN; 240 nM, fipronil), the duration of channel openings was shortened. In addition, the blocking action of BIDN resulted in the appearance of a novel channel conductance (17 pS). The effects of co-application of BIDN and fipronil were examined. Co-application of BIDN (300 nM) with various concentrations (100-1000 nM) of fipronil resulted in an additional BIDN-induced dose-dependent reduction of the maximum P(o) value. Thus both BIDN and fipronil shorten the duration of wild-type RDL(ac) GABA receptor channel openings but appear to act at distinct sites.  KEYWORDS:  MeSH Chemical: Bridged Bicyclo Compounds| Drosophila Proteins| GABA Antagonists| Ion Channels| Nitriles| Pyrazoles| Rdl protein, Drosophila| Receptors, GABA-A| Picrotoxin| gamma-Aminobutyric Acid| 3,3-bis(trifluoromethyl)bicyclo(2.2.1)heptane-2,2-dicarbonitrile| fipronil MeSH: | Animals| Bridged Bicyclo Compounds/majr/pharmacology| Cell Line| Dose-Response Relationship, Drug| Drosophila Proteins/majr| Drosophila melanogaster/majr/cytology/drug effects/physiology| GABA Antagonists/pharmacology| Ion Channels/majr/drug effects| Membrane Potentials/drug effects| Nitriles/majr/pharmacology| Patch-Clamp Techniques| Picrotoxin/pharmacology| Pyrazoles/majr/pharmacology| Receptors, GABA-A/majr/drug effects| Time Factors| gamma-Aminobutyric Acid/pharmacology</t>
  </si>
  <si>
    <t>Repellency and efficacy of 65% permethrin and 9.7% fipronil against Ixodes ricinus.    ABSTRACT:  Two topically applied spot-on products--65% permethrin (Defend Exspot Treatment for Dogs, Schering-Plough Animal Health, Union, NJ) and 9.7% fipronil (Frontline Spot On Dog, Merial Limited, Iselin, NJ)--used for canine flea and tick control were evaluated for repellency against Ixodes ricinus, the tick species that is the primary vector of Lyme disease in Europe. Eighteen dogs were randomly assigned to the following treatment groups (n = 6): (1) 65% permethrin, (2) 9.7% fipronil, or (3) untreated control. Dogs were exposed to ticks in individually assigned cages with a carpet that covered =70% of the cage bottom. Dogs in treatment groups 1 and 2 were treated in accordance with label directions for each re-spective product on study day 0. Fifty unfed, male and female adult ticks were placed in the cages 15 to 30 minutes before the dogs. The dogs were placed in the cages for a 2-hour exposure period at 2, 7, 14, 21, 28, 35, and 41 days after treatment. After a 2-hour exposure period, dogs were removed from the cages and live (attached and unattached) and dead ticks were counted on the dogs, on the carpets, and in the cages. Cages were thoroughly cleaned and new carpet was used for each tick exposure period. Treatment of dogs with 65% permethrin reduced tick numbers on dogs by 99.1% at 2 days, 99.0% at 1 week, 95.9% at 2 weeks, 88.5% at 3 weeks, 87.1% at 4 weeks, and 48.0% at 6 weeks after application. In contrast, treatment of dogs with 9.7% fipronil reduced tick numbers on dogs by 61.4% at 2 days, 51.6% at 1 week, 37.0% at 2 weeks, 33.7% at 3 weeks, 10.8% at 4 weeks, and 0% at 6 weeks after application. The efficacy of 65% permethrin was significant (P &lt; or = .05) when compared to the control at all challenges, whereas the efficacy of 9.7% fipronil was not significant as compared to controls at 21, 28, 35, and 41 days after treatment. The 65% permethrin killed significantly more Ixodes ricinus ticks (P &lt; or = .05) than 9.7% fipronil from 2 to 41 days after treatment. The 65% permethrin repelled 1.9-, 2.0-, 3.0-, 43.3-, 3.9-, 8.9-, and 17.3-fold more Ixodes ricinus than did 9.7% fipronil at 2, 7, 14, 21, 28, 35, and 41 days after treatment, respectively, and all differences in repellency were significant (P &lt; or = .05).  KEYWORDS:  MeSH Chemical: Insect Repellents| Pyrazoles| Permethrin| fipronil MeSH: | Animals| Dog Diseases/prevention &amp; control| Dogs| Female| Insect Repellents/majr/administration &amp; dosage/pharmacology| Ixodes/majr/drug effects| Male| Permethrin/majr/administration &amp; dosage/pharmacology| Pyrazoles/majr/administration &amp; dosage/pharmacology| Tick Infestations/prevention &amp; control/veterinary| Time Factors</t>
  </si>
  <si>
    <t>Regional modification of [(3)H]Ethynylbicycloorthobenzoate binding in mouse brain GABA(A) receptor by endosulfan, fipronil, and avermectin B(1a).    ABSTRACT:  [(3)H]Ethynylbicycloorthobenzoate ([(3)H]EBOB), a high affinity radioligand for the noncompetitive blocker site of the GABA(A) receptor, is used here for quantitative autoradiography to determine regional binding in mouse brain and the effects on this binding of administering toxic doses of endosulfan, fipronil, and avermectin B(1a) (AVM). Animals were euthanized 4-8 min after 1 LD50 or 2 LD50 doses of the two channel blockers and 32 min after 1 LD50 or 4 LD50 doses of the channel activator AVM. Specific binding of [(3)H]EBOB was determined for 20-microm brain sections as the difference in labeling on incubation with 2 nM [(3)H]EBOB either alone (total binding) or with 5 microM alpha-endosulfan (nonspecific binding). The highest specific labeling was observed for layers I and IV of the cerebral cortex, the globus pallidus, and the medial septal nucleus/nucleus of the vertical limb of the diagonal band. Dose-dependent inhibition by endosulfan was highest in the nucleus accumbens and least in the cerebellum and periaqueductal gray matter. Fipronil had much less effect on binding even at severely toxic doses. AVM increased [(3)H]EBOB binding in most regions and was the only one of the three agents inhibiting in vitro [(3)H]strychnine binding to the glycine receptor. In summary, the noncompetitive blocker site was strongly inhibited with dose dependence and regional selectively by alpha-endosulfan but was generally poorly inhibited or activated by fipronil and was activated by avermectin.Copyright 2000 Academic Press.  KEYWORDS:  MeSH Chemical: Bridged Bicyclo Compounds, Heterocyclic| Pyrazoles| Receptors, GABA-A| Tritium| 1-(4-ethynylphenyl)-4-propyl-2,6,7-trioxabicyclo(2.2.2)octane| avermectin B(1)a| Ivermectin| Strychnine| Endosulfan| fipronil MeSH: | Animals| Brain/majr/drug effects/metabolism| Bridged Bicyclo Compounds, Heterocyclic/majr/metabolism| Endosulfan/majr/pharmacology| Ivermectin/majr/analogs &amp; derivatives/pharmacology| Mice| Molecular Structure| Pyrazoles/majr/pharmacology| Receptors, GABA-A/majr/drug effects| Strychnine/metabolism| Tritium</t>
  </si>
  <si>
    <t>The effects of reduced agent-area insecticide treatments for rangeland grasshopper (Orthoptera: Acrididae) control on bird densities.    ABSTRACT:  The effects of insecticidal control programs for grasshoppers on the population density of birds were assessed under operational conditions in two rangeland sites in Wyoming during an outbreak (19 to 56 grasshoppers m(-2) on &gt;1,500 ha). Malathion, carbaryl, and fipronil were evaluated using large-scale (&gt;/=260 ha) reduced agent-area treatments (RAAT), in which these chemicals were applied at 50% of the standard rate (except fipronil, for which there is no standard in North America) to 80, 50, and 33% of the areas (alternating treated and untreated swaths), respectively. Grasshopper population densities were reduced by 73 to 99%, at 14 and 28 days after treatment. Significant differences among treatments within the sites were apparent, and despite disparities in the vegetation, topography, and grasshopper populations between sites, some consistent patterns of response by bird populations were found. Relative to pretreatment densities and untreated plots, at 14 days after treatment, bird densities were enhanced at one site and suppressed at the other; at 28 days after treatment bird populations were generally suppressed at both sites. However, absolute densities increased in some plots, indicating that birds still had adequate food. There appeared to be no relationship between posttreatment grasshopper and bird densities, perhaps due to the large initial insect populations. Fipronil plots generally had higher avian population densities (nongregarious insectivores and total birds) than carbaryl plots, which had bird densities greater than or equal to malathion plots. These differences were probably a function of both the toxicological properties of the compounds and the proportion of the infested land that was treated. Based on these findings, we must consider the possibility that compounds with relatively high toxicity to birds and long residual effects applied to widely spaced swaths may cause no more (or perhaps less) environmental impact than less toxic and persistent insecticides that must be applied to large proportions of infested rangeland. http://link.springer-ny. com/link/service/journals/00244/bibs/37n4p519.html&lt;/++ +HEA  KEYWORDS:  MeSH Chemical: Insecticides| Pyrazoles| fipronil| Carbaryl| Malathion MeSH: | Animals| Carbaryl/toxicity| Grasshoppers/drug effects| Insecta/majr/drug effects| Insecticides/majr/toxicity| Malathion/toxicity| Poultry/majr/growth &amp; development| Pyrazoles/toxicity| Time Factors| Wyoming</t>
  </si>
  <si>
    <t>Comparison of an amitraz-impregnated collar with topical administration of fipronil for prevention of experimental and natural infestations by the brown dog tick (Rhipicephalus sanguineus).    ABSTRACT:  To compare the efficacies of amitraz and fipronil for prevention of experimental and natural infestations of Rhipicephalus sanguineus.Prospective study.30 dogs.In 3 trials, dogs were allocated to 3 groups of 10 each. In trial 1, dogs were experimentally infested on day--1, and on day 0 were fitted with an amitraz-impregnated collar, treated topically with fipronil, or not treated. Ticks were counted daily until day 7, when viability of ticks and their progeny was determined. In trial 2, dogs were treated on day 0 and experimentally infested on days 7, 8, 10, and 13. Ticks were counted on days 8, 10, 13, and 18, and viability of ticks and their progeny was determined on day 18. In trial 3, dogs were exposed weekly to a tick-infested environment from day--3 to day 70. Dogs were treated on day 0, and ticks were counted and removed weekly from day 3 to day 77.Fipronil and amitraz were acaricidal and inhibited attachment and feeding. Amitraz had a significantly greater effect than fipronil on numbers of live, feeding ticks, egg hatchability, and larval viability, indicating partial ability to interrupt the tick life cycle. In field conditions, amitraz remained effective over the entire observation period.Amitraz had stronger and more sustained effects against tick infestation than fipronil.  KEYWORDS:  MeSH Chemical: Insecticides| Pyrazoles| Toluidines| amitraz| fipronil MeSH: | Administration, Topical| Animals| Dog Diseases/majr/parasitology/prevention &amp; control| Dogs| Drug Delivery Systems/veterinary| Female| Insecticides/majr/administration &amp; dosage/pharmacology/therapeutic use| Male| Pyrazoles/majr/administration &amp; dosage/pharmacology/therapeutic use| Reproduction/drug effects| Tick Infestations/majr/prevention &amp; control/veterinary| Ticks/physiology| Toluidines/majr/administration &amp; dosage/pharmacology/therapeutic use</t>
  </si>
  <si>
    <t>Characterization and comparative pharmacological studies of a functional gamma-aminobutyric acid (GABA) receptor cloned from the tobacco budworm, Heliothis virescens (Noctuidae:Lepidoptera).    ABSTRACT:  This paper reports the functional expression and pharmacological characterization of a full length complementary deoxyribonucleic acid (cDNA) (pIVY12) cloned from a Heliothis virescens fertilized egg cDNA library that encodes for a gamma-aminobutyric acid (GABA) receptor subunit (HVRDL-Ser 285). Two electrode voltage clamp recordings of Xenopus oocytes expressing the HVRDL GABA-gated chloride channel revealed robust chloride ion conductance in response to GABA and the GABAA receptor agonist, muscimol. Baclofen, a GABAB agonist had no effect. Phenobarbital showed a positive dose-dependent allosteric modulatory effect, whereas the benzodiazepine, flunitrazepam, had no effect. Chloride conductance was depressed by the novel insecticide, fipronil ((+/-)-5-amino-1-(2,6 dichloro-alpha, alpha, alpha-trifluoro-p-tolyl)-4-trifluoromethyl-sulfinylpyrazole-3-carb onitrile) and the GABAA antagonist, picrotoxinin. The HVRDL GABA receptor was insensitive to blockage by dieldrin and the GABAA antagonist, bicuculline. The comparative actions of fipronil, picrotoxinin and dieldrin were examined on oocytes expressing the H. virescens wild-type (HVRDL-Ser 285), the site-directed mutant (HVRDL-Ala 285), the Drosophila melanogaster Rdl wild-type (DMRDL-Ala 302) and the Rdl dieldrin resistant (DMRDL-Ser 302) homo-oligomeric GABA receptors. HVRDL-Ala 285 was 15-fold more sensitive to blockage by fipronil than HVRDL-Ser 285. DMRDL-Ala 302 and DMRDL-Ser-302 showed a similar level of sensitivity to blockage by fipronil. HVRDL-Ser 285 and DMRDL-Ser 302 exhibited a similar level of insensitivity to picrotoxinin. HVRDL-Ala 285 and DMRDL-Ala 302 showed a similar range of picrotoxinin sensitivity. DMRDL-Ala 302 and HVRDL-Ala 285 showed some sensitivity to blockage by dieldrin. Fipronil sensitivity was significantly altered by the serine to alanine mutation at position 285 in the M2 region of the HVRDL subunit, whereas no difference was observed between the DMRDL-Ser 302 and DMRDL-Ala 302 receptors.  KEYWORDS:  MeSH Chemical: Convulsants| DNA, Complementary| Insecticides| Pyrazoles| Receptors, GABA| Dieldrin| fipronil MeSH: | Amino Acid Sequence| Animals| Cloning, Molecular| Convulsants/pharmacology| DNA, Complementary/majr/isolation &amp; purification| Dieldrin/pharmacology| Insecticides/pharmacology| Lepidoptera/majr/chemistry/drug effects| Molecular Sequence Data| Mutagenesis, Site-Directed| Oocytes/drug effects| Patch-Clamp Techniques| Pyrazoles/pharmacology| Receptors, GABA/majr/drug effects/genetics| Sequence Homology, Amino Acid| Xenopus</t>
  </si>
  <si>
    <t>Mechanisms for selective toxicity of fipronil insecticide and its sulfone metabolite and desulfinyl photoproduct.    ABSTRACT:  Fipronil, an N-phenylpyrazole with a trifluoromethylsulfinyl substituent, initiated the second generation of insecticides acting at the gamma-aminobutyric acid (GABA) receptor to block the chloride channel. The first generation includes the polychlorocycloalkanes alpha-endosulfan and lindane. In this study, we examine the mechanisms for selective toxicity of the sulfoxide fipronil and its sulfone metabolite and desulfinyl photoproduct relative to their target site interactions in vitro and ex vivo and the importance in fipronil action of biooxidation to the sulfone. Differences in GABA receptor sensitivity, assayed by displacement of 4'-ethynyl-4-n-[2, 3-3H2]propylbicycloorthobenzoate ([3H]EBOB) from the noncompetitive blocker site, appear to be a major factor in fipronil being much more toxic to the insects (housefly and fruit fly) than to the vertebrates (humans, dogs, mice, chickens, quail, and salmon) examined; in insects, the IC50s range from 3 to 12 nM for fipronil and its sulfone and desulfinyl derivatives, while in vertebrates, the IC50 average values are 1103, 175, and 129 nM for fipronil, fipronil sulfone, and desulfinyl fipronil, respectively. The insect relative to the vertebrate specificity decreases in the following order: fipronil &gt; lindane &gt; desulfinyl fipronil &gt; fipronil sulfone &gt; alpha-endosulfan. Ex vivo inhibition of [3H]EBOB binding in mouse brain is similar for fipronil and its sulfone and desulfinyl derivatives at the LD50 dose, but surprisingly, at higher doses fipronil can be lethal without detectably blocking the [3H]EBOB site. The P450 inhibitor piperonyl butoxide, acting in houseflies, increases the metabolic stability and effectiveness of fipronil and the sulfone but not those of the desulfinyl compound, and in mice it completely blocks the sulfoxide to sulfone conversion without altering the poisoning. Thus, the selective toxicity of fipronil and fipronil-derived residues is due in part to the higher potency of the parent compound at the insect versus the mammalian GABA receptor but is also dependent on the relative rates of conversion to the more persistent and less selective sulfone metabolite and desulfinyl photoproduct.  KEYWORDS:  MeSH Chemical: Bridged Bicyclo Compounds, Heterocyclic| Enzyme Inhibitors| Insecticides| Pyrazoles| Receptors, GABA| Sulfones| 1-(4-ethynylphenyl)-4-propyl-2,6,7-trioxabicyclo(2.2.2)octane| Oxidoreductases| fipronil MeSH: | Animals| Binding, Competitive/drug effects| Brain/metabolism| Bridged Bicyclo Compounds, Heterocyclic/pharmacokinetics| Dogs| Enzyme Inhibitors/pharmacology| Female| Houseflies/metabolism| Insecticides/majr/chemistry/pharmacokinetics/toxicity| Liver/metabolism| Male| Mice| Oxidoreductases/antagonists &amp; inhibitors| Photochemistry| Pyrazoles/majr/chemistry/pharmacokinetics/toxicity| Receptors, GABA/drug effects/metabolism| Sulfones/chemistry/toxicity</t>
  </si>
  <si>
    <t>Antifeeding effect of several insecticidal formulations against Ctenocephalides felis on cats.    ABSTRACT:  Evaluation of insecticidal activity of flea products is generally based on counting live fleas in the animal's coat 24 and 48 hours following artificial infestation. This approach, however, does not allow to specify whether the fleas have had the opportunity to bite and take a bloodmeal prior to their death. To address this question, 30 cats were alloted to six groups of five animals. Each cat was housed in a separate cage. At Day 0, each group of cats received a single treatment as follows: Group 1: spot-on application of imidacloprid: cats &lt; 4 kg: 40 mg/cat, cats &gt; or = 4 kg: 80 mg/cat (Advantage). Group 2: spot-on application of fipronil: 50 mg/cat (Frontline spot-on). Group 3: spray application of fipronil: 7.5 mg/kg b.w. (Frontline spray). Group 4: foam application of permethrin 40/60: 50 mg/kg b.w. (Defencat). Group 5: aerosol spray application of dichlorvos + fenitrothion: one second/kg b.w. (NuvanTop). Group 6: control group: cats were left untreated. One hour after treatment, each cat was infested with 50 unengorged young adult fleas, Ctenocephalides felis, deposited along the dorsal midline. One hour later, each cat was carefully combed using a fine-toothed comb (13 teeth/cm). Collected fleas were swatted to deteci blood in their abdomen. To the manufacturers respective product use instructions and efficacy claims, reeinfestations were made at Days 3, 7, 14 in all groups; at Days 21 and 30 in Groups 1, 2, 4, 6; at Days 35 and 42 in Groups 3 and 6. The cats were combed one hour after each reinfestation. The results indicate that the topical application of imidacloprid or fipronil does not prevent fleas from biting and feeding within the first hour after infestation prior to being killed while the topical application of dichlorvos/fenitrothion and permethrin let to a better than 80% decrease of the number of engorged fleas for three and seven days post treatment, respectively.  KEYWORDS:  MeSH Chemical: Aerosols| Imidazoles| Insecticides| Neonicotinoids| Nitro Compounds| Pyrazoles| Pyrethrins| imidacloprid| Permethrin| Dichlorvos| fipronil| Fenitrothion MeSH: | Administration, Topical| Aerosols| Animals| Cat Diseases/majr/parasitology/prevention &amp; control| Cats| Dichlorvos/administration &amp; dosage/pharmacology/therapeutic use| Ectoparasitic Infestations/majr/parasitology/prevention &amp; control/veterinary| Feeding Behavior/drug effects| Female| Fenitrothion/administration &amp; dosage/pharmacology/therapeutic use| Imidazoles/administration &amp; dosage/pharmacology/therapeutic use| Insecticides/majr/administration &amp; dosage/pharmacology/therapeutic use| Male| Neonicotinoids| Nitro Compounds| Permethrin| Pyrazoles/administration &amp; dosage/pharmacology/therapeutic use| Pyrethrins/administration &amp; dosage/pharmacology/therapeutic use| Siphonaptera/majr/drug effects/physiology| Time Factors</t>
  </si>
  <si>
    <t>Mode of carcinogenic action of pesticides inducing thyroid follicular cell tumors in rodents.    ABSTRACT:  Of 240 pesticides screened for carcinogenicity by the U.S. Environmental Protection Agency Office of Pesticide Programs, at least 24 (10%) produce thyroid follicular cell tumors in rodents. Thirteen of the thyroid carcinogens also induce liver tumors, mainly in mice, and 9 chemicals produce tumors at other sites. Some mutagenic data are available on all 24 pesticides producing thyroid tumors. Mutagenicity does not seem to be a major determinant in thyroid carcinogenicity, except for possibly acetochlor; evidence is less convincing for ethylene thiourea and etridiazole. Studies on thyroid-pituitary functioning, including indications of thyroid cell growth and/or changes in thyroxine, triiodothyronine, or thyroid-stimulating hormone levels, are available on 19 pesticides. No such antithyroid information is available for etridiazole, N-octyl bicycloheptene dicarboximide, terbutryn, triadimefon, and trifluralin. Of the studied chemicals, only bromacil lacks antithyroid activity under study conditions. Intrathyroidal and extrathyroidal sites of action are found: amitrole, ethylene thiourea, and mancozeb are thyroid peroxidase inhibitors; and acetochlor, clofentezine, fenbuconazole, fipronil, pendimethalin, pentachloronitrobenzene, prodiamine, pyrimethanil, and thiazopyr seem to enhance the hepatic metabolism and excretion of thyroid hormone. Thus, with 12 pesticides that mode of action judgments can be made, 11 disrupt thyroid-pituitary homeostasis only; no chemical is mutagenic only; and acetochlor may have both antithyroid and some mutagenic activity. More information is needed to identify other potential antithyroid modes of thyroid carcinogenic action.  KEYWORDS:  MeSH Chemical: Carcinogens| Pesticides| Thyroid Hormones MeSH: | Adenocarcinoma, Follicular/majr/chemically induced| Animals| Carcinogenicity Tests| Carcinogens/majr/toxicity| Liver/drug effects/metabolism| Mice| Mutagenicity Tests| Pesticides/majr/toxicity| Rats| Thyroid Gland/majr/drug effects| Thyroid Hormones/metabolism| Thyroid Neoplasms/majr/chemically induced</t>
  </si>
  <si>
    <t>Therapeutic and persistent efficacy of fipronil against Boophilus microplus (Acari: Ixodidae) on cattle.    ABSTRACT:  Cattle infested with all parasitic life-stages of Boophilus microplus (Canestrini) were treated once with a pour-on formulation of fipronil at 0.25, 0.5, or 1.0% active ingredient (AI) to determine the therapeutic efficacy. Additionally, cattle were infested at weekly intervals for 13 consecutive weeks after treatment to determine the persistent effectiveness of the three concentrations. Results of therapeutic efficacy of fipronil showed that with each increase in concentration there was a corresponding and often significant (P &lt; 0.05) decrease in the numbers, fecundity and fertility of engorged females. The overall control of the Index of Reproduction (IR) achieved at 0.25 and 0.5% AI was 86.2 and 94.3%, respectively, while the control of the IR at the 1.0% AI concentration was 99.7%. The persistent efficacy of fipronil, like the therapeutic efficacy, was also dose related. The 0.25% AI treatment failed to provide complete protection (100%) against larval reinfestation, although control of the IR remained high (&gt; 95%) for the first 6 weeks after treatment. In contrast, at 0.5% AI the control of the IR remained at 100% for the first 4 weeks after treatment, and was &gt; 90% for an additional 2 weeks (6 weeks posttreatment). The 1.0% AI concentration afforded the longest residual activity, providing virtually 100% protection against larval reinfestation for 8 weeks after treatment was applied. Based on the results, neither the 0.25 or 0.5% AI concentration completely eliminated the immature stages of the tick (nymphs and larvae) on the host at the time of treatment (therapeutic efficacy), and the residual activity (persistent efficacy) did not prevent reinfestation by larvae for long periods after treatment. While the 1.0% AI concentration provided both therapeutic and residual efficacy that would be suitable for use in the eradication program, caution is still warranted because a few engorged females detached for up to 25 days after treatment, although none reproduced after the 6th day.  KEYWORDS:  MeSH Chemical: Antiparasitic Agents| Pyrazoles| fipronil MeSH: | Administration, Topical| Analysis of Variance| Animals| Antiparasitic Agents/majr/administration &amp; dosage/pharmacology/therapeutic use| Cattle| Cattle Diseases/majr/drug therapy/prevention &amp; control| Female| Parasite Egg Count/veterinary| Pyrazoles/majr/administration &amp; dosage/pharmacology/therapeutic use| Random Allocation| Texas| Tick Infestations/majr/drug therapy/prevention &amp; control/veterinary| Ticks/majr/drug effects/physiology</t>
  </si>
  <si>
    <t>Cytochrome P-450 field insecticide tolerance and development of laboratory resistance in grape vine populations of Drosophila melanogaster (Diptera: Drosophilidae).    ABSTRACT:  Studies were conducted between 1993 and 1996 using 3 natural grape vine populations, 1 susceptible laboratory strain, and 1 resistant selected strain of Drosophila melanogaster L. In vitro monooxygenase activity (ethoxycoumarine-O-deethylation) (ECOD) was recorded from microsomal fractions of all strains. Results varied over a 6-fold range between susceptible laboratory Canton and resistant selected RDDT strains and over a 2-fold range between the Canton strain and natural populations of flies. Few significant variations of ECOD activity were detected among the natural populations despite many insecticide treatments, but activities were significantly correlated with toxicological tolerance to 5 of the 15 insecticides (deltamethrin, fipronil, chlorpyriphos ethyl, DDT, and diazinon). Moreover, immunoblotting responses of microsomal protein encoded by Cyp6A2 showed that the levels of expression were quantitatively correlated with toxicological tolerance to almost the same group of insecticides (deltamethrin, fipronil, chlorpyriphos ethyl, DDT, fenvalerate, and fenthion). However, the level of CYP6A2 expression in some natural strains (still weakly resistant) was almost comparable with one of the resistant strains. In vivo monooxygenase activity recorded in individual abdomens of flies showed that frequency distributions of ECOD activity in natural populations overlapped those of the resistant and laboratory strains, which were much narrower. Substantial and fast frequency changes (of the narrowness) that obtained in laboratory were related to either the time of rearing of 1 of the natural populations or selecting this population with an insecticide that has a toxicology correlated with both of the monooxygenase signs measured. Perspectives on using the CYP6A2 expression and ECOD activity for detecting a resistance mechanism by cytochrome P450 in field populations are discussed.  KEYWORDS:  MeSH Chemical: Drosophila Proteins| Insecticides| Nitriles| Pyrethrins| decamethrin| Cytochrome P-450 Enzyme System| Oxygenases| Cyp6a2 protein, Drosophila| Cytochrome P450 Family 6 MeSH: | Animals| Blotting, Western| Cytochrome P-450 Enzyme System/majr/biosynthesis/metabolism| Cytochrome P450 Family 6| Drosophila Proteins| Drosophila melanogaster/majr/enzymology| Insecticide Resistance| Insecticides/majr| Nitriles| Oxygenases/metabolism| Pyrethrins| Rosales</t>
  </si>
  <si>
    <t>Drosophila GABA-gated chloride channel: modified [3H]EBOB binding site associated with Ala--&gt;Ser or Gly mutants of Rdl subunit.    ABSTRACT:  The non-competitive blocker site of the GABA-gated chloride ion channel in normal susceptible strains of Drosophila melanogaster and simulans binds 4-n-[3H]propyl-4'-ethynylbicycloorthobenzoate ([3H]EBOB) at specific sites with KdS of 1.6-1.9 nM and BmaxS of 171-181 fmol/mg protein. This specific binding of [3H]EBOB is strongly inhibited by: a large number and variety of insecticidal channel blockers at 20 nM (lindane, alpha-endosulfan, dieldrin, 12-ketoendrin, fipronil, and a representative bicycloorthobenzoate and dithiane) or 200 nM (picrotoxinin); the insecticidal channel activators avermectin and moxidectin at 20 nM; muscimol at 30 microM and GABA at 300 microM. Cyclodiene resistance in D. melanogaster has been attributed to a mutation resulting in an Ala302--&gt;Ser replacement in the Rdl GABA receptor subunit and in D. simulans to an homologous Ala--&gt;Ser or Gly replacement. These mutations are shown here to greatly reduce [3H]EBOB binding, i.e. lower affinity and apparent number of binding sites. The Ala--&gt;Ser replacement with both melanogaster and simulans almost always reduces the potency in inhibiting [3H]EBOB binding of each of eight channel blockers and of muscimol and GABA. The Ala--&gt;Gly replacement in D. simulans is generally less effective than the Ala--&gt;Ser modification in reducing sensitivity to the channel blockers and to muscimol and GABA. The channel activators avermectin and moxidectin usually retain their inhibitory potency in the Rdl subunit mutants. Thus, it appears that replacement of Ala by Ser generally modifies the non-competitive blocker site and its coupling to the GABA-recognition site with less effect on the channel activator site. In contrast, the Ala--&gt;Gly replacement has less impact in protecting the chloride channel from the action of insecticidal blockers. Each of the resistant strains has the same level of resistance to the lethal action of the five channel blockers examined but none to avermectins and muscimol.  KEYWORDS:  MeSH Chemical: Bridged Bicyclo Compounds| Bridged Bicyclo Compounds, Heterocyclic| Chloride Channels| Drosophila Proteins| Rdl protein, Drosophila| Receptors, GABA-A| Tritium| 1-(4-ethynylphenyl)-4-propyl-2,6,7-trioxabicyclo(2.2.2)octane| Muscimol| Serine| gamma-Aminobutyric Acid| Alanine| Glycine MeSH: | Alanine| Animals| Binding Sites| Bridged Bicyclo Compounds/majr/metabolism| Bridged Bicyclo Compounds, Heterocyclic/majr| Chloride Channels/majr/antagonists &amp; inhibitors/chemistry/metabolism| Drosophila Proteins/majr| Drosophila melanogaster/majr/metabolism| Glycine| Insecticide Resistance| Ion Channel Gating/majr/drug effects| Muscimol/metabolism| Mutation| Receptors, GABA-A/majr/chemistry/genetics/metabolism| Serine| Structure-Activity Relationship| Tritium| gamma-Aminobutyric Acid/majr/metabolism/pharmacology</t>
  </si>
  <si>
    <t>08/26/2021  Term map changed for no mappings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</si>
</sst>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b/>
      <sz val="15"/>
      <color theme="3"/>
      <name val="Calibri"/>
      <family val="2"/>
      <scheme val="minor"/>
    </font>
    <font>
      <b/>
      <sz val="11"/>
      <color theme="3"/>
      <name val="Calibri"/>
      <family val="2"/>
      <scheme val="minor"/>
    </font>
    <font>
      <u/>
      <sz val="11"/>
      <color theme="10"/>
      <name val="Calibri"/>
      <family val="2"/>
      <scheme val="minor"/>
    </font>
    <font>
      <b/>
      <sz val="16"/>
      <color theme="3"/>
      <name val="Calibri"/>
      <family val="2"/>
      <scheme val="minor"/>
    </font>
    <font>
      <b/>
      <sz val="13"/>
      <color theme="3"/>
      <name val="Calibri"/>
      <family val="2"/>
      <scheme val="minor"/>
    </font>
    <font>
      <b/>
      <sz val="11"/>
      <color theme="0"/>
      <name val="Calibri"/>
      <family val="2"/>
      <scheme val="minor"/>
    </font>
    <font>
      <sz val="11"/>
      <color theme="0"/>
      <name val="Calibri"/>
      <family val="2"/>
      <scheme val="minor"/>
    </font>
    <font>
      <sz val="9"/>
      <color theme="1"/>
      <name val="Calibri"/>
      <family val="2"/>
      <scheme val="minor"/>
    </font>
    <font>
      <sz val="14"/>
      <color theme="1"/>
      <name val="Calibri"/>
      <family val="2"/>
      <scheme val="minor"/>
    </font>
    <font>
      <i/>
      <sz val="11"/>
      <color rgb="FF7F7F7F"/>
      <name val="Calibri"/>
      <family val="2"/>
      <scheme val="minor"/>
    </font>
    <font>
      <sz val="9"/>
      <color indexed="81"/>
      <name val="Tahoma"/>
      <family val="2"/>
    </font>
    <font>
      <b/>
      <sz val="9"/>
      <color indexed="81"/>
      <name val="Tahoma"/>
      <family val="2"/>
    </font>
    <font>
      <b/>
      <sz val="14"/>
      <color theme="3"/>
      <name val="Calibri"/>
      <family val="2"/>
      <scheme val="minor"/>
    </font>
    <font>
      <sz val="18"/>
      <color theme="3"/>
      <name val="Cambria"/>
      <family val="2"/>
      <scheme val="major"/>
    </font>
    <font>
      <b/>
      <sz val="11"/>
      <color theme="1"/>
      <name val="Calibri"/>
      <family val="2"/>
      <scheme val="minor"/>
    </font>
    <font>
      <b/>
      <sz val="12"/>
      <color rgb="FF0070C0"/>
      <name val="Calibri"/>
      <family val="2"/>
      <scheme val="minor"/>
    </font>
    <font>
      <b/>
      <sz val="12"/>
      <color rgb="FFC00000"/>
      <name val="Calibri"/>
      <family val="2"/>
      <scheme val="minor"/>
    </font>
    <font>
      <b/>
      <sz val="12"/>
      <color theme="6" tint="-0.249977111117893"/>
      <name val="Calibri"/>
      <family val="2"/>
      <scheme val="minor"/>
    </font>
    <font>
      <b/>
      <i/>
      <sz val="11"/>
      <color theme="3"/>
      <name val="Calibri"/>
      <family val="2"/>
      <scheme val="minor"/>
    </font>
    <font>
      <i/>
      <sz val="11"/>
      <color theme="3"/>
      <name val="Calibri"/>
      <family val="2"/>
      <scheme val="minor"/>
    </font>
    <font>
      <sz val="10"/>
      <name val="Arial"/>
      <family val="2"/>
      <charset val="1"/>
    </font>
    <font>
      <sz val="11"/>
      <color rgb="FF006100"/>
      <name val="Calibri"/>
      <family val="2"/>
      <scheme val="minor"/>
    </font>
    <font>
      <i/>
      <sz val="11"/>
      <color theme="1"/>
      <name val="Calibri"/>
      <family val="2"/>
      <scheme val="minor"/>
    </font>
    <font>
      <sz val="11"/>
      <color rgb="FF000000"/>
      <name val="Calibri"/>
      <family val="2"/>
    </font>
    <font>
      <sz val="9"/>
      <color rgb="FF000000"/>
      <name val="Calibri"/>
      <family val="2"/>
    </font>
    <font>
      <sz val="11"/>
      <name val="Calibri"/>
      <family val="2"/>
      <scheme val="minor"/>
    </font>
    <font>
      <sz val="11"/>
      <color rgb="FF000000"/>
      <name val="Calibri"/>
      <family val="2"/>
      <scheme val="minor"/>
    </font>
    <font>
      <u/>
      <sz val="11"/>
      <color rgb="FF1F4987"/>
      <name val="Calibri"/>
      <family val="2"/>
      <scheme val="minor"/>
    </font>
    <font>
      <sz val="11"/>
      <color rgb="FFD9D9D9"/>
      <name val="Calibri"/>
      <family val="2"/>
      <scheme val="minor"/>
    </font>
    <font>
      <sz val="11"/>
      <color rgb="FF9C0006"/>
      <name val="Calibri"/>
      <family val="2"/>
      <scheme val="minor"/>
    </font>
    <font>
      <b/>
      <sz val="11"/>
      <color rgb="FFC00000"/>
      <name val="Calibri"/>
      <family val="2"/>
      <scheme val="minor"/>
    </font>
  </fonts>
  <fills count="10">
    <fill>
      <patternFill patternType="none"/>
    </fill>
    <fill>
      <patternFill patternType="gray125"/>
    </fill>
    <fill>
      <patternFill patternType="solid">
        <fgColor theme="4"/>
      </patternFill>
    </fill>
    <fill>
      <patternFill patternType="solid">
        <fgColor theme="7"/>
      </patternFill>
    </fill>
    <fill>
      <patternFill patternType="solid">
        <fgColor theme="6"/>
      </patternFill>
    </fill>
    <fill>
      <patternFill patternType="solid">
        <fgColor rgb="FFC6EFCE"/>
      </patternFill>
    </fill>
    <fill>
      <patternFill patternType="solid">
        <fgColor rgb="FFC6EFCE"/>
        <bgColor indexed="64"/>
      </patternFill>
    </fill>
    <fill>
      <patternFill patternType="solid">
        <fgColor theme="0"/>
        <bgColor indexed="64"/>
      </patternFill>
    </fill>
    <fill>
      <patternFill patternType="solid">
        <fgColor rgb="FFC5D9F1"/>
        <bgColor indexed="64"/>
      </patternFill>
    </fill>
    <fill>
      <patternFill patternType="solid">
        <fgColor rgb="FFFFC7CE"/>
        <bgColor indexed="64"/>
      </patternFill>
    </fill>
  </fills>
  <borders count="4">
    <border>
      <left/>
      <right/>
      <top/>
      <bottom/>
      <diagonal/>
    </border>
    <border>
      <left/>
      <right/>
      <top/>
      <bottom style="thick">
        <color theme="4"/>
      </bottom>
      <diagonal/>
    </border>
    <border>
      <left/>
      <right/>
      <top/>
      <bottom style="medium">
        <color theme="4" tint="0.39997558519241921"/>
      </bottom>
      <diagonal/>
    </border>
    <border>
      <left/>
      <right/>
      <top/>
      <bottom style="thick">
        <color theme="4" tint="0.499984740745262"/>
      </bottom>
      <diagonal/>
    </border>
  </borders>
  <cellStyleXfs count="13">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0" applyNumberFormat="0" applyFill="0" applyBorder="0" applyAlignment="0" applyProtection="0"/>
    <xf numFmtId="0" fontId="5" fillId="0" borderId="3" applyNumberFormat="0" applyFill="0" applyAlignment="0" applyProtection="0"/>
    <xf numFmtId="0" fontId="7" fillId="2" borderId="0" applyNumberFormat="0" applyBorder="0" applyAlignment="0" applyProtection="0"/>
    <xf numFmtId="0" fontId="10" fillId="0" borderId="0" applyNumberFormat="0" applyFill="0" applyBorder="0" applyAlignment="0" applyProtection="0"/>
    <xf numFmtId="0" fontId="14" fillId="0" borderId="0" applyNumberFormat="0" applyFill="0" applyBorder="0" applyAlignment="0" applyProtection="0"/>
    <xf numFmtId="0" fontId="2" fillId="0" borderId="0" applyNumberFormat="0" applyFill="0" applyBorder="0" applyAlignment="0" applyProtection="0"/>
    <xf numFmtId="0" fontId="7" fillId="3" borderId="0" applyNumberFormat="0" applyBorder="0" applyAlignment="0" applyProtection="0"/>
    <xf numFmtId="0" fontId="7" fillId="4" borderId="0" applyNumberFormat="0" applyBorder="0" applyAlignment="0" applyProtection="0"/>
    <xf numFmtId="0" fontId="21" fillId="0" borderId="0" applyBorder="0">
      <protection locked="0"/>
    </xf>
    <xf numFmtId="0" fontId="22" fillId="5" borderId="0" applyNumberFormat="0" applyBorder="0" applyAlignment="0" applyProtection="0"/>
  </cellStyleXfs>
  <cellXfs count="74">
    <xf numFmtId="0" fontId="0" fillId="0" borderId="0" xfId="0"/>
    <xf numFmtId="0" fontId="2" fillId="0" borderId="2" xfId="2"/>
    <xf numFmtId="0" fontId="3" fillId="0" borderId="0" xfId="3"/>
    <xf numFmtId="0" fontId="4" fillId="0" borderId="1" xfId="1" applyFont="1"/>
    <xf numFmtId="0" fontId="5" fillId="0" borderId="3" xfId="4"/>
    <xf numFmtId="0" fontId="8" fillId="0" borderId="0" xfId="0" applyFont="1"/>
    <xf numFmtId="0" fontId="9" fillId="0" borderId="0" xfId="0" applyFont="1" applyAlignment="1">
      <alignment vertical="center"/>
    </xf>
    <xf numFmtId="0" fontId="10" fillId="0" borderId="0" xfId="6" applyAlignment="1">
      <alignment wrapText="1"/>
    </xf>
    <xf numFmtId="0" fontId="0" fillId="0" borderId="0" xfId="0" applyAlignment="1">
      <alignment wrapText="1"/>
    </xf>
    <xf numFmtId="0" fontId="2" fillId="0" borderId="2" xfId="2" applyAlignment="1">
      <alignment wrapText="1"/>
    </xf>
    <xf numFmtId="22" fontId="0" fillId="0" borderId="0" xfId="0" applyNumberFormat="1"/>
    <xf numFmtId="0" fontId="5" fillId="0" borderId="3" xfId="4" applyAlignment="1">
      <alignment vertical="center" textRotation="90"/>
    </xf>
    <xf numFmtId="0" fontId="5" fillId="0" borderId="3" xfId="4" applyAlignment="1">
      <alignment wrapText="1"/>
    </xf>
    <xf numFmtId="0" fontId="13" fillId="0" borderId="2" xfId="2" applyFont="1"/>
    <xf numFmtId="0" fontId="4" fillId="0" borderId="1" xfId="1" applyFont="1" applyAlignment="1">
      <alignment wrapText="1"/>
    </xf>
    <xf numFmtId="0" fontId="2" fillId="0" borderId="2" xfId="2" applyAlignment="1">
      <alignment vertical="top" textRotation="90"/>
    </xf>
    <xf numFmtId="0" fontId="13" fillId="0" borderId="3" xfId="8" applyFont="1" applyBorder="1"/>
    <xf numFmtId="0" fontId="15" fillId="0" borderId="0" xfId="0" applyFont="1"/>
    <xf numFmtId="0" fontId="2" fillId="0" borderId="0" xfId="2" applyFill="1" applyBorder="1"/>
    <xf numFmtId="0" fontId="2" fillId="0" borderId="2" xfId="2" applyAlignment="1">
      <alignment horizontal="center" vertical="center" wrapText="1"/>
    </xf>
    <xf numFmtId="0" fontId="13" fillId="0" borderId="3" xfId="4" applyFont="1"/>
    <xf numFmtId="0" fontId="10" fillId="0" borderId="0" xfId="6"/>
    <xf numFmtId="0" fontId="16" fillId="0" borderId="2" xfId="2" applyFont="1" applyAlignment="1">
      <alignment horizontal="center" vertical="center" wrapText="1"/>
    </xf>
    <xf numFmtId="0" fontId="17" fillId="0" borderId="2" xfId="2" applyFont="1" applyAlignment="1">
      <alignment horizontal="center" vertical="center" wrapText="1"/>
    </xf>
    <xf numFmtId="0" fontId="18" fillId="0" borderId="2" xfId="2" applyFont="1" applyAlignment="1">
      <alignment horizontal="center" vertical="center" wrapText="1"/>
    </xf>
    <xf numFmtId="0" fontId="13" fillId="0" borderId="0" xfId="0" applyFont="1"/>
    <xf numFmtId="0" fontId="13" fillId="0" borderId="0" xfId="0" applyFont="1" applyAlignment="1">
      <alignment vertical="center"/>
    </xf>
    <xf numFmtId="0" fontId="13" fillId="0" borderId="0" xfId="0" applyFont="1" applyAlignment="1">
      <alignment vertical="top" wrapText="1"/>
    </xf>
    <xf numFmtId="0" fontId="10" fillId="0" borderId="0" xfId="6" applyAlignment="1">
      <alignment vertical="center" wrapText="1"/>
    </xf>
    <xf numFmtId="0" fontId="19" fillId="0" borderId="2" xfId="2" applyFont="1" applyAlignment="1">
      <alignment horizontal="right" wrapText="1"/>
    </xf>
    <xf numFmtId="14" fontId="0" fillId="0" borderId="0" xfId="0" applyNumberFormat="1"/>
    <xf numFmtId="0" fontId="7" fillId="3" borderId="0" xfId="9"/>
    <xf numFmtId="0" fontId="7" fillId="2" borderId="0" xfId="5"/>
    <xf numFmtId="0" fontId="5" fillId="0" borderId="3" xfId="4" applyAlignment="1">
      <alignment horizontal="left"/>
    </xf>
    <xf numFmtId="0" fontId="0" fillId="0" borderId="0" xfId="0" applyAlignment="1">
      <alignment horizontal="left"/>
    </xf>
    <xf numFmtId="0" fontId="0" fillId="0" borderId="0" xfId="0" applyAlignment="1"/>
    <xf numFmtId="0" fontId="8" fillId="0" borderId="0" xfId="0" applyFont="1" applyAlignment="1">
      <alignment horizontal="left" wrapText="1"/>
    </xf>
    <xf numFmtId="0" fontId="3" fillId="0" borderId="0" xfId="3" applyAlignment="1">
      <alignment horizontal="left" wrapText="1"/>
    </xf>
    <xf numFmtId="0" fontId="0" fillId="0" borderId="0" xfId="0" applyNumberFormat="1" applyAlignment="1">
      <alignment horizontal="right"/>
    </xf>
    <xf numFmtId="0" fontId="3" fillId="0" borderId="0" xfId="3" applyAlignment="1">
      <alignment horizontal="left"/>
    </xf>
    <xf numFmtId="49" fontId="0" fillId="0" borderId="0" xfId="0" applyNumberFormat="1" applyAlignment="1">
      <alignment horizontal="right"/>
    </xf>
    <xf numFmtId="49" fontId="9" fillId="0" borderId="0" xfId="0" applyNumberFormat="1" applyFont="1" applyAlignment="1">
      <alignment horizontal="right" vertical="center"/>
    </xf>
    <xf numFmtId="0" fontId="0" fillId="0" borderId="0" xfId="0" applyAlignment="1">
      <alignment horizontal="left" wrapText="1"/>
    </xf>
    <xf numFmtId="0" fontId="3" fillId="0" borderId="0" xfId="3" applyAlignment="1">
      <alignment vertical="center"/>
    </xf>
    <xf numFmtId="0" fontId="0" fillId="0" borderId="0" xfId="0" applyAlignment="1">
      <alignment vertical="center"/>
    </xf>
    <xf numFmtId="14" fontId="6" fillId="2" borderId="0" xfId="5" applyNumberFormat="1" applyFont="1"/>
    <xf numFmtId="0" fontId="1" fillId="0" borderId="1" xfId="1"/>
    <xf numFmtId="0" fontId="6" fillId="2" borderId="0" xfId="5" applyFont="1" applyAlignment="1"/>
    <xf numFmtId="0" fontId="5" fillId="0" borderId="3" xfId="4" applyAlignment="1">
      <alignment vertical="center"/>
    </xf>
    <xf numFmtId="0" fontId="0" fillId="0" borderId="0" xfId="0" applyAlignment="1">
      <alignment horizontal="right"/>
    </xf>
    <xf numFmtId="0" fontId="23" fillId="0" borderId="0" xfId="0" applyFont="1"/>
    <xf numFmtId="0" fontId="2" fillId="0" borderId="2" xfId="2" applyAlignment="1"/>
    <xf numFmtId="0" fontId="0" fillId="0" borderId="0" xfId="0"/>
    <xf numFmtId="0" fontId="2" fillId="0" borderId="3" xfId="4" applyFont="1" applyAlignment="1">
      <alignment wrapText="1"/>
    </xf>
    <xf numFmtId="0" fontId="0" fillId="6" borderId="0" xfId="0" applyFill="1"/>
    <xf numFmtId="0" fontId="10" fillId="7" borderId="1" xfId="6" applyFill="1" applyBorder="1" applyAlignment="1">
      <alignment wrapText="1"/>
    </xf>
    <xf numFmtId="0" fontId="4" fillId="7" borderId="1" xfId="1" applyFont="1" applyFill="1"/>
    <xf numFmtId="0" fontId="0" fillId="0" borderId="0" xfId="0" applyAlignment="1">
      <alignment horizontal="center" wrapText="1"/>
    </xf>
    <xf numFmtId="0" fontId="0" fillId="0" borderId="0" xfId="0" applyAlignment="1">
      <alignment horizontal="center" vertical="center" wrapText="1"/>
    </xf>
    <xf numFmtId="0" fontId="26" fillId="0" borderId="0" xfId="0" applyFont="1" applyAlignment="1">
      <alignment vertical="center" wrapText="1"/>
    </xf>
    <xf numFmtId="0" fontId="0" fillId="0" borderId="0" xfId="0" applyFont="1"/>
    <xf numFmtId="0" fontId="0" fillId="0" borderId="0" xfId="0" applyFont="1" applyAlignment="1">
      <alignment vertical="center"/>
    </xf>
    <xf numFmtId="0" fontId="0" fillId="0" borderId="0" xfId="0" applyFont="1" applyAlignment="1">
      <alignment vertical="center" wrapText="1"/>
    </xf>
    <xf numFmtId="0" fontId="27" fillId="0" borderId="0" xfId="0" applyFont="1" applyAlignment="1">
      <alignment vertical="top" wrapText="1"/>
    </xf>
    <xf numFmtId="0" fontId="28" fillId="8" borderId="0" xfId="3" applyFont="1" applyFill="1" applyAlignment="1">
      <alignment horizontal="right"/>
    </xf>
    <xf numFmtId="0" fontId="29" fillId="0" borderId="0" xfId="0" applyFont="1"/>
    <xf numFmtId="0" fontId="30" fillId="9" borderId="0" xfId="0" applyFont="1" applyFill="1"/>
    <xf numFmtId="0" fontId="22" fillId="6" borderId="0" xfId="0" applyFont="1" applyFill="1"/>
    <xf numFmtId="0" fontId="29" fillId="0" borderId="0" xfId="0" applyFont="1" applyAlignment="1">
      <alignment horizontal="center" vertical="center"/>
    </xf>
    <xf numFmtId="0" fontId="20" fillId="0" borderId="0" xfId="6" applyFont="1" applyAlignment="1">
      <alignment horizontal="left" wrapText="1"/>
    </xf>
    <xf numFmtId="0" fontId="6" fillId="2" borderId="0" xfId="5" applyFont="1" applyAlignment="1">
      <alignment horizontal="center"/>
    </xf>
    <xf numFmtId="0" fontId="10" fillId="0" borderId="0" xfId="6" applyAlignment="1">
      <alignment horizontal="center" wrapText="1"/>
    </xf>
    <xf numFmtId="0" fontId="4" fillId="0" borderId="1" xfId="7" applyFont="1" applyBorder="1" applyAlignment="1">
      <alignment horizontal="left"/>
    </xf>
    <xf numFmtId="0" fontId="6" fillId="4" borderId="0" xfId="10" applyFont="1" applyAlignment="1">
      <alignment horizontal="center"/>
    </xf>
  </cellXfs>
  <cellStyles count="13">
    <cellStyle name="Accent1" xfId="5" builtinId="29"/>
    <cellStyle name="Accent3" xfId="10" builtinId="37"/>
    <cellStyle name="Accent4" xfId="9" builtinId="41"/>
    <cellStyle name="Explanatory Text" xfId="6" builtinId="53"/>
    <cellStyle name="Good" xfId="12" builtinId="26" hidden="1"/>
    <cellStyle name="Heading 1" xfId="1" builtinId="16"/>
    <cellStyle name="Heading 2" xfId="4" builtinId="17"/>
    <cellStyle name="Heading 3" xfId="2" builtinId="18"/>
    <cellStyle name="Heading 4" xfId="8" builtinId="19"/>
    <cellStyle name="Hyperlink" xfId="3" builtinId="8"/>
    <cellStyle name="Normal" xfId="0" builtinId="0"/>
    <cellStyle name="Normal 2" xfId="11" xr:uid="{059D94C2-F1DF-4EA2-AAA2-95E1EC67F40F}"/>
    <cellStyle name="Title" xfId="7" builtinId="15"/>
  </cellStyles>
  <dxfs count="107">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0" tint="-0.14993743705557422"/>
      </font>
      <fill>
        <patternFill patternType="none">
          <bgColor indexed="65"/>
        </patternFill>
      </fill>
    </dxf>
    <dxf>
      <fill>
        <patternFill patternType="solid">
          <fgColor rgb="FFCCC0DA"/>
          <bgColor indexed="65"/>
        </patternFill>
      </fill>
    </dxf>
  </dxfs>
  <tableStyles count="0" defaultTableStyle="TableStyleMedium9"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76199</xdr:colOff>
      <xdr:row>4</xdr:row>
      <xdr:rowOff>1</xdr:rowOff>
    </xdr:from>
    <xdr:to>
      <xdr:col>12</xdr:col>
      <xdr:colOff>523875</xdr:colOff>
      <xdr:row>26</xdr:row>
      <xdr:rowOff>104775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6199" y="1495426"/>
          <a:ext cx="8467726" cy="4295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The Abstract</a:t>
          </a:r>
          <a:r>
            <a:rPr lang="en-US" sz="1200" baseline="0"/>
            <a:t> </a:t>
          </a:r>
          <a:r>
            <a:rPr lang="en-US" sz="1200"/>
            <a:t>Sifter is a tool that helps</a:t>
          </a:r>
          <a:r>
            <a:rPr lang="en-US" sz="1200" baseline="0"/>
            <a:t> readers and researchers find PubMed articles quickly and easily.  The tool has three major functions: 1) build and run a PubMed query and 2) Sift and sort the results of that query and 3) make notes on articles of interest.  </a:t>
          </a:r>
        </a:p>
        <a:p>
          <a:endParaRPr lang="en-US" sz="1200" baseline="0"/>
        </a:p>
        <a:p>
          <a:pPr marL="0" marR="0" lvl="0" indent="0" defTabSz="914400" eaLnBrk="1" fontAlgn="auto" latinLnBrk="0" hangingPunct="1">
            <a:lnSpc>
              <a:spcPct val="100000"/>
            </a:lnSpc>
            <a:spcBef>
              <a:spcPts val="0"/>
            </a:spcBef>
            <a:spcAft>
              <a:spcPts val="0"/>
            </a:spcAft>
            <a:buClrTx/>
            <a:buSzTx/>
            <a:buFontTx/>
            <a:buNone/>
            <a:tabLst/>
            <a:defRPr/>
          </a:pPr>
          <a:r>
            <a:rPr lang="en-US" sz="1200" baseline="0"/>
            <a:t>Because the Abstract Sifter talks directly to PubMed, you must be connected to the internet to use it. </a:t>
          </a:r>
          <a:r>
            <a:rPr lang="en-US" sz="1100" baseline="0">
              <a:solidFill>
                <a:schemeClr val="dk1"/>
              </a:solidFill>
              <a:effectLst/>
              <a:latin typeface="+mn-lt"/>
              <a:ea typeface="+mn-ea"/>
              <a:cs typeface="+mn-cs"/>
            </a:rPr>
            <a:t>Be sure to enable content / macros!</a:t>
          </a:r>
          <a:endParaRPr lang="en-US" sz="1200">
            <a:effectLst/>
          </a:endParaRPr>
        </a:p>
        <a:p>
          <a:endParaRPr lang="en-US" sz="1200" baseline="0"/>
        </a:p>
        <a:p>
          <a:r>
            <a:rPr lang="en-US" sz="1200" baseline="0"/>
            <a:t>How to use the Abstract Sifter:  the best way is to watch someone else use it.  Here are links to the currently available video tutorials: (If the hyperlinks don't work, copy and paste into your browser.)</a:t>
          </a:r>
        </a:p>
        <a:p>
          <a:r>
            <a:rPr lang="en-US" sz="1100">
              <a:solidFill>
                <a:schemeClr val="dk1"/>
              </a:solidFill>
              <a:effectLst/>
              <a:latin typeface="+mn-lt"/>
              <a:ea typeface="+mn-ea"/>
              <a:cs typeface="+mn-cs"/>
            </a:rPr>
            <a:t> </a:t>
          </a:r>
        </a:p>
        <a:p>
          <a:r>
            <a:rPr lang="en-US" sz="1100" i="1" u="sng">
              <a:solidFill>
                <a:schemeClr val="dk1"/>
              </a:solidFill>
              <a:effectLst/>
              <a:latin typeface="+mn-lt"/>
              <a:ea typeface="+mn-ea"/>
              <a:cs typeface="+mn-cs"/>
            </a:rPr>
            <a:t>Abstract Sifter tutorial part one: The basics</a:t>
          </a:r>
          <a:endParaRPr lang="en-US" sz="1100">
            <a:solidFill>
              <a:schemeClr val="dk1"/>
            </a:solidFill>
            <a:effectLst/>
            <a:latin typeface="+mn-lt"/>
            <a:ea typeface="+mn-ea"/>
            <a:cs typeface="+mn-cs"/>
          </a:endParaRPr>
        </a:p>
        <a:p>
          <a:r>
            <a:rPr lang="en-US" sz="1100" u="sng">
              <a:solidFill>
                <a:schemeClr val="dk1"/>
              </a:solidFill>
              <a:effectLst/>
              <a:latin typeface="+mn-lt"/>
              <a:ea typeface="+mn-ea"/>
              <a:cs typeface="+mn-cs"/>
              <a:hlinkClick xmlns:r="http://schemas.openxmlformats.org/officeDocument/2006/relationships" r:id=""/>
            </a:rPr>
            <a:t>https://youtu.be/B7-pMGpY_Us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i="1" u="sng">
              <a:solidFill>
                <a:schemeClr val="dk1"/>
              </a:solidFill>
              <a:effectLst/>
              <a:latin typeface="+mn-lt"/>
              <a:ea typeface="+mn-ea"/>
              <a:cs typeface="+mn-cs"/>
            </a:rPr>
            <a:t>Abstract Sifter tutorial part two: Taking notes</a:t>
          </a:r>
          <a:br>
            <a:rPr lang="en-US" sz="1100" i="1" u="sng">
              <a:solidFill>
                <a:schemeClr val="dk1"/>
              </a:solidFill>
              <a:effectLst/>
              <a:latin typeface="+mn-lt"/>
              <a:ea typeface="+mn-ea"/>
              <a:cs typeface="+mn-cs"/>
            </a:rPr>
          </a:br>
          <a:r>
            <a:rPr lang="en-US" sz="1100" u="none" strike="noStrike">
              <a:solidFill>
                <a:schemeClr val="dk1"/>
              </a:solidFill>
              <a:effectLst/>
              <a:latin typeface="+mn-lt"/>
              <a:ea typeface="+mn-ea"/>
              <a:cs typeface="+mn-cs"/>
              <a:hlinkClick xmlns:r="http://schemas.openxmlformats.org/officeDocument/2006/relationships" r:id=""/>
            </a:rPr>
            <a:t>https://youtu.be/mYxG8RhDgHE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i="1" u="sng">
              <a:solidFill>
                <a:schemeClr val="dk1"/>
              </a:solidFill>
              <a:effectLst/>
              <a:latin typeface="+mn-lt"/>
              <a:ea typeface="+mn-ea"/>
              <a:cs typeface="+mn-cs"/>
            </a:rPr>
            <a:t>Abstract Sifter tutorial part three: Landscape view</a:t>
          </a:r>
          <a:endParaRPr lang="en-US" sz="1100">
            <a:solidFill>
              <a:schemeClr val="dk1"/>
            </a:solidFill>
            <a:effectLst/>
            <a:latin typeface="+mn-lt"/>
            <a:ea typeface="+mn-ea"/>
            <a:cs typeface="+mn-cs"/>
          </a:endParaRPr>
        </a:p>
        <a:p>
          <a:r>
            <a:rPr lang="en-US" sz="1100" u="sng">
              <a:solidFill>
                <a:schemeClr val="dk1"/>
              </a:solidFill>
              <a:effectLst/>
              <a:latin typeface="+mn-lt"/>
              <a:ea typeface="+mn-ea"/>
              <a:cs typeface="+mn-cs"/>
              <a:hlinkClick xmlns:r="http://schemas.openxmlformats.org/officeDocument/2006/relationships" r:id=""/>
            </a:rPr>
            <a:t>https://youtu.be/s64jTt9U57I</a:t>
          </a:r>
          <a:endParaRPr lang="en-US" sz="1100" u="sng">
            <a:solidFill>
              <a:schemeClr val="dk1"/>
            </a:solidFill>
            <a:effectLst/>
            <a:latin typeface="+mn-lt"/>
            <a:ea typeface="+mn-ea"/>
            <a:cs typeface="+mn-cs"/>
          </a:endParaRPr>
        </a:p>
        <a:p>
          <a:endParaRPr lang="en-US" sz="1100" u="sng">
            <a:solidFill>
              <a:schemeClr val="dk1"/>
            </a:solidFill>
            <a:effectLst/>
            <a:latin typeface="+mn-lt"/>
            <a:ea typeface="+mn-ea"/>
            <a:cs typeface="+mn-cs"/>
          </a:endParaRPr>
        </a:p>
        <a:p>
          <a:r>
            <a:rPr lang="en-US" sz="1100" u="sng">
              <a:solidFill>
                <a:schemeClr val="dk1"/>
              </a:solidFill>
              <a:effectLst/>
              <a:latin typeface="+mn-lt"/>
              <a:ea typeface="+mn-ea"/>
              <a:cs typeface="+mn-cs"/>
            </a:rPr>
            <a:t>ASCCT</a:t>
          </a:r>
          <a:r>
            <a:rPr lang="en-US" sz="1100" u="sng" baseline="0">
              <a:solidFill>
                <a:schemeClr val="dk1"/>
              </a:solidFill>
              <a:effectLst/>
              <a:latin typeface="+mn-lt"/>
              <a:ea typeface="+mn-ea"/>
              <a:cs typeface="+mn-cs"/>
            </a:rPr>
            <a:t> webinar recording from 2020</a:t>
          </a:r>
        </a:p>
        <a:p>
          <a:r>
            <a:rPr lang="en-US" sz="1100">
              <a:solidFill>
                <a:schemeClr val="dk1"/>
              </a:solidFill>
              <a:effectLst/>
              <a:latin typeface="+mn-lt"/>
              <a:ea typeface="+mn-ea"/>
              <a:cs typeface="+mn-cs"/>
            </a:rPr>
            <a:t>https://www.ascctox.org/webinar/69</a:t>
          </a:r>
        </a:p>
        <a:p>
          <a:endParaRPr lang="en-US" sz="12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This tool was created by Nancy Baker, Leidos, contractor to US EPA.  Email : baker.nancy@epa.gov</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RIS code contributed by Tom Transue, GDIT, contractor to US EPA.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0" u="none" strike="noStrike">
              <a:solidFill>
                <a:schemeClr val="dk1"/>
              </a:solidFill>
              <a:effectLst/>
              <a:latin typeface="+mn-lt"/>
              <a:ea typeface="+mn-ea"/>
              <a:cs typeface="+mn-cs"/>
            </a:rPr>
            <a:t>How to cite</a:t>
          </a:r>
          <a:r>
            <a:rPr lang="en-US" sz="1100" b="0" i="0" u="none" strike="noStrike">
              <a:solidFill>
                <a:schemeClr val="dk1"/>
              </a:solidFill>
              <a:effectLst/>
              <a:latin typeface="+mn-lt"/>
              <a:ea typeface="+mn-ea"/>
              <a:cs typeface="+mn-cs"/>
            </a:rPr>
            <a:t>:  Baker N, Knudsen T, Williams A. Abstract Sifter: a comprehensive front-end</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system to PubMed. F1000Res. 2017 Dec 21;6. pii: Chem Inf Sci-2164. doi: 10.12688/f1000research.12865.1. eCollection 2017</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u="sng">
              <a:solidFill>
                <a:schemeClr val="dk1"/>
              </a:solidFill>
              <a:effectLst/>
              <a:latin typeface="+mn-lt"/>
              <a:ea typeface="+mn-ea"/>
              <a:cs typeface="+mn-cs"/>
            </a:rPr>
            <a:t>https://www.ncbi.nlm.nih.gov/pubmed/?term=29479422</a:t>
          </a:r>
        </a:p>
        <a:p>
          <a:endParaRPr lang="en-US" sz="1200" baseline="0"/>
        </a:p>
        <a:p>
          <a:endParaRPr lang="en-US" sz="1200" baseline="0"/>
        </a:p>
        <a:p>
          <a:endParaRPr lang="en-US" sz="1200" baseline="0"/>
        </a:p>
        <a:p>
          <a:endParaRPr lang="en-US" sz="1200" baseline="0"/>
        </a:p>
        <a:p>
          <a:endParaRPr lang="en-US" sz="1200" baseline="0"/>
        </a:p>
      </xdr:txBody>
    </xdr:sp>
    <xdr:clientData/>
  </xdr:twoCellAnchor>
  <xdr:twoCellAnchor>
    <xdr:from>
      <xdr:col>0</xdr:col>
      <xdr:colOff>76201</xdr:colOff>
      <xdr:row>26</xdr:row>
      <xdr:rowOff>114299</xdr:rowOff>
    </xdr:from>
    <xdr:to>
      <xdr:col>11</xdr:col>
      <xdr:colOff>66675</xdr:colOff>
      <xdr:row>34</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6201" y="5800724"/>
          <a:ext cx="7400924" cy="15240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a:t>
          </a:r>
          <a:r>
            <a:rPr lang="en-US" sz="1100" baseline="0"/>
            <a:t> notes about customizing and cleanup</a:t>
          </a:r>
          <a:r>
            <a:rPr lang="en-US" sz="1100"/>
            <a:t>: </a:t>
          </a:r>
        </a:p>
        <a:p>
          <a:endParaRPr lang="en-US" sz="1100"/>
        </a:p>
        <a:p>
          <a:r>
            <a:rPr lang="en-US" sz="1100"/>
            <a:t>1.   On</a:t>
          </a:r>
          <a:r>
            <a:rPr lang="en-US" sz="1100" baseline="0"/>
            <a:t> the Main, Abstract, Notes, or Log sheets - do NOT delete or add columns.</a:t>
          </a:r>
        </a:p>
        <a:p>
          <a:r>
            <a:rPr lang="en-US" sz="1100" baseline="0"/>
            <a:t>2.   On the Landscape sheet, delete and add  query columns after column D.  Feel free to delete or add rows AFTER row 5.</a:t>
          </a:r>
        </a:p>
        <a:p>
          <a:r>
            <a:rPr lang="en-US" sz="1100" baseline="0"/>
            <a:t>3.   Feel free to delete your notes on the Notes sheet.  Select rows and click on the delete button above.</a:t>
          </a:r>
        </a:p>
        <a:p>
          <a:r>
            <a:rPr lang="en-US" sz="1100" baseline="0"/>
            <a:t>4.   Delete log entries that you no longer need.</a:t>
          </a:r>
        </a:p>
        <a:p>
          <a:r>
            <a:rPr lang="en-US" sz="1100" baseline="0"/>
            <a:t>5.  On the Pathway_queries sheet and the Sample_queries sheet, feel free to delete rows after 3.</a:t>
          </a:r>
        </a:p>
        <a:p>
          <a:r>
            <a:rPr lang="en-US" sz="1100" baseline="0"/>
            <a:t>For best results, always delete rows and columns by selecting the row selector and column selector (the numbers or letters).</a:t>
          </a:r>
        </a:p>
        <a:p>
          <a:endParaRPr lang="en-US" sz="1100" baseline="0"/>
        </a:p>
        <a:p>
          <a:endParaRPr lang="en-US" sz="1100"/>
        </a:p>
      </xdr:txBody>
    </xdr:sp>
    <xdr:clientData/>
  </xdr:twoCellAnchor>
  <xdr:twoCellAnchor>
    <xdr:from>
      <xdr:col>0</xdr:col>
      <xdr:colOff>57150</xdr:colOff>
      <xdr:row>34</xdr:row>
      <xdr:rowOff>133350</xdr:rowOff>
    </xdr:from>
    <xdr:to>
      <xdr:col>12</xdr:col>
      <xdr:colOff>171450</xdr:colOff>
      <xdr:row>36</xdr:row>
      <xdr:rowOff>28575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57150" y="6896100"/>
          <a:ext cx="813435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a:t>Note: this</a:t>
          </a:r>
          <a:r>
            <a:rPr lang="en-US" sz="1200" b="1" i="1" baseline="0"/>
            <a:t> file may come with some sample data.  Feel free to delete it according to the cleanup instructions above.</a:t>
          </a:r>
          <a:endParaRPr lang="en-US" sz="1200" b="1" i="1"/>
        </a:p>
      </xdr:txBody>
    </xdr:sp>
    <xdr:clientData/>
  </xdr:twoCellAnchor>
  <xdr:twoCellAnchor>
    <xdr:from>
      <xdr:col>12</xdr:col>
      <xdr:colOff>542925</xdr:colOff>
      <xdr:row>22</xdr:row>
      <xdr:rowOff>28575</xdr:rowOff>
    </xdr:from>
    <xdr:to>
      <xdr:col>20</xdr:col>
      <xdr:colOff>542925</xdr:colOff>
      <xdr:row>36</xdr:row>
      <xdr:rowOff>19050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8562975" y="4953000"/>
          <a:ext cx="9829800" cy="2657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effectLst/>
          </a:endParaRPr>
        </a:p>
        <a:p>
          <a:r>
            <a:rPr lang="en-US" sz="1100" b="1" baseline="0">
              <a:solidFill>
                <a:schemeClr val="dk1"/>
              </a:solidFill>
              <a:effectLst/>
              <a:latin typeface="+mn-lt"/>
              <a:ea typeface="+mn-ea"/>
              <a:cs typeface="+mn-cs"/>
            </a:rPr>
            <a:t>When to use an Abstract Sifter ...</a:t>
          </a:r>
        </a:p>
        <a:p>
          <a:endParaRPr lang="en-US">
            <a:effectLst/>
          </a:endParaRPr>
        </a:p>
        <a:p>
          <a:r>
            <a:rPr lang="en-US" sz="1100" baseline="0">
              <a:solidFill>
                <a:schemeClr val="dk1"/>
              </a:solidFill>
              <a:effectLst/>
              <a:latin typeface="+mn-lt"/>
              <a:ea typeface="+mn-ea"/>
              <a:cs typeface="+mn-cs"/>
            </a:rPr>
            <a:t>- Keep it open on your desktop all day for those quick PubMed queries.</a:t>
          </a:r>
          <a:endParaRPr lang="en-US">
            <a:effectLst/>
          </a:endParaRPr>
        </a:p>
        <a:p>
          <a:r>
            <a:rPr lang="en-US" sz="1100" baseline="0">
              <a:solidFill>
                <a:schemeClr val="dk1"/>
              </a:solidFill>
              <a:effectLst/>
              <a:latin typeface="+mn-lt"/>
              <a:ea typeface="+mn-ea"/>
              <a:cs typeface="+mn-cs"/>
            </a:rPr>
            <a:t>- Use it to analyze a list of chemicals ... or protein targets ... or genes.</a:t>
          </a:r>
          <a:endParaRPr lang="en-US">
            <a:effectLst/>
          </a:endParaRPr>
        </a:p>
        <a:p>
          <a:r>
            <a:rPr lang="en-US" sz="1100" baseline="0">
              <a:solidFill>
                <a:schemeClr val="dk1"/>
              </a:solidFill>
              <a:effectLst/>
              <a:latin typeface="+mn-lt"/>
              <a:ea typeface="+mn-ea"/>
              <a:cs typeface="+mn-cs"/>
            </a:rPr>
            <a:t>- Use it for your next literature review.</a:t>
          </a:r>
          <a:endParaRPr lang="en-US">
            <a:effectLst/>
          </a:endParaRPr>
        </a:p>
        <a:p>
          <a:r>
            <a:rPr lang="en-US" sz="1100" baseline="0">
              <a:solidFill>
                <a:schemeClr val="dk1"/>
              </a:solidFill>
              <a:effectLst/>
              <a:latin typeface="+mn-lt"/>
              <a:ea typeface="+mn-ea"/>
              <a:cs typeface="+mn-cs"/>
            </a:rPr>
            <a:t>- Whenever you use PubMed.</a:t>
          </a:r>
        </a:p>
        <a:p>
          <a:endParaRPr lang="en-US" sz="1100" baseline="0">
            <a:solidFill>
              <a:schemeClr val="dk1"/>
            </a:solidFill>
            <a:effectLst/>
            <a:latin typeface="+mn-lt"/>
            <a:ea typeface="+mn-ea"/>
            <a:cs typeface="+mn-cs"/>
          </a:endParaRPr>
        </a:p>
        <a:p>
          <a:endParaRPr lang="en-US">
            <a:effectLst/>
          </a:endParaRPr>
        </a:p>
        <a:p>
          <a:r>
            <a:rPr lang="en-US" sz="1100" b="1" baseline="0">
              <a:solidFill>
                <a:schemeClr val="dk1"/>
              </a:solidFill>
              <a:effectLst/>
              <a:latin typeface="+mn-lt"/>
              <a:ea typeface="+mn-ea"/>
              <a:cs typeface="+mn-cs"/>
            </a:rPr>
            <a:t>Collaboration and the Abstract Sifter ...</a:t>
          </a:r>
        </a:p>
        <a:p>
          <a:endParaRPr lang="en-US" sz="1100" b="1"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The</a:t>
          </a:r>
          <a:r>
            <a:rPr lang="en-US" sz="1100" baseline="0">
              <a:solidFill>
                <a:schemeClr val="dk1"/>
              </a:solidFill>
              <a:effectLst/>
              <a:latin typeface="+mn-lt"/>
              <a:ea typeface="+mn-ea"/>
              <a:cs typeface="+mn-cs"/>
            </a:rPr>
            <a:t> Abstract Sifter is a great collaboration tool. It is an Excel spreadsheet, so it can be saved and emailed to your colleagues or put on a shared drive.</a:t>
          </a:r>
          <a:endParaRPr lang="en-US">
            <a:effectLst/>
          </a:endParaRPr>
        </a:p>
        <a:p>
          <a:endParaRPr lang="en-US" sz="1100"/>
        </a:p>
      </xdr:txBody>
    </xdr:sp>
    <xdr:clientData/>
  </xdr:twoCellAnchor>
  <xdr:twoCellAnchor>
    <xdr:from>
      <xdr:col>12</xdr:col>
      <xdr:colOff>571499</xdr:colOff>
      <xdr:row>4</xdr:row>
      <xdr:rowOff>142874</xdr:rowOff>
    </xdr:from>
    <xdr:to>
      <xdr:col>21</xdr:col>
      <xdr:colOff>28574</xdr:colOff>
      <xdr:row>21</xdr:row>
      <xdr:rowOff>133349</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8591549" y="1638299"/>
          <a:ext cx="9896475" cy="3228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What's</a:t>
          </a:r>
          <a:r>
            <a:rPr lang="en-US" sz="1100" b="1" baseline="0"/>
            <a:t> new in version 2,3, or 4: </a:t>
          </a:r>
        </a:p>
        <a:p>
          <a:endParaRPr lang="en-US" sz="1100" baseline="0"/>
        </a:p>
        <a:p>
          <a:r>
            <a:rPr lang="en-US" sz="1100" baseline="0"/>
            <a:t>A new sheet for pathway queries has been added. Use this sheet the same way you use the Sample_queries sheet: Select rows and click on the button above.</a:t>
          </a:r>
        </a:p>
        <a:p>
          <a:endParaRPr lang="en-US" sz="1100" baseline="0"/>
        </a:p>
        <a:p>
          <a:r>
            <a:rPr lang="en-US" sz="1100" baseline="0"/>
            <a:t>On the Abstract sheet, a new button with </a:t>
          </a:r>
          <a:r>
            <a:rPr lang="en-US" sz="1100" i="1" baseline="0"/>
            <a:t>Like this? </a:t>
          </a:r>
          <a:r>
            <a:rPr lang="en-US" sz="1100" baseline="0"/>
            <a:t>tells the Sifter to query PubMed for the articles MOST like the one on the Abstract sheet or the articles in PubMed Central that cite the article on the Abstract sheet.</a:t>
          </a:r>
        </a:p>
        <a:p>
          <a:endParaRPr lang="en-US" sz="1100" baseline="0"/>
        </a:p>
        <a:p>
          <a:r>
            <a:rPr lang="en-US" sz="1100" baseline="0"/>
            <a:t>Code has been added to pause retrieval from PubMed on the Landscape sheet to avoid hitting the server access limits.</a:t>
          </a:r>
        </a:p>
        <a:p>
          <a:endParaRPr lang="en-US" sz="1100" baseline="0"/>
        </a:p>
        <a:p>
          <a:r>
            <a:rPr lang="en-US" sz="1100" baseline="0"/>
            <a:t>Version 3</a:t>
          </a:r>
        </a:p>
        <a:p>
          <a:r>
            <a:rPr lang="en-US" sz="1100" baseline="0"/>
            <a:t>Taking group notes colorizes the PMIDs immediately.</a:t>
          </a:r>
        </a:p>
        <a:p>
          <a:endParaRPr lang="en-US" sz="1100" baseline="0"/>
        </a:p>
        <a:p>
          <a:r>
            <a:rPr lang="en-US" sz="1100" baseline="0"/>
            <a:t>Version 4</a:t>
          </a:r>
        </a:p>
        <a:p>
          <a:r>
            <a:rPr lang="en-US" sz="1100" baseline="0"/>
            <a:t>Double-clicking on a row on the Notes sheet brings up a curation form.</a:t>
          </a:r>
        </a:p>
        <a:p>
          <a:r>
            <a:rPr lang="en-US" sz="1100" baseline="0"/>
            <a:t>Exporting is possible now to RIS and to a text format.</a:t>
          </a:r>
        </a:p>
        <a:p>
          <a:r>
            <a:rPr lang="en-US" sz="1100" baseline="0"/>
            <a:t>Queries can append results to the Main sheet.  The More Things button on the Main sheet will allow deletion of duplicates.</a:t>
          </a:r>
        </a:p>
        <a:p>
          <a:endParaRPr lang="en-US" sz="1100" baseline="0"/>
        </a:p>
        <a:p>
          <a:endParaRPr lang="en-US" sz="1100" baseline="0"/>
        </a:p>
        <a:p>
          <a:endParaRPr lang="en-US" sz="1100" baseline="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0</xdr:row>
          <xdr:rowOff>152400</xdr:rowOff>
        </xdr:from>
        <xdr:to>
          <xdr:col>3</xdr:col>
          <xdr:colOff>381000</xdr:colOff>
          <xdr:row>0</xdr:row>
          <xdr:rowOff>495300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PubMed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4953000</xdr:colOff>
          <xdr:row>2</xdr:row>
          <xdr:rowOff>133350</xdr:rowOff>
        </xdr:from>
        <xdr:to>
          <xdr:col>6</xdr:col>
          <xdr:colOff>5924550</xdr:colOff>
          <xdr:row>2</xdr:row>
          <xdr:rowOff>571500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Take Group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6067425</xdr:colOff>
          <xdr:row>2</xdr:row>
          <xdr:rowOff>114300</xdr:rowOff>
        </xdr:from>
        <xdr:to>
          <xdr:col>6</xdr:col>
          <xdr:colOff>6934200</xdr:colOff>
          <xdr:row>2</xdr:row>
          <xdr:rowOff>581025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More things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504825</xdr:colOff>
          <xdr:row>0</xdr:row>
          <xdr:rowOff>57150</xdr:rowOff>
        </xdr:from>
        <xdr:to>
          <xdr:col>2</xdr:col>
          <xdr:colOff>1143000</xdr:colOff>
          <xdr:row>0</xdr:row>
          <xdr:rowOff>371475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3676650</xdr:colOff>
          <xdr:row>0</xdr:row>
          <xdr:rowOff>95250</xdr:rowOff>
        </xdr:from>
        <xdr:to>
          <xdr:col>2</xdr:col>
          <xdr:colOff>4591050</xdr:colOff>
          <xdr:row>0</xdr:row>
          <xdr:rowOff>428625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in batch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1</xdr:row>
          <xdr:rowOff>38100</xdr:rowOff>
        </xdr:from>
        <xdr:to>
          <xdr:col>2</xdr:col>
          <xdr:colOff>1514475</xdr:colOff>
          <xdr:row>1</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Update Article 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1895475</xdr:colOff>
          <xdr:row>1</xdr:row>
          <xdr:rowOff>38100</xdr:rowOff>
        </xdr:from>
        <xdr:to>
          <xdr:col>2</xdr:col>
          <xdr:colOff>2524125</xdr:colOff>
          <xdr:row>1</xdr:row>
          <xdr:rowOff>419100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More stuff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2609850</xdr:colOff>
          <xdr:row>1</xdr:row>
          <xdr:rowOff>38100</xdr:rowOff>
        </xdr:from>
        <xdr:to>
          <xdr:col>2</xdr:col>
          <xdr:colOff>3276600</xdr:colOff>
          <xdr:row>1</xdr:row>
          <xdr:rowOff>419100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Heat Map by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3390900</xdr:colOff>
          <xdr:row>1</xdr:row>
          <xdr:rowOff>38100</xdr:rowOff>
        </xdr:from>
        <xdr:to>
          <xdr:col>2</xdr:col>
          <xdr:colOff>4067175</xdr:colOff>
          <xdr:row>1</xdr:row>
          <xdr:rowOff>419100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Heat Map by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0</xdr:row>
          <xdr:rowOff>142875</xdr:rowOff>
        </xdr:from>
        <xdr:to>
          <xdr:col>1</xdr:col>
          <xdr:colOff>962025</xdr:colOff>
          <xdr:row>0</xdr:row>
          <xdr:rowOff>571500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1419225</xdr:colOff>
          <xdr:row>0</xdr:row>
          <xdr:rowOff>114300</xdr:rowOff>
        </xdr:from>
        <xdr:to>
          <xdr:col>1</xdr:col>
          <xdr:colOff>2238375</xdr:colOff>
          <xdr:row>0</xdr:row>
          <xdr:rowOff>542925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4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More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xdr:colOff>
          <xdr:row>0</xdr:row>
          <xdr:rowOff>47625</xdr:rowOff>
        </xdr:from>
        <xdr:to>
          <xdr:col>6</xdr:col>
          <xdr:colOff>1295400</xdr:colOff>
          <xdr:row>0</xdr:row>
          <xdr:rowOff>485775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923925</xdr:colOff>
          <xdr:row>0</xdr:row>
          <xdr:rowOff>57150</xdr:rowOff>
        </xdr:from>
        <xdr:to>
          <xdr:col>8</xdr:col>
          <xdr:colOff>2152650</xdr:colOff>
          <xdr:row>0</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Highlight Noted PMIDs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2638425</xdr:colOff>
          <xdr:row>0</xdr:row>
          <xdr:rowOff>66675</xdr:rowOff>
        </xdr:from>
        <xdr:to>
          <xdr:col>8</xdr:col>
          <xdr:colOff>3581400</xdr:colOff>
          <xdr:row>0</xdr:row>
          <xdr:rowOff>485775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5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More stuff</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1609725</xdr:colOff>
          <xdr:row>0</xdr:row>
          <xdr:rowOff>85725</xdr:rowOff>
        </xdr:from>
        <xdr:to>
          <xdr:col>1</xdr:col>
          <xdr:colOff>2428875</xdr:colOff>
          <xdr:row>0</xdr:row>
          <xdr:rowOff>457200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5686425</xdr:colOff>
          <xdr:row>0</xdr:row>
          <xdr:rowOff>76200</xdr:rowOff>
        </xdr:from>
        <xdr:to>
          <xdr:col>1</xdr:col>
          <xdr:colOff>6400800</xdr:colOff>
          <xdr:row>0</xdr:row>
          <xdr:rowOff>428625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6800850</xdr:colOff>
          <xdr:row>0</xdr:row>
          <xdr:rowOff>85725</xdr:rowOff>
        </xdr:from>
        <xdr:to>
          <xdr:col>1</xdr:col>
          <xdr:colOff>7858125</xdr:colOff>
          <xdr:row>0</xdr:row>
          <xdr:rowOff>409575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See Notes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8029575</xdr:colOff>
          <xdr:row>0</xdr:row>
          <xdr:rowOff>66675</xdr:rowOff>
        </xdr:from>
        <xdr:to>
          <xdr:col>1</xdr:col>
          <xdr:colOff>9124950</xdr:colOff>
          <xdr:row>0</xdr:row>
          <xdr:rowOff>409575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Like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2609850</xdr:colOff>
          <xdr:row>0</xdr:row>
          <xdr:rowOff>104775</xdr:rowOff>
        </xdr:from>
        <xdr:to>
          <xdr:col>1</xdr:col>
          <xdr:colOff>2914650</xdr:colOff>
          <xdr:row>0</xdr:row>
          <xdr:rowOff>447675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2924175</xdr:colOff>
          <xdr:row>0</xdr:row>
          <xdr:rowOff>114300</xdr:rowOff>
        </xdr:from>
        <xdr:to>
          <xdr:col>1</xdr:col>
          <xdr:colOff>3228975</xdr:colOff>
          <xdr:row>0</xdr:row>
          <xdr:rowOff>447675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4286250</xdr:colOff>
          <xdr:row>0</xdr:row>
          <xdr:rowOff>76200</xdr:rowOff>
        </xdr:from>
        <xdr:to>
          <xdr:col>3</xdr:col>
          <xdr:colOff>6019800</xdr:colOff>
          <xdr:row>0</xdr:row>
          <xdr:rowOff>438150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queries to Landscape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1419225</xdr:colOff>
          <xdr:row>0</xdr:row>
          <xdr:rowOff>66675</xdr:rowOff>
        </xdr:from>
        <xdr:to>
          <xdr:col>2</xdr:col>
          <xdr:colOff>2533650</xdr:colOff>
          <xdr:row>0</xdr:row>
          <xdr:rowOff>590550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to Landscape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4286250</xdr:colOff>
          <xdr:row>0</xdr:row>
          <xdr:rowOff>76200</xdr:rowOff>
        </xdr:from>
        <xdr:to>
          <xdr:col>3</xdr:col>
          <xdr:colOff>6010275</xdr:colOff>
          <xdr:row>0</xdr:row>
          <xdr:rowOff>419100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queries to Landscape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xample.microsoft.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hyperlink" Target="https://comptox.epa.gov/dashboard/dsstoxdb/results?search=DTXSID7029871" TargetMode="External"/><Relationship Id="rId7" Type="http://schemas.openxmlformats.org/officeDocument/2006/relationships/vmlDrawing" Target="../drawings/vmlDrawing3.vml"/><Relationship Id="rId2" Type="http://schemas.openxmlformats.org/officeDocument/2006/relationships/hyperlink" Target="https://comptox.epa.gov/dashboard/dsstoxdb/results?search=DTXSID4020329" TargetMode="External"/><Relationship Id="rId1" Type="http://schemas.openxmlformats.org/officeDocument/2006/relationships/hyperlink" Target="https://comptox.epa.gov/dashboard/dsstoxdb/results?search=DTXSID0020319" TargetMode="External"/><Relationship Id="rId6" Type="http://schemas.openxmlformats.org/officeDocument/2006/relationships/drawing" Target="../drawings/drawing4.xml"/><Relationship Id="rId11" Type="http://schemas.openxmlformats.org/officeDocument/2006/relationships/ctrlProp" Target="../ctrlProps/ctrlProp9.xml"/><Relationship Id="rId5" Type="http://schemas.openxmlformats.org/officeDocument/2006/relationships/printerSettings" Target="../printerSettings/printerSettings3.bin"/><Relationship Id="rId10" Type="http://schemas.openxmlformats.org/officeDocument/2006/relationships/ctrlProp" Target="../ctrlProps/ctrlProp8.xml"/><Relationship Id="rId4" Type="http://schemas.openxmlformats.org/officeDocument/2006/relationships/hyperlink" Target="https://comptox.epa.gov/dashboard/dsstoxdb/results?search=DTXSID5021463" TargetMode="Externa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trlProp" Target="../ctrlProps/ctrlProp14.xml"/><Relationship Id="rId2" Type="http://schemas.openxmlformats.org/officeDocument/2006/relationships/printerSettings" Target="../printerSettings/printerSettings4.bin"/><Relationship Id="rId1" Type="http://schemas.openxmlformats.org/officeDocument/2006/relationships/hyperlink" Target="../../Beugnet_2012_22550626.pdf"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6.vml"/><Relationship Id="rId7" Type="http://schemas.openxmlformats.org/officeDocument/2006/relationships/ctrlProp" Target="../ctrlProps/ctrlProp1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hyperlink" Target="https://meshb.nlm.nih.gov/record/ui?ui=D066298" TargetMode="External"/><Relationship Id="rId1" Type="http://schemas.openxmlformats.org/officeDocument/2006/relationships/hyperlink" Target="https://meshb.nlm.nih.gov/record/ui?ui=D013223" TargetMode="External"/><Relationship Id="rId5" Type="http://schemas.openxmlformats.org/officeDocument/2006/relationships/ctrlProp" Target="../ctrlProps/ctrlProp21.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13" Type="http://schemas.openxmlformats.org/officeDocument/2006/relationships/hyperlink" Target="https://comptox.epa.gov/dashboard/dsstoxdb/results?search=DTXSID3023897" TargetMode="External"/><Relationship Id="rId18" Type="http://schemas.openxmlformats.org/officeDocument/2006/relationships/hyperlink" Target="https://comptox.epa.gov/dashboard/dsstoxdb/results?search=DTXSID4022652" TargetMode="External"/><Relationship Id="rId26" Type="http://schemas.openxmlformats.org/officeDocument/2006/relationships/hyperlink" Target="https://comptox.epa.gov/dashboard/dsstoxdb/results?search=DTXSID5023746" TargetMode="External"/><Relationship Id="rId39" Type="http://schemas.openxmlformats.org/officeDocument/2006/relationships/hyperlink" Target="https://comptox.epa.gov/dashboard/dsstoxdb/results?search=DTXSID6040404" TargetMode="External"/><Relationship Id="rId21" Type="http://schemas.openxmlformats.org/officeDocument/2006/relationships/hyperlink" Target="https://comptox.epa.gov/dashboard/dsstoxdb/results?search=DTXSID4047383" TargetMode="External"/><Relationship Id="rId34" Type="http://schemas.openxmlformats.org/officeDocument/2006/relationships/hyperlink" Target="https://comptox.epa.gov/dashboard/dsstoxdb/results?search=DTXSID5047825" TargetMode="External"/><Relationship Id="rId42" Type="http://schemas.openxmlformats.org/officeDocument/2006/relationships/hyperlink" Target="https://comptox.epa.gov/dashboard/dsstoxdb/results?search=DTXSID7021239" TargetMode="External"/><Relationship Id="rId47" Type="http://schemas.openxmlformats.org/officeDocument/2006/relationships/hyperlink" Target="https://comptox.epa.gov/dashboard/dsstoxdb/results?search=DTXSID80168213" TargetMode="External"/><Relationship Id="rId50" Type="http://schemas.openxmlformats.org/officeDocument/2006/relationships/hyperlink" Target="https://comptox.epa.gov/dashboard/dsstoxdb/results?search=DTXSID8034401" TargetMode="External"/><Relationship Id="rId55" Type="http://schemas.openxmlformats.org/officeDocument/2006/relationships/hyperlink" Target="https://comptox.epa.gov/dashboard/dsstoxdb/results?search=DTXSID9034997" TargetMode="External"/><Relationship Id="rId7" Type="http://schemas.openxmlformats.org/officeDocument/2006/relationships/hyperlink" Target="https://comptox.epa.gov/dashboard/dsstoxdb/results?search=DTXSID0048185" TargetMode="External"/><Relationship Id="rId2" Type="http://schemas.openxmlformats.org/officeDocument/2006/relationships/hyperlink" Target="https://comptox.epa.gov/dashboard/dsstoxdb/results?search=DTXSID0021963" TargetMode="External"/><Relationship Id="rId16" Type="http://schemas.openxmlformats.org/officeDocument/2006/relationships/hyperlink" Target="https://comptox.epa.gov/dashboard/dsstoxdb/results?search=DTXSID4020242" TargetMode="External"/><Relationship Id="rId20" Type="http://schemas.openxmlformats.org/officeDocument/2006/relationships/hyperlink" Target="https://comptox.epa.gov/dashboard/dsstoxdb/results?search=DTXSID4040767" TargetMode="External"/><Relationship Id="rId29" Type="http://schemas.openxmlformats.org/officeDocument/2006/relationships/hyperlink" Target="https://comptox.epa.gov/dashboard/dsstoxdb/results?search=DTXSID5040758" TargetMode="External"/><Relationship Id="rId41" Type="http://schemas.openxmlformats.org/officeDocument/2006/relationships/hyperlink" Target="https://comptox.epa.gov/dashboard/dsstoxdb/results?search=DTXSID7020182" TargetMode="External"/><Relationship Id="rId54" Type="http://schemas.openxmlformats.org/officeDocument/2006/relationships/hyperlink" Target="https://comptox.epa.gov/dashboard/dsstoxdb/results?search=DTXSID9032329" TargetMode="External"/><Relationship Id="rId62" Type="http://schemas.openxmlformats.org/officeDocument/2006/relationships/ctrlProp" Target="../ctrlProps/ctrlProp22.xml"/><Relationship Id="rId1" Type="http://schemas.openxmlformats.org/officeDocument/2006/relationships/hyperlink" Target="https://comptox.epa.gov/dashboard/dsstoxdb/results?search=DTXSID0021464" TargetMode="External"/><Relationship Id="rId6" Type="http://schemas.openxmlformats.org/officeDocument/2006/relationships/hyperlink" Target="https://comptox.epa.gov/dashboard/dsstoxdb/results?search=DTXSID0040709" TargetMode="External"/><Relationship Id="rId11" Type="http://schemas.openxmlformats.org/officeDocument/2006/relationships/hyperlink" Target="https://comptox.epa.gov/dashboard/dsstoxdb/results?search=DTXSID2032005" TargetMode="External"/><Relationship Id="rId24" Type="http://schemas.openxmlformats.org/officeDocument/2006/relationships/hyperlink" Target="https://comptox.epa.gov/dashboard/dsstoxdb/results?search=DTXSID5021332" TargetMode="External"/><Relationship Id="rId32" Type="http://schemas.openxmlformats.org/officeDocument/2006/relationships/hyperlink" Target="https://comptox.epa.gov/dashboard/dsstoxdb/results?search=DTXSID5046776" TargetMode="External"/><Relationship Id="rId37" Type="http://schemas.openxmlformats.org/officeDocument/2006/relationships/hyperlink" Target="https://comptox.epa.gov/dashboard/dsstoxdb/results?search=DTXSID6024836" TargetMode="External"/><Relationship Id="rId40" Type="http://schemas.openxmlformats.org/officeDocument/2006/relationships/hyperlink" Target="https://comptox.epa.gov/dashboard/dsstoxdb/results?search=DTXSID6040743" TargetMode="External"/><Relationship Id="rId45" Type="http://schemas.openxmlformats.org/officeDocument/2006/relationships/hyperlink" Target="https://comptox.epa.gov/dashboard/dsstoxdb/results?search=DTXSID80163783" TargetMode="External"/><Relationship Id="rId53" Type="http://schemas.openxmlformats.org/officeDocument/2006/relationships/hyperlink" Target="https://comptox.epa.gov/dashboard/dsstoxdb/results?search=DTXSID9021342" TargetMode="External"/><Relationship Id="rId58" Type="http://schemas.openxmlformats.org/officeDocument/2006/relationships/hyperlink" Target="https://comptox.epa.gov/dashboard/dsstoxdb/results?search=DTXSID9044796" TargetMode="External"/><Relationship Id="rId5" Type="http://schemas.openxmlformats.org/officeDocument/2006/relationships/hyperlink" Target="https://comptox.epa.gov/dashboard/dsstoxdb/results?search=DTXSID0032493" TargetMode="External"/><Relationship Id="rId15" Type="http://schemas.openxmlformats.org/officeDocument/2006/relationships/hyperlink" Target="https://comptox.epa.gov/dashboard/dsstoxdb/results?search=DTXSID3040649" TargetMode="External"/><Relationship Id="rId23" Type="http://schemas.openxmlformats.org/officeDocument/2006/relationships/hyperlink" Target="https://comptox.epa.gov/dashboard/dsstoxdb/results?search=DTXSID5020239" TargetMode="External"/><Relationship Id="rId28" Type="http://schemas.openxmlformats.org/officeDocument/2006/relationships/hyperlink" Target="https://comptox.epa.gov/dashboard/dsstoxdb/results?search=DTXSID5039224" TargetMode="External"/><Relationship Id="rId36" Type="http://schemas.openxmlformats.org/officeDocument/2006/relationships/hyperlink" Target="https://comptox.epa.gov/dashboard/dsstoxdb/results?search=DTXSID6024337" TargetMode="External"/><Relationship Id="rId49" Type="http://schemas.openxmlformats.org/officeDocument/2006/relationships/hyperlink" Target="https://comptox.epa.gov/dashboard/dsstoxdb/results?search=DTXSID80228861" TargetMode="External"/><Relationship Id="rId57" Type="http://schemas.openxmlformats.org/officeDocument/2006/relationships/hyperlink" Target="https://comptox.epa.gov/dashboard/dsstoxdb/results?search=DTXSID9040760" TargetMode="External"/><Relationship Id="rId61" Type="http://schemas.openxmlformats.org/officeDocument/2006/relationships/vmlDrawing" Target="../drawings/vmlDrawing8.vml"/><Relationship Id="rId10" Type="http://schemas.openxmlformats.org/officeDocument/2006/relationships/hyperlink" Target="https://comptox.epa.gov/dashboard/dsstoxdb/results?search=DTXSID2020006" TargetMode="External"/><Relationship Id="rId19" Type="http://schemas.openxmlformats.org/officeDocument/2006/relationships/hyperlink" Target="https://comptox.epa.gov/dashboard/dsstoxdb/results?search=DTXSID4023177" TargetMode="External"/><Relationship Id="rId31" Type="http://schemas.openxmlformats.org/officeDocument/2006/relationships/hyperlink" Target="https://comptox.epa.gov/dashboard/dsstoxdb/results?search=DTXSID5046481" TargetMode="External"/><Relationship Id="rId44" Type="http://schemas.openxmlformats.org/officeDocument/2006/relationships/hyperlink" Target="https://comptox.epa.gov/dashboard/dsstoxdb/results?search=DTXSID80154737" TargetMode="External"/><Relationship Id="rId52" Type="http://schemas.openxmlformats.org/officeDocument/2006/relationships/hyperlink" Target="https://comptox.epa.gov/dashboard/dsstoxdb/results?search=DTXSID8074443" TargetMode="External"/><Relationship Id="rId60" Type="http://schemas.openxmlformats.org/officeDocument/2006/relationships/drawing" Target="../drawings/drawing9.xml"/><Relationship Id="rId4" Type="http://schemas.openxmlformats.org/officeDocument/2006/relationships/hyperlink" Target="https://comptox.epa.gov/dashboard/dsstoxdb/results?search=DTXSID0023901" TargetMode="External"/><Relationship Id="rId9" Type="http://schemas.openxmlformats.org/officeDocument/2006/relationships/hyperlink" Target="https://comptox.epa.gov/dashboard/dsstoxdb/results?search=DTXSID1040619" TargetMode="External"/><Relationship Id="rId14" Type="http://schemas.openxmlformats.org/officeDocument/2006/relationships/hyperlink" Target="https://comptox.epa.gov/dashboard/dsstoxdb/results?search=DTXSID3026190" TargetMode="External"/><Relationship Id="rId22" Type="http://schemas.openxmlformats.org/officeDocument/2006/relationships/hyperlink" Target="https://comptox.epa.gov/dashboard/dsstoxdb/results?search=DTXSID4051378" TargetMode="External"/><Relationship Id="rId27" Type="http://schemas.openxmlformats.org/officeDocument/2006/relationships/hyperlink" Target="https://comptox.epa.gov/dashboard/dsstoxdb/results?search=DTXSID5033836" TargetMode="External"/><Relationship Id="rId30" Type="http://schemas.openxmlformats.org/officeDocument/2006/relationships/hyperlink" Target="https://comptox.epa.gov/dashboard/dsstoxdb/results?search=DTXSID5044360" TargetMode="External"/><Relationship Id="rId35" Type="http://schemas.openxmlformats.org/officeDocument/2006/relationships/hyperlink" Target="https://comptox.epa.gov/dashboard/dsstoxdb/results?search=DTXSID6022553" TargetMode="External"/><Relationship Id="rId43" Type="http://schemas.openxmlformats.org/officeDocument/2006/relationships/hyperlink" Target="https://comptox.epa.gov/dashboard/dsstoxdb/results?search=DTXSID7026314" TargetMode="External"/><Relationship Id="rId48" Type="http://schemas.openxmlformats.org/officeDocument/2006/relationships/hyperlink" Target="https://comptox.epa.gov/dashboard/dsstoxdb/results?search=DTXSID8020040" TargetMode="External"/><Relationship Id="rId56" Type="http://schemas.openxmlformats.org/officeDocument/2006/relationships/hyperlink" Target="https://comptox.epa.gov/dashboard/dsstoxdb/results?search=DTXSID9036779" TargetMode="External"/><Relationship Id="rId8" Type="http://schemas.openxmlformats.org/officeDocument/2006/relationships/hyperlink" Target="https://comptox.epa.gov/dashboard/dsstoxdb/results?search=DTXSID1032488" TargetMode="External"/><Relationship Id="rId51" Type="http://schemas.openxmlformats.org/officeDocument/2006/relationships/hyperlink" Target="https://comptox.epa.gov/dashboard/dsstoxdb/results?search=DTXSID8035180" TargetMode="External"/><Relationship Id="rId3" Type="http://schemas.openxmlformats.org/officeDocument/2006/relationships/hyperlink" Target="https://comptox.epa.gov/dashboard/dsstoxdb/results?search=DTXSID0021963" TargetMode="External"/><Relationship Id="rId12" Type="http://schemas.openxmlformats.org/officeDocument/2006/relationships/hyperlink" Target="https://comptox.epa.gov/dashboard/dsstoxdb/results?search=DTXSID20865895" TargetMode="External"/><Relationship Id="rId17" Type="http://schemas.openxmlformats.org/officeDocument/2006/relationships/hyperlink" Target="https://comptox.epa.gov/dashboard/dsstoxdb/results?search=DTXSID4022153" TargetMode="External"/><Relationship Id="rId25" Type="http://schemas.openxmlformats.org/officeDocument/2006/relationships/hyperlink" Target="https://comptox.epa.gov/dashboard/dsstoxdb/results?search=DTXSID5021463" TargetMode="External"/><Relationship Id="rId33" Type="http://schemas.openxmlformats.org/officeDocument/2006/relationships/hyperlink" Target="https://comptox.epa.gov/dashboard/dsstoxdb/results?search=DTXSID50472955" TargetMode="External"/><Relationship Id="rId38" Type="http://schemas.openxmlformats.org/officeDocument/2006/relationships/hyperlink" Target="https://comptox.epa.gov/dashboard/dsstoxdb/results?search=DTXSID6040404" TargetMode="External"/><Relationship Id="rId46" Type="http://schemas.openxmlformats.org/officeDocument/2006/relationships/hyperlink" Target="https://comptox.epa.gov/dashboard/dsstoxdb/results?search=DTXSID80163783" TargetMode="External"/><Relationship Id="rId59" Type="http://schemas.openxmlformats.org/officeDocument/2006/relationships/hyperlink" Target="https://comptox.epa.gov/dashboard/dsstoxdb/results?search=DTXSID9058654"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O143"/>
  <sheetViews>
    <sheetView tabSelected="1" workbookViewId="0">
      <pane ySplit="2" topLeftCell="A117" activePane="bottomLeft" state="frozen"/>
      <selection pane="bottomLeft" activeCell="A137" sqref="A137"/>
    </sheetView>
  </sheetViews>
  <sheetFormatPr defaultRowHeight="15" x14ac:dyDescent="0.25"/>
  <cols>
    <col min="1" max="1" width="26.28515625" customWidth="1"/>
    <col min="14" max="14" width="72.85546875" customWidth="1"/>
    <col min="15" max="15" width="19.7109375" customWidth="1"/>
  </cols>
  <sheetData>
    <row r="1" spans="1:15" ht="18" thickBot="1" x14ac:dyDescent="0.35">
      <c r="A1" s="4" t="s">
        <v>13</v>
      </c>
    </row>
    <row r="2" spans="1:15" s="34" customFormat="1" ht="69" customHeight="1" thickTop="1" thickBot="1" x14ac:dyDescent="0.35">
      <c r="A2" s="33" t="s">
        <v>640</v>
      </c>
      <c r="C2" s="69" t="s">
        <v>636</v>
      </c>
      <c r="D2" s="69"/>
      <c r="E2" s="69"/>
      <c r="F2" s="69"/>
      <c r="G2" s="69"/>
      <c r="H2" s="69"/>
      <c r="I2" s="69"/>
      <c r="J2" s="69"/>
      <c r="K2" s="69"/>
      <c r="L2" s="69"/>
      <c r="N2" s="36"/>
      <c r="O2" s="37"/>
    </row>
    <row r="3" spans="1:15" ht="15.75" thickTop="1" x14ac:dyDescent="0.25"/>
    <row r="5" spans="1:15" x14ac:dyDescent="0.25">
      <c r="A5" s="2" t="s">
        <v>368</v>
      </c>
    </row>
    <row r="38" spans="1:1" x14ac:dyDescent="0.25">
      <c r="A38" s="17" t="s">
        <v>35</v>
      </c>
    </row>
    <row r="39" spans="1:1" x14ac:dyDescent="0.25">
      <c r="A39" t="s">
        <v>36</v>
      </c>
    </row>
    <row r="40" spans="1:1" x14ac:dyDescent="0.25">
      <c r="A40" t="s">
        <v>23</v>
      </c>
    </row>
    <row r="41" spans="1:1" x14ac:dyDescent="0.25">
      <c r="A41" t="s">
        <v>24</v>
      </c>
    </row>
    <row r="42" spans="1:1" x14ac:dyDescent="0.25">
      <c r="A42" t="s">
        <v>25</v>
      </c>
    </row>
    <row r="43" spans="1:1" x14ac:dyDescent="0.25">
      <c r="A43" t="s">
        <v>26</v>
      </c>
    </row>
    <row r="44" spans="1:1" x14ac:dyDescent="0.25">
      <c r="A44" t="s">
        <v>38</v>
      </c>
    </row>
    <row r="45" spans="1:1" x14ac:dyDescent="0.25">
      <c r="A45" t="s">
        <v>39</v>
      </c>
    </row>
    <row r="46" spans="1:1" x14ac:dyDescent="0.25">
      <c r="A46" t="s">
        <v>40</v>
      </c>
    </row>
    <row r="47" spans="1:1" x14ac:dyDescent="0.25">
      <c r="A47" t="s">
        <v>41</v>
      </c>
    </row>
    <row r="48" spans="1:1" x14ac:dyDescent="0.25">
      <c r="A48" t="s">
        <v>42</v>
      </c>
    </row>
    <row r="49" spans="1:1" x14ac:dyDescent="0.25">
      <c r="A49" t="s">
        <v>43</v>
      </c>
    </row>
    <row r="50" spans="1:1" x14ac:dyDescent="0.25">
      <c r="A50" t="s">
        <v>44</v>
      </c>
    </row>
    <row r="51" spans="1:1" x14ac:dyDescent="0.25">
      <c r="A51" t="s">
        <v>45</v>
      </c>
    </row>
    <row r="52" spans="1:1" x14ac:dyDescent="0.25">
      <c r="A52" t="s">
        <v>47</v>
      </c>
    </row>
    <row r="53" spans="1:1" x14ac:dyDescent="0.25">
      <c r="A53" t="s">
        <v>48</v>
      </c>
    </row>
    <row r="54" spans="1:1" x14ac:dyDescent="0.25">
      <c r="A54" t="s">
        <v>49</v>
      </c>
    </row>
    <row r="55" spans="1:1" x14ac:dyDescent="0.25">
      <c r="A55" t="s">
        <v>50</v>
      </c>
    </row>
    <row r="56" spans="1:1" x14ac:dyDescent="0.25">
      <c r="A56" t="s">
        <v>131</v>
      </c>
    </row>
    <row r="57" spans="1:1" x14ac:dyDescent="0.25">
      <c r="A57" t="s">
        <v>149</v>
      </c>
    </row>
    <row r="58" spans="1:1" x14ac:dyDescent="0.25">
      <c r="A58" s="30" t="s">
        <v>153</v>
      </c>
    </row>
    <row r="59" spans="1:1" x14ac:dyDescent="0.25">
      <c r="A59" t="s">
        <v>154</v>
      </c>
    </row>
    <row r="60" spans="1:1" x14ac:dyDescent="0.25">
      <c r="A60" t="s">
        <v>155</v>
      </c>
    </row>
    <row r="61" spans="1:1" x14ac:dyDescent="0.25">
      <c r="A61" t="s">
        <v>156</v>
      </c>
    </row>
    <row r="62" spans="1:1" x14ac:dyDescent="0.25">
      <c r="A62" t="s">
        <v>178</v>
      </c>
    </row>
    <row r="63" spans="1:1" x14ac:dyDescent="0.25">
      <c r="A63" t="s">
        <v>189</v>
      </c>
    </row>
    <row r="64" spans="1:1" x14ac:dyDescent="0.25">
      <c r="A64" t="s">
        <v>191</v>
      </c>
    </row>
    <row r="65" spans="1:1" x14ac:dyDescent="0.25">
      <c r="A65" t="s">
        <v>194</v>
      </c>
    </row>
    <row r="66" spans="1:1" x14ac:dyDescent="0.25">
      <c r="A66" t="s">
        <v>195</v>
      </c>
    </row>
    <row r="67" spans="1:1" x14ac:dyDescent="0.25">
      <c r="A67" t="s">
        <v>196</v>
      </c>
    </row>
    <row r="68" spans="1:1" x14ac:dyDescent="0.25">
      <c r="A68" t="s">
        <v>212</v>
      </c>
    </row>
    <row r="69" spans="1:1" x14ac:dyDescent="0.25">
      <c r="A69" s="32" t="s">
        <v>213</v>
      </c>
    </row>
    <row r="70" spans="1:1" x14ac:dyDescent="0.25">
      <c r="A70" t="s">
        <v>216</v>
      </c>
    </row>
    <row r="71" spans="1:1" x14ac:dyDescent="0.25">
      <c r="A71" t="s">
        <v>218</v>
      </c>
    </row>
    <row r="72" spans="1:1" x14ac:dyDescent="0.25">
      <c r="A72" t="s">
        <v>219</v>
      </c>
    </row>
    <row r="73" spans="1:1" x14ac:dyDescent="0.25">
      <c r="A73" t="s">
        <v>220</v>
      </c>
    </row>
    <row r="74" spans="1:1" x14ac:dyDescent="0.25">
      <c r="A74" t="s">
        <v>221</v>
      </c>
    </row>
    <row r="75" spans="1:1" x14ac:dyDescent="0.25">
      <c r="A75" t="s">
        <v>222</v>
      </c>
    </row>
    <row r="76" spans="1:1" x14ac:dyDescent="0.25">
      <c r="A76" s="30" t="s">
        <v>228</v>
      </c>
    </row>
    <row r="77" spans="1:1" x14ac:dyDescent="0.25">
      <c r="A77" s="30" t="s">
        <v>229</v>
      </c>
    </row>
    <row r="78" spans="1:1" x14ac:dyDescent="0.25">
      <c r="A78" s="30" t="s">
        <v>242</v>
      </c>
    </row>
    <row r="79" spans="1:1" x14ac:dyDescent="0.25">
      <c r="A79" s="30" t="s">
        <v>248</v>
      </c>
    </row>
    <row r="80" spans="1:1" x14ac:dyDescent="0.25">
      <c r="A80" s="30" t="s">
        <v>264</v>
      </c>
    </row>
    <row r="81" spans="1:1" x14ac:dyDescent="0.25">
      <c r="A81" s="30" t="s">
        <v>265</v>
      </c>
    </row>
    <row r="82" spans="1:1" x14ac:dyDescent="0.25">
      <c r="A82" s="30" t="s">
        <v>308</v>
      </c>
    </row>
    <row r="83" spans="1:1" x14ac:dyDescent="0.25">
      <c r="A83" s="30" t="s">
        <v>311</v>
      </c>
    </row>
    <row r="84" spans="1:1" x14ac:dyDescent="0.25">
      <c r="A84" s="32" t="s">
        <v>314</v>
      </c>
    </row>
    <row r="85" spans="1:1" x14ac:dyDescent="0.25">
      <c r="A85" s="30" t="s">
        <v>315</v>
      </c>
    </row>
    <row r="86" spans="1:1" x14ac:dyDescent="0.25">
      <c r="A86" s="30" t="s">
        <v>325</v>
      </c>
    </row>
    <row r="87" spans="1:1" x14ac:dyDescent="0.25">
      <c r="A87" s="30" t="s">
        <v>326</v>
      </c>
    </row>
    <row r="88" spans="1:1" x14ac:dyDescent="0.25">
      <c r="A88" s="30" t="s">
        <v>330</v>
      </c>
    </row>
    <row r="89" spans="1:1" x14ac:dyDescent="0.25">
      <c r="A89" s="30" t="s">
        <v>329</v>
      </c>
    </row>
    <row r="90" spans="1:1" x14ac:dyDescent="0.25">
      <c r="A90" s="30" t="s">
        <v>331</v>
      </c>
    </row>
    <row r="91" spans="1:1" x14ac:dyDescent="0.25">
      <c r="A91" s="30" t="s">
        <v>332</v>
      </c>
    </row>
    <row r="92" spans="1:1" x14ac:dyDescent="0.25">
      <c r="A92" s="30" t="s">
        <v>341</v>
      </c>
    </row>
    <row r="93" spans="1:1" x14ac:dyDescent="0.25">
      <c r="A93" s="30" t="s">
        <v>343</v>
      </c>
    </row>
    <row r="94" spans="1:1" x14ac:dyDescent="0.25">
      <c r="A94" s="30" t="s">
        <v>342</v>
      </c>
    </row>
    <row r="95" spans="1:1" x14ac:dyDescent="0.25">
      <c r="A95" s="30" t="s">
        <v>345</v>
      </c>
    </row>
    <row r="96" spans="1:1" x14ac:dyDescent="0.25">
      <c r="A96" s="30" t="s">
        <v>346</v>
      </c>
    </row>
    <row r="97" spans="1:1" x14ac:dyDescent="0.25">
      <c r="A97" s="30" t="s">
        <v>347</v>
      </c>
    </row>
    <row r="98" spans="1:1" x14ac:dyDescent="0.25">
      <c r="A98" s="30" t="s">
        <v>350</v>
      </c>
    </row>
    <row r="99" spans="1:1" x14ac:dyDescent="0.25">
      <c r="A99" s="30" t="s">
        <v>351</v>
      </c>
    </row>
    <row r="100" spans="1:1" x14ac:dyDescent="0.25">
      <c r="A100" s="30" t="s">
        <v>352</v>
      </c>
    </row>
    <row r="101" spans="1:1" x14ac:dyDescent="0.25">
      <c r="A101" s="45" t="s">
        <v>353</v>
      </c>
    </row>
    <row r="102" spans="1:1" x14ac:dyDescent="0.25">
      <c r="A102" s="30" t="s">
        <v>354</v>
      </c>
    </row>
    <row r="103" spans="1:1" x14ac:dyDescent="0.25">
      <c r="A103" s="30" t="s">
        <v>356</v>
      </c>
    </row>
    <row r="104" spans="1:1" x14ac:dyDescent="0.25">
      <c r="A104" s="30" t="s">
        <v>361</v>
      </c>
    </row>
    <row r="105" spans="1:1" x14ac:dyDescent="0.25">
      <c r="A105" s="30" t="s">
        <v>362</v>
      </c>
    </row>
    <row r="106" spans="1:1" x14ac:dyDescent="0.25">
      <c r="A106" s="30" t="s">
        <v>372</v>
      </c>
    </row>
    <row r="107" spans="1:1" x14ac:dyDescent="0.25">
      <c r="A107" s="30" t="s">
        <v>373</v>
      </c>
    </row>
    <row r="108" spans="1:1" x14ac:dyDescent="0.25">
      <c r="A108" s="45" t="s">
        <v>375</v>
      </c>
    </row>
    <row r="109" spans="1:1" x14ac:dyDescent="0.25">
      <c r="A109" s="30" t="s">
        <v>376</v>
      </c>
    </row>
    <row r="110" spans="1:1" x14ac:dyDescent="0.25">
      <c r="A110" s="30" t="s">
        <v>377</v>
      </c>
    </row>
    <row r="111" spans="1:1" x14ac:dyDescent="0.25">
      <c r="A111" s="30" t="s">
        <v>378</v>
      </c>
    </row>
    <row r="112" spans="1:1" x14ac:dyDescent="0.25">
      <c r="A112" s="30" t="s">
        <v>379</v>
      </c>
    </row>
    <row r="113" spans="1:1" x14ac:dyDescent="0.25">
      <c r="A113" s="30" t="s">
        <v>381</v>
      </c>
    </row>
    <row r="114" spans="1:1" x14ac:dyDescent="0.25">
      <c r="A114" s="30" t="s">
        <v>382</v>
      </c>
    </row>
    <row r="115" spans="1:1" x14ac:dyDescent="0.25">
      <c r="A115" s="30" t="s">
        <v>384</v>
      </c>
    </row>
    <row r="116" spans="1:1" x14ac:dyDescent="0.25">
      <c r="A116" s="30" t="s">
        <v>385</v>
      </c>
    </row>
    <row r="117" spans="1:1" x14ac:dyDescent="0.25">
      <c r="A117" s="30" t="s">
        <v>386</v>
      </c>
    </row>
    <row r="118" spans="1:1" s="52" customFormat="1" x14ac:dyDescent="0.25">
      <c r="A118" s="30" t="s">
        <v>387</v>
      </c>
    </row>
    <row r="119" spans="1:1" s="52" customFormat="1" x14ac:dyDescent="0.25">
      <c r="A119" s="45" t="s">
        <v>391</v>
      </c>
    </row>
    <row r="120" spans="1:1" s="52" customFormat="1" x14ac:dyDescent="0.25">
      <c r="A120" s="30" t="s">
        <v>390</v>
      </c>
    </row>
    <row r="121" spans="1:1" s="52" customFormat="1" x14ac:dyDescent="0.25">
      <c r="A121" s="30" t="s">
        <v>393</v>
      </c>
    </row>
    <row r="122" spans="1:1" x14ac:dyDescent="0.25">
      <c r="A122" s="30" t="s">
        <v>395</v>
      </c>
    </row>
    <row r="123" spans="1:1" s="52" customFormat="1" x14ac:dyDescent="0.25">
      <c r="A123" s="30" t="s">
        <v>396</v>
      </c>
    </row>
    <row r="124" spans="1:1" s="52" customFormat="1" x14ac:dyDescent="0.25">
      <c r="A124" s="30" t="s">
        <v>398</v>
      </c>
    </row>
    <row r="125" spans="1:1" s="52" customFormat="1" x14ac:dyDescent="0.25">
      <c r="A125" s="45" t="s">
        <v>436</v>
      </c>
    </row>
    <row r="126" spans="1:1" s="52" customFormat="1" x14ac:dyDescent="0.25">
      <c r="A126" s="30" t="s">
        <v>435</v>
      </c>
    </row>
    <row r="127" spans="1:1" s="52" customFormat="1" x14ac:dyDescent="0.25">
      <c r="A127" s="30" t="s">
        <v>437</v>
      </c>
    </row>
    <row r="128" spans="1:1" s="52" customFormat="1" x14ac:dyDescent="0.25">
      <c r="A128" s="30" t="s">
        <v>438</v>
      </c>
    </row>
    <row r="129" spans="1:5" s="52" customFormat="1" x14ac:dyDescent="0.25">
      <c r="A129" s="45" t="s">
        <v>635</v>
      </c>
    </row>
    <row r="130" spans="1:5" s="52" customFormat="1" x14ac:dyDescent="0.25">
      <c r="A130" s="30" t="s">
        <v>633</v>
      </c>
    </row>
    <row r="131" spans="1:5" s="52" customFormat="1" x14ac:dyDescent="0.25">
      <c r="A131" s="30" t="s">
        <v>440</v>
      </c>
    </row>
    <row r="132" spans="1:5" s="52" customFormat="1" x14ac:dyDescent="0.25">
      <c r="A132" s="30" t="s">
        <v>441</v>
      </c>
    </row>
    <row r="133" spans="1:5" s="52" customFormat="1" x14ac:dyDescent="0.25">
      <c r="A133" s="30" t="s">
        <v>634</v>
      </c>
    </row>
    <row r="134" spans="1:5" s="52" customFormat="1" x14ac:dyDescent="0.25">
      <c r="A134" s="30" t="s">
        <v>637</v>
      </c>
    </row>
    <row r="135" spans="1:5" s="52" customFormat="1" x14ac:dyDescent="0.25">
      <c r="A135" s="30" t="s">
        <v>641</v>
      </c>
    </row>
    <row r="136" spans="1:5" s="52" customFormat="1" x14ac:dyDescent="0.25">
      <c r="A136" s="30" t="s">
        <v>645</v>
      </c>
    </row>
    <row r="137" spans="1:5" s="52" customFormat="1" x14ac:dyDescent="0.25">
      <c r="A137" s="45" t="s">
        <v>6502</v>
      </c>
    </row>
    <row r="138" spans="1:5" s="52" customFormat="1" x14ac:dyDescent="0.25">
      <c r="A138" s="30" t="s">
        <v>652</v>
      </c>
    </row>
    <row r="139" spans="1:5" x14ac:dyDescent="0.25">
      <c r="A139" s="30" t="s">
        <v>654</v>
      </c>
    </row>
    <row r="140" spans="1:5" x14ac:dyDescent="0.25">
      <c r="A140" s="30" t="s">
        <v>740</v>
      </c>
      <c r="E140" s="2"/>
    </row>
    <row r="141" spans="1:5" x14ac:dyDescent="0.25">
      <c r="A141" s="30" t="s">
        <v>758</v>
      </c>
    </row>
    <row r="142" spans="1:5" x14ac:dyDescent="0.25">
      <c r="A142" s="30" t="s">
        <v>771</v>
      </c>
    </row>
    <row r="143" spans="1:5" x14ac:dyDescent="0.25">
      <c r="A143" s="30" t="s">
        <v>7269</v>
      </c>
    </row>
  </sheetData>
  <mergeCells count="1">
    <mergeCell ref="C2:L2"/>
  </mergeCells>
  <hyperlinks>
    <hyperlink ref="A5" r:id="rId1" tooltip="Microsoft Web Site" xr:uid="{538B4F9B-1597-40AB-B809-5C143A9203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1508"/>
  <sheetViews>
    <sheetView zoomScale="120" zoomScaleNormal="120" workbookViewId="0">
      <pane ySplit="3" topLeftCell="A4" activePane="bottomLeft" state="frozen"/>
      <selection pane="bottomLeft"/>
    </sheetView>
  </sheetViews>
  <sheetFormatPr defaultRowHeight="15" x14ac:dyDescent="0.25"/>
  <cols>
    <col min="1" max="1" width="17.5703125" customWidth="1"/>
    <col min="2" max="4" width="11.85546875" customWidth="1"/>
    <col min="5" max="5" width="6.5703125" customWidth="1"/>
    <col min="6" max="6" width="6.28515625" customWidth="1"/>
    <col min="7" max="7" width="107.5703125" customWidth="1"/>
    <col min="8" max="9" width="3.28515625" customWidth="1"/>
    <col min="10" max="10" width="31.7109375" customWidth="1"/>
    <col min="11" max="11" width="36.85546875" customWidth="1"/>
    <col min="12" max="12" width="9.140625" hidden="1" customWidth="1"/>
    <col min="13" max="13" width="29.42578125" customWidth="1"/>
    <col min="17" max="17" width="7.85546875" customWidth="1"/>
    <col min="18" max="18" width="18.85546875" customWidth="1"/>
    <col min="19" max="19" width="9.140625" customWidth="1"/>
  </cols>
  <sheetData>
    <row r="1" spans="1:19" ht="42.75" customHeight="1" thickBot="1" x14ac:dyDescent="0.35">
      <c r="A1" s="20" t="s">
        <v>27</v>
      </c>
      <c r="B1" s="8"/>
      <c r="C1" s="8"/>
      <c r="D1" s="8"/>
      <c r="E1" s="8"/>
      <c r="F1" s="8"/>
      <c r="G1" s="7" t="s">
        <v>6501</v>
      </c>
      <c r="J1" s="28" t="s">
        <v>369</v>
      </c>
    </row>
    <row r="2" spans="1:19" ht="28.5" customHeight="1" thickTop="1" thickBot="1" x14ac:dyDescent="0.3">
      <c r="A2" s="53" t="s">
        <v>6502</v>
      </c>
      <c r="B2" s="70" t="s">
        <v>15</v>
      </c>
      <c r="C2" s="70"/>
      <c r="D2" s="70"/>
      <c r="E2" s="8"/>
      <c r="F2" s="8"/>
      <c r="K2" s="35"/>
      <c r="L2" s="35"/>
      <c r="M2" s="39"/>
      <c r="N2" s="40"/>
      <c r="O2" s="40"/>
      <c r="P2" s="40"/>
    </row>
    <row r="3" spans="1:19" ht="74.25" customHeight="1" thickTop="1" thickBot="1" x14ac:dyDescent="0.35">
      <c r="A3" s="4" t="s">
        <v>46</v>
      </c>
      <c r="B3" s="22" t="s">
        <v>6500</v>
      </c>
      <c r="C3" s="23" t="s">
        <v>6503</v>
      </c>
      <c r="D3" s="24" t="s">
        <v>6504</v>
      </c>
      <c r="E3" s="48" t="s">
        <v>355</v>
      </c>
      <c r="F3" s="12" t="s">
        <v>7</v>
      </c>
      <c r="G3" s="4" t="s">
        <v>0</v>
      </c>
      <c r="H3" s="11" t="s">
        <v>10</v>
      </c>
      <c r="I3" s="11" t="s">
        <v>217</v>
      </c>
      <c r="J3" s="4" t="s">
        <v>9</v>
      </c>
      <c r="K3" s="4" t="s">
        <v>19</v>
      </c>
      <c r="L3" s="4" t="s">
        <v>8</v>
      </c>
      <c r="M3" s="4" t="s">
        <v>324</v>
      </c>
      <c r="N3" s="4" t="s">
        <v>317</v>
      </c>
      <c r="O3" s="4" t="s">
        <v>318</v>
      </c>
      <c r="P3" s="4" t="s">
        <v>319</v>
      </c>
      <c r="Q3" s="12" t="s">
        <v>320</v>
      </c>
      <c r="R3" s="12" t="s">
        <v>388</v>
      </c>
      <c r="S3" s="12"/>
    </row>
    <row r="4" spans="1:19" ht="15.75" thickTop="1" x14ac:dyDescent="0.25">
      <c r="A4" s="2" t="str">
        <f>HYPERLINK("https://www.ncbi.nlm.nih.gov/pubmed/32723848","32723848")</f>
        <v>32723848</v>
      </c>
      <c r="B4">
        <f t="shared" ref="B4:D23" si="0">IF(ISBLANK(B$3),0,(LEN($L4) - LEN(SUBSTITUTE(LOWER($L4),LOWER(B$3),"")))/LEN(B$3))</f>
        <v>26</v>
      </c>
      <c r="C4">
        <f t="shared" si="0"/>
        <v>0</v>
      </c>
      <c r="D4">
        <f t="shared" si="0"/>
        <v>0</v>
      </c>
      <c r="E4">
        <f t="shared" ref="E4:E67" si="1">SUM(B4:D4)</f>
        <v>26</v>
      </c>
      <c r="F4">
        <v>2020</v>
      </c>
      <c r="G4" t="s">
        <v>1447</v>
      </c>
      <c r="H4">
        <v>0</v>
      </c>
      <c r="I4" s="65">
        <v>0</v>
      </c>
      <c r="J4" t="s">
        <v>1448</v>
      </c>
      <c r="K4" s="35" t="s">
        <v>1449</v>
      </c>
      <c r="L4" s="35" t="s">
        <v>6611</v>
      </c>
      <c r="M4" s="39" t="str">
        <f>HYPERLINK("http://dx.doi.org/10.1124/dmd.120.000088","10.1124/dmd.120.000088")</f>
        <v>10.1124/dmd.120.000088</v>
      </c>
      <c r="N4" s="40" t="s">
        <v>1450</v>
      </c>
      <c r="O4" s="40" t="s">
        <v>802</v>
      </c>
      <c r="P4" s="40" t="s">
        <v>1451</v>
      </c>
      <c r="Q4" t="s">
        <v>316</v>
      </c>
    </row>
    <row r="5" spans="1:19" x14ac:dyDescent="0.25">
      <c r="A5" s="2" t="str">
        <f>HYPERLINK("https://www.ncbi.nlm.nih.gov/pubmed/31278966","31278966")</f>
        <v>31278966</v>
      </c>
      <c r="B5">
        <f t="shared" si="0"/>
        <v>23</v>
      </c>
      <c r="C5">
        <f t="shared" si="0"/>
        <v>0</v>
      </c>
      <c r="D5">
        <f t="shared" si="0"/>
        <v>0</v>
      </c>
      <c r="E5">
        <f t="shared" si="1"/>
        <v>23</v>
      </c>
      <c r="F5">
        <v>2019</v>
      </c>
      <c r="G5" t="s">
        <v>1934</v>
      </c>
      <c r="H5">
        <v>0</v>
      </c>
      <c r="I5" s="65">
        <v>0</v>
      </c>
      <c r="J5" t="s">
        <v>1935</v>
      </c>
      <c r="K5" s="35" t="s">
        <v>1936</v>
      </c>
      <c r="L5" s="35" t="s">
        <v>6671</v>
      </c>
      <c r="M5" s="39" t="str">
        <f>HYPERLINK("http://dx.doi.org/10.1016/j.toxlet.2019.07.005","10.1016/j.toxlet.2019.07.005")</f>
        <v>10.1016/j.toxlet.2019.07.005</v>
      </c>
      <c r="N5" s="40" t="s">
        <v>1937</v>
      </c>
      <c r="O5" s="40" t="s">
        <v>383</v>
      </c>
      <c r="P5" s="40" t="s">
        <v>1938</v>
      </c>
      <c r="Q5" t="s">
        <v>316</v>
      </c>
    </row>
    <row r="6" spans="1:19" x14ac:dyDescent="0.25">
      <c r="A6" s="2" t="str">
        <f>HYPERLINK("https://www.ncbi.nlm.nih.gov/pubmed/30718154","30718154")</f>
        <v>30718154</v>
      </c>
      <c r="B6">
        <f t="shared" si="0"/>
        <v>23</v>
      </c>
      <c r="C6">
        <f t="shared" si="0"/>
        <v>0</v>
      </c>
      <c r="D6">
        <f t="shared" si="0"/>
        <v>0</v>
      </c>
      <c r="E6">
        <f t="shared" si="1"/>
        <v>23</v>
      </c>
      <c r="F6">
        <v>2019</v>
      </c>
      <c r="G6" t="s">
        <v>2150</v>
      </c>
      <c r="H6">
        <v>0</v>
      </c>
      <c r="I6" s="65">
        <v>0</v>
      </c>
      <c r="J6" t="s">
        <v>2151</v>
      </c>
      <c r="K6" s="35" t="s">
        <v>1792</v>
      </c>
      <c r="L6" s="35" t="s">
        <v>6703</v>
      </c>
      <c r="M6" s="39" t="str">
        <f>HYPERLINK("http://dx.doi.org/10.1016/j.ijheh.2019.01.009","10.1016/j.ijheh.2019.01.009")</f>
        <v>10.1016/j.ijheh.2019.01.009</v>
      </c>
      <c r="N6" s="40" t="s">
        <v>2152</v>
      </c>
      <c r="O6" s="40" t="s">
        <v>750</v>
      </c>
      <c r="P6" s="40" t="s">
        <v>2153</v>
      </c>
      <c r="Q6" t="s">
        <v>316</v>
      </c>
    </row>
    <row r="7" spans="1:19" x14ac:dyDescent="0.25">
      <c r="A7" s="2" t="str">
        <f>HYPERLINK("https://www.ncbi.nlm.nih.gov/pubmed/27067106","27067106")</f>
        <v>27067106</v>
      </c>
      <c r="B7">
        <f t="shared" si="0"/>
        <v>23</v>
      </c>
      <c r="C7">
        <f t="shared" si="0"/>
        <v>0</v>
      </c>
      <c r="D7">
        <f t="shared" si="0"/>
        <v>0</v>
      </c>
      <c r="E7">
        <f t="shared" si="1"/>
        <v>23</v>
      </c>
      <c r="F7">
        <v>2016</v>
      </c>
      <c r="G7" t="s">
        <v>3171</v>
      </c>
      <c r="H7">
        <v>0</v>
      </c>
      <c r="I7" s="65">
        <v>0</v>
      </c>
      <c r="J7" t="s">
        <v>3172</v>
      </c>
      <c r="K7" s="35" t="s">
        <v>1936</v>
      </c>
      <c r="L7" s="35" t="s">
        <v>6877</v>
      </c>
      <c r="M7" s="39" t="str">
        <f>HYPERLINK("http://dx.doi.org/10.1016/j.toxlet.2016.04.005","10.1016/j.toxlet.2016.04.005")</f>
        <v>10.1016/j.toxlet.2016.04.005</v>
      </c>
      <c r="N7" s="40" t="s">
        <v>1573</v>
      </c>
      <c r="O7" s="40" t="s">
        <v>383</v>
      </c>
      <c r="P7" s="40" t="s">
        <v>3173</v>
      </c>
      <c r="Q7" t="s">
        <v>316</v>
      </c>
    </row>
    <row r="8" spans="1:19" x14ac:dyDescent="0.25">
      <c r="A8" s="2" t="str">
        <f>HYPERLINK("https://www.ncbi.nlm.nih.gov/pubmed/30521755","30521755")</f>
        <v>30521755</v>
      </c>
      <c r="B8">
        <f t="shared" si="0"/>
        <v>21</v>
      </c>
      <c r="C8">
        <f t="shared" si="0"/>
        <v>0</v>
      </c>
      <c r="D8">
        <f t="shared" si="0"/>
        <v>2</v>
      </c>
      <c r="E8">
        <f t="shared" si="1"/>
        <v>23</v>
      </c>
      <c r="F8">
        <v>2019</v>
      </c>
      <c r="G8" t="s">
        <v>2213</v>
      </c>
      <c r="H8">
        <v>0</v>
      </c>
      <c r="I8" s="64" t="str">
        <f>HYPERLINK("https://www.ncbi.nlm.nih.gov/research/pubtator/?view=docsum&amp;query=PMC7144541","1")</f>
        <v>1</v>
      </c>
      <c r="J8" t="s">
        <v>2215</v>
      </c>
      <c r="K8" s="35" t="s">
        <v>82</v>
      </c>
      <c r="L8" s="35" t="s">
        <v>2214</v>
      </c>
      <c r="M8" s="39" t="str">
        <f>HYPERLINK("http://dx.doi.org/10.1021/acs.analchem.8b04653","10.1021/acs.analchem.8b04653")</f>
        <v>10.1021/acs.analchem.8b04653</v>
      </c>
      <c r="N8" s="40" t="s">
        <v>2216</v>
      </c>
      <c r="O8" s="40" t="s">
        <v>744</v>
      </c>
      <c r="P8" s="40" t="s">
        <v>2217</v>
      </c>
      <c r="Q8" t="s">
        <v>316</v>
      </c>
    </row>
    <row r="9" spans="1:19" x14ac:dyDescent="0.25">
      <c r="A9" s="2" t="str">
        <f>HYPERLINK("https://www.ncbi.nlm.nih.gov/pubmed/21615307","21615307")</f>
        <v>21615307</v>
      </c>
      <c r="B9">
        <f t="shared" si="0"/>
        <v>21</v>
      </c>
      <c r="C9">
        <f t="shared" si="0"/>
        <v>0</v>
      </c>
      <c r="D9">
        <f t="shared" si="0"/>
        <v>0</v>
      </c>
      <c r="E9">
        <f t="shared" si="1"/>
        <v>21</v>
      </c>
      <c r="F9">
        <v>2011</v>
      </c>
      <c r="G9" t="s">
        <v>4648</v>
      </c>
      <c r="H9">
        <v>0</v>
      </c>
      <c r="I9" s="65">
        <v>0</v>
      </c>
      <c r="J9" t="s">
        <v>4649</v>
      </c>
      <c r="K9" s="35" t="s">
        <v>4650</v>
      </c>
      <c r="L9" s="35" t="s">
        <v>7083</v>
      </c>
      <c r="M9" s="39" t="str">
        <f>HYPERLINK("http://dx.doi.org/10.1089/thy.2010.0449","10.1089/thy.2010.0449")</f>
        <v>10.1089/thy.2010.0449</v>
      </c>
      <c r="N9" s="40" t="s">
        <v>1364</v>
      </c>
      <c r="O9" s="40" t="s">
        <v>748</v>
      </c>
      <c r="P9" s="40" t="s">
        <v>4651</v>
      </c>
      <c r="Q9" t="s">
        <v>316</v>
      </c>
    </row>
    <row r="10" spans="1:19" x14ac:dyDescent="0.25">
      <c r="A10" s="2" t="str">
        <f>HYPERLINK("https://www.ncbi.nlm.nih.gov/pubmed/19731660","19731660")</f>
        <v>19731660</v>
      </c>
      <c r="B10">
        <f t="shared" si="0"/>
        <v>21</v>
      </c>
      <c r="C10">
        <f t="shared" si="0"/>
        <v>0</v>
      </c>
      <c r="D10">
        <f t="shared" si="0"/>
        <v>0</v>
      </c>
      <c r="E10">
        <f t="shared" si="1"/>
        <v>21</v>
      </c>
      <c r="F10">
        <v>2009</v>
      </c>
      <c r="G10" t="s">
        <v>5057</v>
      </c>
      <c r="H10">
        <v>0</v>
      </c>
      <c r="I10" s="65">
        <v>0</v>
      </c>
      <c r="J10" t="s">
        <v>5059</v>
      </c>
      <c r="K10" s="35" t="s">
        <v>1058</v>
      </c>
      <c r="L10" s="35" t="s">
        <v>5058</v>
      </c>
      <c r="M10" s="39" t="str">
        <f>HYPERLINK("http://dx.doi.org/10.1021/es901292a","10.1021/es901292a")</f>
        <v>10.1021/es901292a</v>
      </c>
      <c r="N10" s="40" t="s">
        <v>1279</v>
      </c>
      <c r="O10" s="40" t="s">
        <v>929</v>
      </c>
      <c r="P10" s="40" t="s">
        <v>5060</v>
      </c>
      <c r="Q10" t="s">
        <v>316</v>
      </c>
    </row>
    <row r="11" spans="1:19" x14ac:dyDescent="0.25">
      <c r="A11" s="2" t="str">
        <f>HYPERLINK("https://www.ncbi.nlm.nih.gov/pubmed/12442503","12442503")</f>
        <v>12442503</v>
      </c>
      <c r="B11">
        <f t="shared" si="0"/>
        <v>21</v>
      </c>
      <c r="C11">
        <f t="shared" si="0"/>
        <v>4</v>
      </c>
      <c r="D11">
        <f t="shared" si="0"/>
        <v>0</v>
      </c>
      <c r="E11">
        <f t="shared" si="1"/>
        <v>25</v>
      </c>
      <c r="F11">
        <v>2003</v>
      </c>
      <c r="G11" t="s">
        <v>6115</v>
      </c>
      <c r="H11">
        <v>1</v>
      </c>
      <c r="I11" s="65">
        <v>0</v>
      </c>
      <c r="J11" t="s">
        <v>6116</v>
      </c>
      <c r="K11" s="35" t="s">
        <v>6117</v>
      </c>
      <c r="L11" s="35" t="s">
        <v>7234</v>
      </c>
      <c r="M11" s="39" t="str">
        <f>HYPERLINK("http://dx.doi.org/10.1007/978-1-4899-7283-5_1","10.1007/978-1-4899-7283-5_1")</f>
        <v>10.1007/978-1-4899-7283-5_1</v>
      </c>
      <c r="N11" s="40" t="s">
        <v>904</v>
      </c>
      <c r="O11" s="40" t="s">
        <v>383</v>
      </c>
      <c r="P11" s="40" t="s">
        <v>6118</v>
      </c>
      <c r="Q11" t="s">
        <v>316</v>
      </c>
    </row>
    <row r="12" spans="1:19" x14ac:dyDescent="0.25">
      <c r="A12" s="2" t="str">
        <f>HYPERLINK("https://www.ncbi.nlm.nih.gov/pubmed/27037470","27037470")</f>
        <v>27037470</v>
      </c>
      <c r="B12">
        <f t="shared" si="0"/>
        <v>20</v>
      </c>
      <c r="C12">
        <f t="shared" si="0"/>
        <v>0</v>
      </c>
      <c r="D12">
        <f t="shared" si="0"/>
        <v>0</v>
      </c>
      <c r="E12">
        <f t="shared" si="1"/>
        <v>20</v>
      </c>
      <c r="F12">
        <v>2016</v>
      </c>
      <c r="G12" t="s">
        <v>3178</v>
      </c>
      <c r="H12">
        <v>0</v>
      </c>
      <c r="I12" s="65">
        <v>0</v>
      </c>
      <c r="J12" t="s">
        <v>3180</v>
      </c>
      <c r="K12" s="35" t="s">
        <v>768</v>
      </c>
      <c r="L12" s="35" t="s">
        <v>3179</v>
      </c>
      <c r="M12" s="39" t="str">
        <f>HYPERLINK("http://dx.doi.org/10.1016/j.jhazmat.2016.03.063","10.1016/j.jhazmat.2016.03.063")</f>
        <v>10.1016/j.jhazmat.2016.03.063</v>
      </c>
      <c r="N12" s="40" t="s">
        <v>3181</v>
      </c>
      <c r="O12" s="40" t="s">
        <v>383</v>
      </c>
      <c r="P12" s="40" t="s">
        <v>3182</v>
      </c>
      <c r="Q12" t="s">
        <v>316</v>
      </c>
    </row>
    <row r="13" spans="1:19" x14ac:dyDescent="0.25">
      <c r="A13" s="2" t="str">
        <f>HYPERLINK("https://www.ncbi.nlm.nih.gov/pubmed/22447239","22447239")</f>
        <v>22447239</v>
      </c>
      <c r="B13">
        <f t="shared" si="0"/>
        <v>20</v>
      </c>
      <c r="C13">
        <f t="shared" si="0"/>
        <v>0</v>
      </c>
      <c r="D13">
        <f t="shared" si="0"/>
        <v>0</v>
      </c>
      <c r="E13">
        <f t="shared" si="1"/>
        <v>20</v>
      </c>
      <c r="F13">
        <v>2012</v>
      </c>
      <c r="G13" t="s">
        <v>4441</v>
      </c>
      <c r="H13">
        <v>0</v>
      </c>
      <c r="I13" s="65">
        <v>0</v>
      </c>
      <c r="J13" t="s">
        <v>4442</v>
      </c>
      <c r="K13" s="35" t="s">
        <v>4443</v>
      </c>
      <c r="L13" s="35" t="s">
        <v>7049</v>
      </c>
      <c r="M13" s="39" t="str">
        <f>HYPERLINK("http://dx.doi.org/10.1093/toxsci/kfs094","10.1093/toxsci/kfs094")</f>
        <v>10.1093/toxsci/kfs094</v>
      </c>
      <c r="N13" s="40" t="s">
        <v>1063</v>
      </c>
      <c r="O13" s="40" t="s">
        <v>638</v>
      </c>
      <c r="P13" s="40" t="s">
        <v>4444</v>
      </c>
      <c r="Q13" t="s">
        <v>316</v>
      </c>
    </row>
    <row r="14" spans="1:19" x14ac:dyDescent="0.25">
      <c r="A14" s="2" t="str">
        <f>HYPERLINK("https://www.ncbi.nlm.nih.gov/pubmed/18200855","18200855")</f>
        <v>18200855</v>
      </c>
      <c r="B14">
        <f t="shared" si="0"/>
        <v>20</v>
      </c>
      <c r="C14">
        <f t="shared" si="0"/>
        <v>0</v>
      </c>
      <c r="D14">
        <f t="shared" si="0"/>
        <v>0</v>
      </c>
      <c r="E14">
        <f t="shared" si="1"/>
        <v>20</v>
      </c>
      <c r="F14">
        <v>2007</v>
      </c>
      <c r="G14" t="s">
        <v>5368</v>
      </c>
      <c r="H14">
        <v>0</v>
      </c>
      <c r="I14" s="65">
        <v>0</v>
      </c>
      <c r="J14" t="s">
        <v>5369</v>
      </c>
      <c r="K14" s="35" t="s">
        <v>1058</v>
      </c>
      <c r="L14" s="35" t="s">
        <v>7142</v>
      </c>
      <c r="M14" s="39" t="str">
        <f>HYPERLINK("http://dx.doi.org/10.1021/es071409s","10.1021/es071409s")</f>
        <v>10.1021/es071409s</v>
      </c>
      <c r="N14" s="40" t="s">
        <v>1104</v>
      </c>
      <c r="O14" s="40" t="s">
        <v>1188</v>
      </c>
      <c r="P14" s="40" t="s">
        <v>5370</v>
      </c>
      <c r="Q14" t="s">
        <v>316</v>
      </c>
    </row>
    <row r="15" spans="1:19" x14ac:dyDescent="0.25">
      <c r="A15" s="2" t="str">
        <f>HYPERLINK("https://www.ncbi.nlm.nih.gov/pubmed/27614034","27614034")</f>
        <v>27614034</v>
      </c>
      <c r="B15">
        <f t="shared" si="0"/>
        <v>19</v>
      </c>
      <c r="C15">
        <f t="shared" si="0"/>
        <v>0</v>
      </c>
      <c r="D15">
        <f t="shared" si="0"/>
        <v>0</v>
      </c>
      <c r="E15">
        <f t="shared" si="1"/>
        <v>19</v>
      </c>
      <c r="F15">
        <v>2016</v>
      </c>
      <c r="G15" t="s">
        <v>3016</v>
      </c>
      <c r="H15">
        <v>0</v>
      </c>
      <c r="I15" s="65">
        <v>0</v>
      </c>
      <c r="J15" t="s">
        <v>3017</v>
      </c>
      <c r="K15" s="35" t="s">
        <v>1289</v>
      </c>
      <c r="L15" s="35" t="s">
        <v>6851</v>
      </c>
      <c r="M15" s="39" t="str">
        <f>HYPERLINK("http://dx.doi.org/10.1016/j.watres.2016.08.063","10.1016/j.watres.2016.08.063")</f>
        <v>10.1016/j.watres.2016.08.063</v>
      </c>
      <c r="N15" s="40" t="s">
        <v>3018</v>
      </c>
      <c r="O15" s="40" t="s">
        <v>383</v>
      </c>
      <c r="P15" s="40" t="s">
        <v>3019</v>
      </c>
      <c r="Q15" t="s">
        <v>316</v>
      </c>
    </row>
    <row r="16" spans="1:19" x14ac:dyDescent="0.25">
      <c r="A16" s="2" t="str">
        <f>HYPERLINK("https://www.ncbi.nlm.nih.gov/pubmed/15135087","15135087")</f>
        <v>15135087</v>
      </c>
      <c r="B16">
        <f t="shared" si="0"/>
        <v>19</v>
      </c>
      <c r="C16">
        <f t="shared" si="0"/>
        <v>2</v>
      </c>
      <c r="D16">
        <f t="shared" si="0"/>
        <v>0</v>
      </c>
      <c r="E16">
        <f t="shared" si="1"/>
        <v>21</v>
      </c>
      <c r="F16">
        <v>2004</v>
      </c>
      <c r="G16" t="s">
        <v>5954</v>
      </c>
      <c r="H16">
        <v>0</v>
      </c>
      <c r="I16" s="65">
        <v>0</v>
      </c>
      <c r="J16" t="s">
        <v>5955</v>
      </c>
      <c r="K16" s="35" t="s">
        <v>5552</v>
      </c>
      <c r="L16" s="35" t="s">
        <v>7216</v>
      </c>
      <c r="M16" s="39" t="str">
        <f>HYPERLINK("http://dx.doi.org/10.1016/j.cbi.2004.03.002","10.1016/j.cbi.2004.03.002")</f>
        <v>10.1016/j.cbi.2004.03.002</v>
      </c>
      <c r="N16" s="40" t="s">
        <v>5956</v>
      </c>
      <c r="O16" s="40" t="s">
        <v>750</v>
      </c>
      <c r="P16" s="40" t="s">
        <v>5957</v>
      </c>
      <c r="Q16" t="s">
        <v>316</v>
      </c>
    </row>
    <row r="17" spans="1:17" x14ac:dyDescent="0.25">
      <c r="A17" s="2" t="str">
        <f>HYPERLINK("https://www.ncbi.nlm.nih.gov/pubmed/33993965","33993965")</f>
        <v>33993965</v>
      </c>
      <c r="B17">
        <f t="shared" si="0"/>
        <v>18</v>
      </c>
      <c r="C17">
        <f t="shared" si="0"/>
        <v>0</v>
      </c>
      <c r="D17">
        <f t="shared" si="0"/>
        <v>0</v>
      </c>
      <c r="E17">
        <f t="shared" si="1"/>
        <v>18</v>
      </c>
      <c r="F17">
        <v>2021</v>
      </c>
      <c r="G17" t="s">
        <v>956</v>
      </c>
      <c r="H17">
        <v>0</v>
      </c>
      <c r="I17" s="65">
        <v>0</v>
      </c>
      <c r="J17" t="s">
        <v>957</v>
      </c>
      <c r="K17" s="35" t="s">
        <v>831</v>
      </c>
      <c r="L17" s="35" t="s">
        <v>6546</v>
      </c>
      <c r="M17" s="39" t="str">
        <f>HYPERLINK("http://dx.doi.org/10.1016/j.pestbp.2021.104847","10.1016/j.pestbp.2021.104847")</f>
        <v>10.1016/j.pestbp.2021.104847</v>
      </c>
      <c r="N17" s="40" t="s">
        <v>958</v>
      </c>
      <c r="O17" s="40" t="s">
        <v>383</v>
      </c>
      <c r="P17" s="40" t="s">
        <v>959</v>
      </c>
      <c r="Q17" t="s">
        <v>316</v>
      </c>
    </row>
    <row r="18" spans="1:17" x14ac:dyDescent="0.25">
      <c r="A18" s="2" t="str">
        <f>HYPERLINK("https://www.ncbi.nlm.nih.gov/pubmed/22045597","22045597")</f>
        <v>22045597</v>
      </c>
      <c r="B18">
        <f t="shared" si="0"/>
        <v>18</v>
      </c>
      <c r="C18">
        <f t="shared" si="0"/>
        <v>0</v>
      </c>
      <c r="D18">
        <f t="shared" si="0"/>
        <v>0</v>
      </c>
      <c r="E18">
        <f t="shared" si="1"/>
        <v>18</v>
      </c>
      <c r="F18">
        <v>2012</v>
      </c>
      <c r="G18" t="s">
        <v>4533</v>
      </c>
      <c r="H18">
        <v>0</v>
      </c>
      <c r="I18" s="65">
        <v>0</v>
      </c>
      <c r="J18" t="s">
        <v>4535</v>
      </c>
      <c r="K18" s="35" t="s">
        <v>968</v>
      </c>
      <c r="L18" s="35" t="s">
        <v>4534</v>
      </c>
      <c r="M18" s="39" t="str">
        <f>HYPERLINK("http://dx.doi.org/10.1002/ps.2320","10.1002/ps.2320")</f>
        <v>10.1002/ps.2320</v>
      </c>
      <c r="N18" s="40" t="s">
        <v>1200</v>
      </c>
      <c r="O18" s="40" t="s">
        <v>746</v>
      </c>
      <c r="P18" s="40" t="s">
        <v>4536</v>
      </c>
      <c r="Q18" t="s">
        <v>316</v>
      </c>
    </row>
    <row r="19" spans="1:17" x14ac:dyDescent="0.25">
      <c r="A19" s="2" t="str">
        <f>HYPERLINK("https://www.ncbi.nlm.nih.gov/pubmed/9860498","9860498")</f>
        <v>9860498</v>
      </c>
      <c r="B19">
        <f t="shared" si="0"/>
        <v>18</v>
      </c>
      <c r="C19">
        <f t="shared" si="0"/>
        <v>0</v>
      </c>
      <c r="D19">
        <f t="shared" si="0"/>
        <v>0</v>
      </c>
      <c r="E19">
        <f t="shared" si="1"/>
        <v>18</v>
      </c>
      <c r="F19">
        <v>1998</v>
      </c>
      <c r="G19" t="s">
        <v>6410</v>
      </c>
      <c r="H19">
        <v>0</v>
      </c>
      <c r="I19" s="65">
        <v>0</v>
      </c>
      <c r="J19" t="s">
        <v>6411</v>
      </c>
      <c r="K19" s="35" t="s">
        <v>6412</v>
      </c>
      <c r="L19" s="35" t="s">
        <v>7263</v>
      </c>
      <c r="M19" s="39" t="str">
        <f>HYPERLINK("http://dx.doi.org/10.1021/tx980157t","10.1021/tx980157t")</f>
        <v>10.1021/tx980157t</v>
      </c>
      <c r="N19" s="40" t="s">
        <v>678</v>
      </c>
      <c r="O19" s="40" t="s">
        <v>915</v>
      </c>
      <c r="P19" s="40" t="s">
        <v>6413</v>
      </c>
      <c r="Q19" t="s">
        <v>316</v>
      </c>
    </row>
    <row r="20" spans="1:17" x14ac:dyDescent="0.25">
      <c r="A20" s="2" t="str">
        <f>HYPERLINK("https://www.ncbi.nlm.nih.gov/pubmed/30077901","30077901")</f>
        <v>30077901</v>
      </c>
      <c r="B20">
        <f t="shared" si="0"/>
        <v>17</v>
      </c>
      <c r="C20">
        <f t="shared" si="0"/>
        <v>3</v>
      </c>
      <c r="D20">
        <f t="shared" si="0"/>
        <v>0</v>
      </c>
      <c r="E20">
        <f t="shared" si="1"/>
        <v>20</v>
      </c>
      <c r="F20">
        <v>2018</v>
      </c>
      <c r="G20" t="s">
        <v>2370</v>
      </c>
      <c r="H20">
        <v>0</v>
      </c>
      <c r="I20" s="65">
        <v>0</v>
      </c>
      <c r="J20" t="s">
        <v>2371</v>
      </c>
      <c r="K20" s="35" t="s">
        <v>1530</v>
      </c>
      <c r="L20" s="35" t="s">
        <v>6736</v>
      </c>
      <c r="M20" s="39" t="str">
        <f>HYPERLINK("http://dx.doi.org/10.1016/j.etap.2018.07.011","10.1016/j.etap.2018.07.011")</f>
        <v>10.1016/j.etap.2018.07.011</v>
      </c>
      <c r="N20" s="40" t="s">
        <v>2372</v>
      </c>
      <c r="O20" s="40" t="s">
        <v>383</v>
      </c>
      <c r="P20" s="40" t="s">
        <v>2373</v>
      </c>
      <c r="Q20" t="s">
        <v>316</v>
      </c>
    </row>
    <row r="21" spans="1:17" x14ac:dyDescent="0.25">
      <c r="A21" s="2" t="str">
        <f>HYPERLINK("https://www.ncbi.nlm.nih.gov/pubmed/29037000","29037000")</f>
        <v>29037000</v>
      </c>
      <c r="B21">
        <f t="shared" si="0"/>
        <v>17</v>
      </c>
      <c r="C21">
        <f t="shared" si="0"/>
        <v>0</v>
      </c>
      <c r="D21">
        <f t="shared" si="0"/>
        <v>0</v>
      </c>
      <c r="E21">
        <f t="shared" si="1"/>
        <v>17</v>
      </c>
      <c r="F21">
        <v>2017</v>
      </c>
      <c r="G21" t="s">
        <v>2654</v>
      </c>
      <c r="H21">
        <v>0</v>
      </c>
      <c r="I21" s="65">
        <v>0</v>
      </c>
      <c r="J21" t="s">
        <v>2655</v>
      </c>
      <c r="K21" s="35" t="s">
        <v>1729</v>
      </c>
      <c r="L21" s="35" t="s">
        <v>6786</v>
      </c>
      <c r="M21" s="39" t="str">
        <f>HYPERLINK("http://dx.doi.org/10.3760/cma.j.issn.0253-9624.2017.10.015","10.3760/cma.j.issn.0253-9624.2017.10.015")</f>
        <v>10.3760/cma.j.issn.0253-9624.2017.10.015</v>
      </c>
      <c r="N21" s="40" t="s">
        <v>1780</v>
      </c>
      <c r="O21" s="40" t="s">
        <v>802</v>
      </c>
      <c r="P21" s="40" t="s">
        <v>2656</v>
      </c>
      <c r="Q21" t="s">
        <v>316</v>
      </c>
    </row>
    <row r="22" spans="1:17" x14ac:dyDescent="0.25">
      <c r="A22" s="2" t="str">
        <f>HYPERLINK("https://www.ncbi.nlm.nih.gov/pubmed/28343720","28343720")</f>
        <v>28343720</v>
      </c>
      <c r="B22">
        <f t="shared" si="0"/>
        <v>17</v>
      </c>
      <c r="C22">
        <f t="shared" si="0"/>
        <v>0</v>
      </c>
      <c r="D22">
        <f t="shared" si="0"/>
        <v>0</v>
      </c>
      <c r="E22">
        <f t="shared" si="1"/>
        <v>17</v>
      </c>
      <c r="F22">
        <v>2017</v>
      </c>
      <c r="G22" t="s">
        <v>2835</v>
      </c>
      <c r="H22">
        <v>0</v>
      </c>
      <c r="I22" s="64" t="str">
        <f>HYPERLINK("https://www.ncbi.nlm.nih.gov/research/pubtator/?view=docsum&amp;query=PMC5432128","1")</f>
        <v>1</v>
      </c>
      <c r="J22" t="s">
        <v>2837</v>
      </c>
      <c r="K22" s="35" t="s">
        <v>1734</v>
      </c>
      <c r="L22" s="35" t="s">
        <v>2836</v>
      </c>
      <c r="M22" s="39" t="str">
        <f>HYPERLINK("http://dx.doi.org/10.1016/j.envint.2017.03.012","10.1016/j.envint.2017.03.012")</f>
        <v>10.1016/j.envint.2017.03.012</v>
      </c>
      <c r="N22" s="40" t="s">
        <v>2838</v>
      </c>
      <c r="O22" s="40" t="s">
        <v>383</v>
      </c>
      <c r="P22" s="40" t="s">
        <v>2839</v>
      </c>
      <c r="Q22" t="s">
        <v>316</v>
      </c>
    </row>
    <row r="23" spans="1:17" x14ac:dyDescent="0.25">
      <c r="A23" s="2" t="str">
        <f>HYPERLINK("https://www.ncbi.nlm.nih.gov/pubmed/28282622","28282622")</f>
        <v>28282622</v>
      </c>
      <c r="B23">
        <f t="shared" si="0"/>
        <v>17</v>
      </c>
      <c r="C23">
        <f t="shared" si="0"/>
        <v>0</v>
      </c>
      <c r="D23">
        <f t="shared" si="0"/>
        <v>0</v>
      </c>
      <c r="E23">
        <f t="shared" si="1"/>
        <v>17</v>
      </c>
      <c r="F23">
        <v>2017</v>
      </c>
      <c r="G23" t="s">
        <v>2861</v>
      </c>
      <c r="H23">
        <v>0</v>
      </c>
      <c r="I23" s="65">
        <v>0</v>
      </c>
      <c r="J23" t="s">
        <v>2862</v>
      </c>
      <c r="K23" s="35" t="s">
        <v>763</v>
      </c>
      <c r="L23" s="35" t="s">
        <v>6822</v>
      </c>
      <c r="M23" s="39" t="str">
        <f>HYPERLINK("http://dx.doi.org/10.1016/j.aquatox.2017.02.027","10.1016/j.aquatox.2017.02.027")</f>
        <v>10.1016/j.aquatox.2017.02.027</v>
      </c>
      <c r="N23" s="40" t="s">
        <v>2863</v>
      </c>
      <c r="O23" s="40" t="s">
        <v>383</v>
      </c>
      <c r="P23" s="40" t="s">
        <v>2864</v>
      </c>
      <c r="Q23" t="s">
        <v>316</v>
      </c>
    </row>
    <row r="24" spans="1:17" x14ac:dyDescent="0.25">
      <c r="A24" s="2" t="str">
        <f>HYPERLINK("https://www.ncbi.nlm.nih.gov/pubmed/25747373","25747373")</f>
        <v>25747373</v>
      </c>
      <c r="B24">
        <f t="shared" ref="B24:D43" si="2">IF(ISBLANK(B$3),0,(LEN($L24) - LEN(SUBSTITUTE(LOWER($L24),LOWER(B$3),"")))/LEN(B$3))</f>
        <v>17</v>
      </c>
      <c r="C24">
        <f t="shared" si="2"/>
        <v>0</v>
      </c>
      <c r="D24">
        <f t="shared" si="2"/>
        <v>0</v>
      </c>
      <c r="E24">
        <f t="shared" si="1"/>
        <v>17</v>
      </c>
      <c r="F24">
        <v>2015</v>
      </c>
      <c r="G24" t="s">
        <v>3564</v>
      </c>
      <c r="H24">
        <v>0</v>
      </c>
      <c r="I24" s="65">
        <v>0</v>
      </c>
      <c r="J24" t="s">
        <v>3565</v>
      </c>
      <c r="K24" s="35" t="s">
        <v>670</v>
      </c>
      <c r="L24" s="35" t="s">
        <v>6934</v>
      </c>
      <c r="M24" s="39" t="str">
        <f>HYPERLINK("http://dx.doi.org/10.1016/j.scitotenv.2014.12.103","10.1016/j.scitotenv.2014.12.103")</f>
        <v>10.1016/j.scitotenv.2014.12.103</v>
      </c>
      <c r="N24" s="40" t="s">
        <v>3566</v>
      </c>
      <c r="O24" s="40" t="s">
        <v>383</v>
      </c>
      <c r="P24" s="40" t="s">
        <v>3567</v>
      </c>
      <c r="Q24" t="s">
        <v>316</v>
      </c>
    </row>
    <row r="25" spans="1:17" x14ac:dyDescent="0.25">
      <c r="A25" s="2" t="str">
        <f>HYPERLINK("https://www.ncbi.nlm.nih.gov/pubmed/24899256","24899256")</f>
        <v>24899256</v>
      </c>
      <c r="B25">
        <f t="shared" si="2"/>
        <v>17</v>
      </c>
      <c r="C25">
        <f t="shared" si="2"/>
        <v>0</v>
      </c>
      <c r="D25">
        <f t="shared" si="2"/>
        <v>0</v>
      </c>
      <c r="E25">
        <f t="shared" si="1"/>
        <v>17</v>
      </c>
      <c r="F25">
        <v>2015</v>
      </c>
      <c r="G25" t="s">
        <v>3834</v>
      </c>
      <c r="H25">
        <v>0</v>
      </c>
      <c r="I25" s="65">
        <v>0</v>
      </c>
      <c r="J25" t="s">
        <v>3835</v>
      </c>
      <c r="K25" s="35" t="s">
        <v>968</v>
      </c>
      <c r="L25" s="35" t="s">
        <v>6973</v>
      </c>
      <c r="M25" s="39" t="str">
        <f>HYPERLINK("http://dx.doi.org/10.1002/ps.3841","10.1002/ps.3841")</f>
        <v>10.1002/ps.3841</v>
      </c>
      <c r="N25" s="40" t="s">
        <v>3255</v>
      </c>
      <c r="O25" s="40" t="s">
        <v>690</v>
      </c>
      <c r="P25" s="40" t="s">
        <v>3836</v>
      </c>
      <c r="Q25" t="s">
        <v>316</v>
      </c>
    </row>
    <row r="26" spans="1:17" x14ac:dyDescent="0.25">
      <c r="A26" s="2" t="str">
        <f>HYPERLINK("https://www.ncbi.nlm.nih.gov/pubmed/24332735","24332735")</f>
        <v>24332735</v>
      </c>
      <c r="B26">
        <f t="shared" si="2"/>
        <v>17</v>
      </c>
      <c r="C26">
        <f t="shared" si="2"/>
        <v>3</v>
      </c>
      <c r="D26">
        <f t="shared" si="2"/>
        <v>0</v>
      </c>
      <c r="E26">
        <f t="shared" si="1"/>
        <v>20</v>
      </c>
      <c r="F26">
        <v>2014</v>
      </c>
      <c r="G26" t="s">
        <v>4044</v>
      </c>
      <c r="H26">
        <v>0</v>
      </c>
      <c r="I26" s="65">
        <v>0</v>
      </c>
      <c r="J26" t="s">
        <v>4046</v>
      </c>
      <c r="K26" s="35" t="s">
        <v>822</v>
      </c>
      <c r="L26" s="35" t="s">
        <v>4045</v>
      </c>
      <c r="M26" s="39" t="str">
        <f>HYPERLINK("http://dx.doi.org/10.1016/j.chemosphere.2013.11.043","10.1016/j.chemosphere.2013.11.043")</f>
        <v>10.1016/j.chemosphere.2013.11.043</v>
      </c>
      <c r="N26" s="40" t="s">
        <v>2872</v>
      </c>
      <c r="O26" s="40" t="s">
        <v>383</v>
      </c>
      <c r="P26" s="40" t="s">
        <v>4047</v>
      </c>
      <c r="Q26" t="s">
        <v>316</v>
      </c>
    </row>
    <row r="27" spans="1:17" x14ac:dyDescent="0.25">
      <c r="A27" s="2" t="str">
        <f>HYPERLINK("https://www.ncbi.nlm.nih.gov/pubmed/19576615","19576615")</f>
        <v>19576615</v>
      </c>
      <c r="B27">
        <f t="shared" si="2"/>
        <v>17</v>
      </c>
      <c r="C27">
        <f t="shared" si="2"/>
        <v>0</v>
      </c>
      <c r="D27">
        <f t="shared" si="2"/>
        <v>0</v>
      </c>
      <c r="E27">
        <f t="shared" si="1"/>
        <v>17</v>
      </c>
      <c r="F27">
        <v>2009</v>
      </c>
      <c r="G27" t="s">
        <v>5091</v>
      </c>
      <c r="H27">
        <v>0</v>
      </c>
      <c r="I27" s="65">
        <v>0</v>
      </c>
      <c r="J27" t="s">
        <v>5093</v>
      </c>
      <c r="K27" s="35" t="s">
        <v>822</v>
      </c>
      <c r="L27" s="35" t="s">
        <v>5092</v>
      </c>
      <c r="M27" s="39" t="str">
        <f>HYPERLINK("http://dx.doi.org/10.1016/j.chemosphere.2009.06.019","10.1016/j.chemosphere.2009.06.019")</f>
        <v>10.1016/j.chemosphere.2009.06.019</v>
      </c>
      <c r="N27" s="40" t="s">
        <v>1074</v>
      </c>
      <c r="O27" s="40" t="s">
        <v>638</v>
      </c>
      <c r="P27" s="40" t="s">
        <v>5094</v>
      </c>
      <c r="Q27" t="s">
        <v>316</v>
      </c>
    </row>
    <row r="28" spans="1:17" x14ac:dyDescent="0.25">
      <c r="A28" s="2" t="str">
        <f>HYPERLINK("https://www.ncbi.nlm.nih.gov/pubmed/19215184","19215184")</f>
        <v>19215184</v>
      </c>
      <c r="B28">
        <f t="shared" si="2"/>
        <v>17</v>
      </c>
      <c r="C28">
        <f t="shared" si="2"/>
        <v>0</v>
      </c>
      <c r="D28">
        <f t="shared" si="2"/>
        <v>0</v>
      </c>
      <c r="E28">
        <f t="shared" si="1"/>
        <v>17</v>
      </c>
      <c r="F28">
        <v>2009</v>
      </c>
      <c r="G28" t="s">
        <v>5173</v>
      </c>
      <c r="H28">
        <v>0</v>
      </c>
      <c r="I28" s="65">
        <v>0</v>
      </c>
      <c r="J28" t="s">
        <v>5175</v>
      </c>
      <c r="K28" s="35" t="s">
        <v>755</v>
      </c>
      <c r="L28" s="35" t="s">
        <v>5174</v>
      </c>
      <c r="M28" s="39" t="str">
        <f>HYPERLINK("http://dx.doi.org/10.1897/08-457.1","10.1897/08-457.1")</f>
        <v>10.1897/08-457.1</v>
      </c>
      <c r="N28" s="40" t="s">
        <v>731</v>
      </c>
      <c r="O28" s="40" t="s">
        <v>748</v>
      </c>
      <c r="P28" s="40" t="s">
        <v>5176</v>
      </c>
      <c r="Q28" t="s">
        <v>316</v>
      </c>
    </row>
    <row r="29" spans="1:17" x14ac:dyDescent="0.25">
      <c r="A29" s="2" t="str">
        <f>HYPERLINK("https://www.ncbi.nlm.nih.gov/pubmed/31785119","31785119")</f>
        <v>31785119</v>
      </c>
      <c r="B29">
        <f t="shared" si="2"/>
        <v>16</v>
      </c>
      <c r="C29">
        <f t="shared" si="2"/>
        <v>0</v>
      </c>
      <c r="D29">
        <f t="shared" si="2"/>
        <v>0</v>
      </c>
      <c r="E29">
        <f t="shared" si="1"/>
        <v>16</v>
      </c>
      <c r="F29">
        <v>2020</v>
      </c>
      <c r="G29" t="s">
        <v>1737</v>
      </c>
      <c r="H29">
        <v>0</v>
      </c>
      <c r="I29" s="65">
        <v>0</v>
      </c>
      <c r="J29" t="s">
        <v>1739</v>
      </c>
      <c r="K29" s="35" t="s">
        <v>1740</v>
      </c>
      <c r="L29" s="35" t="s">
        <v>1738</v>
      </c>
      <c r="M29" s="39" t="str">
        <f>HYPERLINK("http://dx.doi.org/10.1002/elps.201900291","10.1002/elps.201900291")</f>
        <v>10.1002/elps.201900291</v>
      </c>
      <c r="N29" s="40" t="s">
        <v>1104</v>
      </c>
      <c r="O29" s="40" t="s">
        <v>1741</v>
      </c>
      <c r="P29" s="40" t="s">
        <v>1742</v>
      </c>
      <c r="Q29" t="s">
        <v>316</v>
      </c>
    </row>
    <row r="30" spans="1:17" x14ac:dyDescent="0.25">
      <c r="A30" s="2" t="str">
        <f>HYPERLINK("https://www.ncbi.nlm.nih.gov/pubmed/30959300","30959300")</f>
        <v>30959300</v>
      </c>
      <c r="B30">
        <f t="shared" si="2"/>
        <v>16</v>
      </c>
      <c r="C30">
        <f t="shared" si="2"/>
        <v>0</v>
      </c>
      <c r="D30">
        <f t="shared" si="2"/>
        <v>0</v>
      </c>
      <c r="E30">
        <f t="shared" si="1"/>
        <v>16</v>
      </c>
      <c r="F30">
        <v>2019</v>
      </c>
      <c r="G30" t="s">
        <v>2066</v>
      </c>
      <c r="H30">
        <v>0</v>
      </c>
      <c r="I30" s="65">
        <v>0</v>
      </c>
      <c r="J30" t="s">
        <v>2067</v>
      </c>
      <c r="K30" s="35" t="s">
        <v>670</v>
      </c>
      <c r="L30" s="35" t="s">
        <v>6690</v>
      </c>
      <c r="M30" s="39" t="str">
        <f>HYPERLINK("http://dx.doi.org/10.1016/j.scitotenv.2019.03.490","10.1016/j.scitotenv.2019.03.490")</f>
        <v>10.1016/j.scitotenv.2019.03.490</v>
      </c>
      <c r="N30" s="40" t="s">
        <v>2068</v>
      </c>
      <c r="O30" s="40" t="s">
        <v>383</v>
      </c>
      <c r="P30" s="40" t="s">
        <v>2069</v>
      </c>
      <c r="Q30" t="s">
        <v>316</v>
      </c>
    </row>
    <row r="31" spans="1:17" x14ac:dyDescent="0.25">
      <c r="A31" s="2" t="str">
        <f>HYPERLINK("https://www.ncbi.nlm.nih.gov/pubmed/30857632","30857632")</f>
        <v>30857632</v>
      </c>
      <c r="B31">
        <f t="shared" si="2"/>
        <v>16</v>
      </c>
      <c r="C31">
        <f t="shared" si="2"/>
        <v>0</v>
      </c>
      <c r="D31">
        <f t="shared" si="2"/>
        <v>0</v>
      </c>
      <c r="E31">
        <f t="shared" si="1"/>
        <v>16</v>
      </c>
      <c r="F31">
        <v>2019</v>
      </c>
      <c r="G31" t="s">
        <v>2120</v>
      </c>
      <c r="H31">
        <v>0</v>
      </c>
      <c r="I31" s="65">
        <v>0</v>
      </c>
      <c r="J31" t="s">
        <v>2122</v>
      </c>
      <c r="K31" s="35" t="s">
        <v>831</v>
      </c>
      <c r="L31" s="35" t="s">
        <v>2121</v>
      </c>
      <c r="M31" s="39" t="str">
        <f>HYPERLINK("http://dx.doi.org/10.1016/j.pestbp.2019.01.011","10.1016/j.pestbp.2019.01.011")</f>
        <v>10.1016/j.pestbp.2019.01.011</v>
      </c>
      <c r="N31" s="40" t="s">
        <v>2113</v>
      </c>
      <c r="O31" s="40" t="s">
        <v>383</v>
      </c>
      <c r="P31" s="40" t="s">
        <v>2123</v>
      </c>
      <c r="Q31" t="s">
        <v>316</v>
      </c>
    </row>
    <row r="32" spans="1:17" x14ac:dyDescent="0.25">
      <c r="A32" s="2" t="str">
        <f>HYPERLINK("https://www.ncbi.nlm.nih.gov/pubmed/18977275","18977275")</f>
        <v>18977275</v>
      </c>
      <c r="B32">
        <f t="shared" si="2"/>
        <v>16</v>
      </c>
      <c r="C32">
        <f t="shared" si="2"/>
        <v>1</v>
      </c>
      <c r="D32">
        <f t="shared" si="2"/>
        <v>0</v>
      </c>
      <c r="E32">
        <f t="shared" si="1"/>
        <v>17</v>
      </c>
      <c r="F32">
        <v>2009</v>
      </c>
      <c r="G32" t="s">
        <v>5209</v>
      </c>
      <c r="H32">
        <v>0</v>
      </c>
      <c r="I32" s="65">
        <v>0</v>
      </c>
      <c r="J32" t="s">
        <v>5210</v>
      </c>
      <c r="K32" s="35" t="s">
        <v>2351</v>
      </c>
      <c r="L32" s="35" t="s">
        <v>7130</v>
      </c>
      <c r="M32" s="39" t="str">
        <f>HYPERLINK("http://dx.doi.org/10.1016/j.tox.2008.09.026","10.1016/j.tox.2008.09.026")</f>
        <v>10.1016/j.tox.2008.09.026</v>
      </c>
      <c r="N32" s="40" t="s">
        <v>5211</v>
      </c>
      <c r="O32" s="40" t="s">
        <v>3531</v>
      </c>
      <c r="P32" s="40" t="s">
        <v>5212</v>
      </c>
      <c r="Q32" t="s">
        <v>316</v>
      </c>
    </row>
    <row r="33" spans="1:17" x14ac:dyDescent="0.25">
      <c r="A33" s="2" t="str">
        <f>HYPERLINK("https://www.ncbi.nlm.nih.gov/pubmed/18729374","18729374")</f>
        <v>18729374</v>
      </c>
      <c r="B33">
        <f t="shared" si="2"/>
        <v>16</v>
      </c>
      <c r="C33">
        <f t="shared" si="2"/>
        <v>0</v>
      </c>
      <c r="D33">
        <f t="shared" si="2"/>
        <v>0</v>
      </c>
      <c r="E33">
        <f t="shared" si="1"/>
        <v>16</v>
      </c>
      <c r="F33">
        <v>2008</v>
      </c>
      <c r="G33" t="s">
        <v>5248</v>
      </c>
      <c r="H33">
        <v>0</v>
      </c>
      <c r="I33" s="65">
        <v>0</v>
      </c>
      <c r="J33" t="s">
        <v>5175</v>
      </c>
      <c r="K33" s="35" t="s">
        <v>770</v>
      </c>
      <c r="L33" s="35" t="s">
        <v>5249</v>
      </c>
      <c r="M33" s="39" t="str">
        <f>HYPERLINK("http://dx.doi.org/10.1021/jf8018886","10.1021/jf8018886")</f>
        <v>10.1021/jf8018886</v>
      </c>
      <c r="N33" s="40" t="s">
        <v>751</v>
      </c>
      <c r="O33" s="40" t="s">
        <v>659</v>
      </c>
      <c r="P33" s="40" t="s">
        <v>5250</v>
      </c>
      <c r="Q33" t="s">
        <v>316</v>
      </c>
    </row>
    <row r="34" spans="1:17" x14ac:dyDescent="0.25">
      <c r="A34" s="2" t="str">
        <f>HYPERLINK("https://www.ncbi.nlm.nih.gov/pubmed/34044035","34044035")</f>
        <v>34044035</v>
      </c>
      <c r="B34">
        <f t="shared" si="2"/>
        <v>15</v>
      </c>
      <c r="C34">
        <f t="shared" si="2"/>
        <v>0</v>
      </c>
      <c r="D34">
        <f t="shared" si="2"/>
        <v>0</v>
      </c>
      <c r="E34">
        <f t="shared" si="1"/>
        <v>15</v>
      </c>
      <c r="F34">
        <v>2021</v>
      </c>
      <c r="G34" t="s">
        <v>935</v>
      </c>
      <c r="H34">
        <v>0</v>
      </c>
      <c r="I34" s="65">
        <v>0</v>
      </c>
      <c r="J34" t="s">
        <v>936</v>
      </c>
      <c r="K34" s="35" t="s">
        <v>937</v>
      </c>
      <c r="L34" s="35" t="s">
        <v>6542</v>
      </c>
      <c r="M34" s="39" t="str">
        <f>HYPERLINK("http://dx.doi.org/10.1016/j.neuro.2021.05.011","10.1016/j.neuro.2021.05.011")</f>
        <v>10.1016/j.neuro.2021.05.011</v>
      </c>
      <c r="N34" s="40" t="s">
        <v>938</v>
      </c>
      <c r="O34" s="40" t="s">
        <v>383</v>
      </c>
      <c r="P34" s="40" t="s">
        <v>939</v>
      </c>
      <c r="Q34" t="s">
        <v>316</v>
      </c>
    </row>
    <row r="35" spans="1:17" x14ac:dyDescent="0.25">
      <c r="A35" s="2" t="str">
        <f>HYPERLINK("https://www.ncbi.nlm.nih.gov/pubmed/33989624","33989624")</f>
        <v>33989624</v>
      </c>
      <c r="B35">
        <f t="shared" si="2"/>
        <v>15</v>
      </c>
      <c r="C35">
        <f t="shared" si="2"/>
        <v>0</v>
      </c>
      <c r="D35">
        <f t="shared" si="2"/>
        <v>0</v>
      </c>
      <c r="E35">
        <f t="shared" si="1"/>
        <v>15</v>
      </c>
      <c r="F35">
        <v>2021</v>
      </c>
      <c r="G35" t="s">
        <v>960</v>
      </c>
      <c r="H35">
        <v>1</v>
      </c>
      <c r="I35" s="65">
        <v>0</v>
      </c>
      <c r="J35" t="s">
        <v>962</v>
      </c>
      <c r="K35" s="35" t="s">
        <v>664</v>
      </c>
      <c r="L35" s="35" t="s">
        <v>961</v>
      </c>
      <c r="M35" s="39" t="str">
        <f>HYPERLINK("http://dx.doi.org/10.1016/j.envres.2021.111316","10.1016/j.envres.2021.111316")</f>
        <v>10.1016/j.envres.2021.111316</v>
      </c>
      <c r="N35" s="40" t="s">
        <v>963</v>
      </c>
      <c r="O35" s="40" t="s">
        <v>383</v>
      </c>
      <c r="P35" s="40" t="s">
        <v>964</v>
      </c>
      <c r="Q35" t="s">
        <v>316</v>
      </c>
    </row>
    <row r="36" spans="1:17" x14ac:dyDescent="0.25">
      <c r="A36" s="2" t="str">
        <f>HYPERLINK("https://www.ncbi.nlm.nih.gov/pubmed/33763877","33763877")</f>
        <v>33763877</v>
      </c>
      <c r="B36">
        <f t="shared" si="2"/>
        <v>15</v>
      </c>
      <c r="C36">
        <f t="shared" si="2"/>
        <v>2</v>
      </c>
      <c r="D36">
        <f t="shared" si="2"/>
        <v>0</v>
      </c>
      <c r="E36">
        <f t="shared" si="1"/>
        <v>17</v>
      </c>
      <c r="F36">
        <v>2021</v>
      </c>
      <c r="G36" t="s">
        <v>1039</v>
      </c>
      <c r="H36">
        <v>0</v>
      </c>
      <c r="I36" s="65">
        <v>0</v>
      </c>
      <c r="J36" t="s">
        <v>1041</v>
      </c>
      <c r="K36" s="35" t="s">
        <v>818</v>
      </c>
      <c r="L36" s="35" t="s">
        <v>1040</v>
      </c>
      <c r="M36" s="39" t="str">
        <f>HYPERLINK("http://dx.doi.org/10.1111/jvp.12965","10.1111/jvp.12965")</f>
        <v>10.1111/jvp.12965</v>
      </c>
      <c r="N36" s="40" t="s">
        <v>383</v>
      </c>
      <c r="O36" s="40" t="s">
        <v>383</v>
      </c>
      <c r="P36" s="40" t="s">
        <v>383</v>
      </c>
      <c r="Q36" t="s">
        <v>316</v>
      </c>
    </row>
    <row r="37" spans="1:17" x14ac:dyDescent="0.25">
      <c r="A37" s="2" t="str">
        <f>HYPERLINK("https://www.ncbi.nlm.nih.gov/pubmed/31841729","31841729")</f>
        <v>31841729</v>
      </c>
      <c r="B37">
        <f t="shared" si="2"/>
        <v>15</v>
      </c>
      <c r="C37">
        <f t="shared" si="2"/>
        <v>1</v>
      </c>
      <c r="D37">
        <f t="shared" si="2"/>
        <v>0</v>
      </c>
      <c r="E37">
        <f t="shared" si="1"/>
        <v>16</v>
      </c>
      <c r="F37">
        <v>2020</v>
      </c>
      <c r="G37" t="s">
        <v>1701</v>
      </c>
      <c r="H37">
        <v>0</v>
      </c>
      <c r="I37" s="65">
        <v>0</v>
      </c>
      <c r="J37" t="s">
        <v>1702</v>
      </c>
      <c r="K37" s="35" t="s">
        <v>763</v>
      </c>
      <c r="L37" s="35" t="s">
        <v>6645</v>
      </c>
      <c r="M37" s="39" t="str">
        <f>HYPERLINK("http://dx.doi.org/10.1016/j.aquatox.2019.105378","10.1016/j.aquatox.2019.105378")</f>
        <v>10.1016/j.aquatox.2019.105378</v>
      </c>
      <c r="N37" s="40" t="s">
        <v>1703</v>
      </c>
      <c r="O37" s="40" t="s">
        <v>383</v>
      </c>
      <c r="P37" s="40" t="s">
        <v>1704</v>
      </c>
      <c r="Q37" t="s">
        <v>316</v>
      </c>
    </row>
    <row r="38" spans="1:17" x14ac:dyDescent="0.25">
      <c r="A38" s="2" t="str">
        <f>HYPERLINK("https://www.ncbi.nlm.nih.gov/pubmed/31795580","31795580")</f>
        <v>31795580</v>
      </c>
      <c r="B38">
        <f t="shared" si="2"/>
        <v>15</v>
      </c>
      <c r="C38">
        <f t="shared" si="2"/>
        <v>0</v>
      </c>
      <c r="D38">
        <f t="shared" si="2"/>
        <v>0</v>
      </c>
      <c r="E38">
        <f t="shared" si="1"/>
        <v>15</v>
      </c>
      <c r="F38">
        <v>2019</v>
      </c>
      <c r="G38" t="s">
        <v>1727</v>
      </c>
      <c r="H38">
        <v>0</v>
      </c>
      <c r="I38" s="65">
        <v>0</v>
      </c>
      <c r="J38" t="s">
        <v>1728</v>
      </c>
      <c r="K38" s="35" t="s">
        <v>1729</v>
      </c>
      <c r="L38" s="35" t="s">
        <v>6648</v>
      </c>
      <c r="M38" s="39" t="str">
        <f>HYPERLINK("http://dx.doi.org/10.3760/cma.j.issn.0253-9624.2019.12.008","10.3760/cma.j.issn.0253-9624.2019.12.008")</f>
        <v>10.3760/cma.j.issn.0253-9624.2019.12.008</v>
      </c>
      <c r="N38" s="40" t="s">
        <v>1730</v>
      </c>
      <c r="O38" s="40" t="s">
        <v>915</v>
      </c>
      <c r="P38" s="40" t="s">
        <v>1731</v>
      </c>
      <c r="Q38" t="s">
        <v>316</v>
      </c>
    </row>
    <row r="39" spans="1:17" x14ac:dyDescent="0.25">
      <c r="A39" s="2" t="str">
        <f>HYPERLINK("https://www.ncbi.nlm.nih.gov/pubmed/31129401","31129401")</f>
        <v>31129401</v>
      </c>
      <c r="B39">
        <f t="shared" si="2"/>
        <v>15</v>
      </c>
      <c r="C39">
        <f t="shared" si="2"/>
        <v>0</v>
      </c>
      <c r="D39">
        <f t="shared" si="2"/>
        <v>0</v>
      </c>
      <c r="E39">
        <f t="shared" si="1"/>
        <v>15</v>
      </c>
      <c r="F39">
        <v>2019</v>
      </c>
      <c r="G39" t="s">
        <v>2012</v>
      </c>
      <c r="H39">
        <v>0</v>
      </c>
      <c r="I39" s="65">
        <v>0</v>
      </c>
      <c r="J39" t="s">
        <v>2014</v>
      </c>
      <c r="K39" s="35" t="s">
        <v>822</v>
      </c>
      <c r="L39" s="35" t="s">
        <v>2013</v>
      </c>
      <c r="M39" s="39" t="str">
        <f>HYPERLINK("http://dx.doi.org/10.1016/j.chemosphere.2019.05.124","10.1016/j.chemosphere.2019.05.124")</f>
        <v>10.1016/j.chemosphere.2019.05.124</v>
      </c>
      <c r="N39" s="40" t="s">
        <v>1173</v>
      </c>
      <c r="O39" s="40" t="s">
        <v>383</v>
      </c>
      <c r="P39" s="40" t="s">
        <v>2015</v>
      </c>
      <c r="Q39" t="s">
        <v>316</v>
      </c>
    </row>
    <row r="40" spans="1:17" x14ac:dyDescent="0.25">
      <c r="A40" s="2" t="str">
        <f>HYPERLINK("https://www.ncbi.nlm.nih.gov/pubmed/29995904","29995904")</f>
        <v>29995904</v>
      </c>
      <c r="B40">
        <f t="shared" si="2"/>
        <v>15</v>
      </c>
      <c r="C40">
        <f t="shared" si="2"/>
        <v>0</v>
      </c>
      <c r="D40">
        <f t="shared" si="2"/>
        <v>0</v>
      </c>
      <c r="E40">
        <f t="shared" si="1"/>
        <v>15</v>
      </c>
      <c r="F40">
        <v>2018</v>
      </c>
      <c r="G40" t="s">
        <v>2407</v>
      </c>
      <c r="H40">
        <v>0</v>
      </c>
      <c r="I40" s="64" t="str">
        <f>HYPERLINK("https://www.ncbi.nlm.nih.gov/research/pubtator/?view=docsum&amp;query=PMC6040742","1")</f>
        <v>1</v>
      </c>
      <c r="J40" t="s">
        <v>2408</v>
      </c>
      <c r="K40" s="35" t="s">
        <v>779</v>
      </c>
      <c r="L40" s="35" t="s">
        <v>6745</v>
      </c>
      <c r="M40" s="39" t="str">
        <f>HYPERLINK("http://dx.doi.org/10.1371/journal.pone.0200299","10.1371/journal.pone.0200299")</f>
        <v>10.1371/journal.pone.0200299</v>
      </c>
      <c r="N40" s="40" t="s">
        <v>742</v>
      </c>
      <c r="O40" s="40" t="s">
        <v>748</v>
      </c>
      <c r="P40" s="40" t="s">
        <v>2409</v>
      </c>
      <c r="Q40" t="s">
        <v>316</v>
      </c>
    </row>
    <row r="41" spans="1:17" x14ac:dyDescent="0.25">
      <c r="A41" s="2" t="str">
        <f>HYPERLINK("https://www.ncbi.nlm.nih.gov/pubmed/29691057","29691057")</f>
        <v>29691057</v>
      </c>
      <c r="B41">
        <f t="shared" si="2"/>
        <v>15</v>
      </c>
      <c r="C41">
        <f t="shared" si="2"/>
        <v>0</v>
      </c>
      <c r="D41">
        <f t="shared" si="2"/>
        <v>0</v>
      </c>
      <c r="E41">
        <f t="shared" si="1"/>
        <v>15</v>
      </c>
      <c r="F41">
        <v>2018</v>
      </c>
      <c r="G41" t="s">
        <v>2484</v>
      </c>
      <c r="H41">
        <v>0</v>
      </c>
      <c r="I41" s="65">
        <v>0</v>
      </c>
      <c r="J41" t="s">
        <v>2485</v>
      </c>
      <c r="K41" s="35" t="s">
        <v>1340</v>
      </c>
      <c r="L41" s="35" t="s">
        <v>6756</v>
      </c>
      <c r="M41" s="39" t="str">
        <f>HYPERLINK("http://dx.doi.org/10.1016/j.chroma.2018.04.019","10.1016/j.chroma.2018.04.019")</f>
        <v>10.1016/j.chroma.2018.04.019</v>
      </c>
      <c r="N41" s="40" t="s">
        <v>2486</v>
      </c>
      <c r="O41" s="40" t="s">
        <v>383</v>
      </c>
      <c r="P41" s="40" t="s">
        <v>2487</v>
      </c>
      <c r="Q41" t="s">
        <v>316</v>
      </c>
    </row>
    <row r="42" spans="1:17" x14ac:dyDescent="0.25">
      <c r="A42" s="2" t="str">
        <f>HYPERLINK("https://www.ncbi.nlm.nih.gov/pubmed/27722395","27722395")</f>
        <v>27722395</v>
      </c>
      <c r="B42">
        <f t="shared" si="2"/>
        <v>15</v>
      </c>
      <c r="C42">
        <f t="shared" si="2"/>
        <v>0</v>
      </c>
      <c r="D42">
        <f t="shared" si="2"/>
        <v>0</v>
      </c>
      <c r="E42">
        <f t="shared" si="1"/>
        <v>15</v>
      </c>
      <c r="F42">
        <v>2016</v>
      </c>
      <c r="G42" t="s">
        <v>2986</v>
      </c>
      <c r="H42">
        <v>0</v>
      </c>
      <c r="I42" s="65">
        <v>0</v>
      </c>
      <c r="J42" t="s">
        <v>2988</v>
      </c>
      <c r="K42" s="35" t="s">
        <v>2989</v>
      </c>
      <c r="L42" s="35" t="s">
        <v>2987</v>
      </c>
      <c r="M42" s="39" t="str">
        <f>HYPERLINK("http://dx.doi.org/10.1039/c6em00344c","10.1039/c6em00344c")</f>
        <v>10.1039/c6em00344c</v>
      </c>
      <c r="N42" s="40" t="s">
        <v>659</v>
      </c>
      <c r="O42" s="40" t="s">
        <v>802</v>
      </c>
      <c r="P42" s="40" t="s">
        <v>2990</v>
      </c>
      <c r="Q42" t="s">
        <v>316</v>
      </c>
    </row>
    <row r="43" spans="1:17" x14ac:dyDescent="0.25">
      <c r="A43" s="2" t="str">
        <f>HYPERLINK("https://www.ncbi.nlm.nih.gov/pubmed/21777731","21777731")</f>
        <v>21777731</v>
      </c>
      <c r="B43">
        <f t="shared" si="2"/>
        <v>15</v>
      </c>
      <c r="C43">
        <f t="shared" si="2"/>
        <v>0</v>
      </c>
      <c r="D43">
        <f t="shared" si="2"/>
        <v>0</v>
      </c>
      <c r="E43">
        <f t="shared" si="1"/>
        <v>15</v>
      </c>
      <c r="F43">
        <v>2011</v>
      </c>
      <c r="G43" t="s">
        <v>4605</v>
      </c>
      <c r="H43">
        <v>0</v>
      </c>
      <c r="I43" s="65">
        <v>0</v>
      </c>
      <c r="J43" t="s">
        <v>4606</v>
      </c>
      <c r="K43" s="35" t="s">
        <v>1052</v>
      </c>
      <c r="L43" s="35" t="s">
        <v>7072</v>
      </c>
      <c r="M43" s="39" t="str">
        <f>HYPERLINK("http://dx.doi.org/10.1016/j.vetpar.2011.03.041","10.1016/j.vetpar.2011.03.041")</f>
        <v>10.1016/j.vetpar.2011.03.041</v>
      </c>
      <c r="N43" s="40" t="s">
        <v>3022</v>
      </c>
      <c r="O43" s="40" t="s">
        <v>690</v>
      </c>
      <c r="P43" s="40" t="s">
        <v>4607</v>
      </c>
      <c r="Q43" t="s">
        <v>316</v>
      </c>
    </row>
    <row r="44" spans="1:17" x14ac:dyDescent="0.25">
      <c r="A44" s="2" t="str">
        <f>HYPERLINK("https://www.ncbi.nlm.nih.gov/pubmed/21227481","21227481")</f>
        <v>21227481</v>
      </c>
      <c r="B44">
        <f t="shared" ref="B44:D63" si="3">IF(ISBLANK(B$3),0,(LEN($L44) - LEN(SUBSTITUTE(LOWER($L44),LOWER(B$3),"")))/LEN(B$3))</f>
        <v>15</v>
      </c>
      <c r="C44">
        <f t="shared" si="3"/>
        <v>0</v>
      </c>
      <c r="D44">
        <f t="shared" si="3"/>
        <v>0</v>
      </c>
      <c r="E44">
        <f t="shared" si="1"/>
        <v>15</v>
      </c>
      <c r="F44">
        <v>2011</v>
      </c>
      <c r="G44" t="s">
        <v>4764</v>
      </c>
      <c r="H44">
        <v>0</v>
      </c>
      <c r="I44" s="65">
        <v>0</v>
      </c>
      <c r="J44" t="s">
        <v>4765</v>
      </c>
      <c r="K44" s="35" t="s">
        <v>822</v>
      </c>
      <c r="L44" s="35" t="s">
        <v>7095</v>
      </c>
      <c r="M44" s="39" t="str">
        <f>HYPERLINK("http://dx.doi.org/10.1016/j.chemosphere.2010.12.057","10.1016/j.chemosphere.2010.12.057")</f>
        <v>10.1016/j.chemosphere.2010.12.057</v>
      </c>
      <c r="N44" s="40" t="s">
        <v>1169</v>
      </c>
      <c r="O44" s="40" t="s">
        <v>690</v>
      </c>
      <c r="P44" s="40" t="s">
        <v>4766</v>
      </c>
      <c r="Q44" t="s">
        <v>316</v>
      </c>
    </row>
    <row r="45" spans="1:17" x14ac:dyDescent="0.25">
      <c r="A45" s="2" t="str">
        <f>HYPERLINK("https://www.ncbi.nlm.nih.gov/pubmed/33442958","33442958")</f>
        <v>33442958</v>
      </c>
      <c r="B45">
        <f t="shared" si="3"/>
        <v>14</v>
      </c>
      <c r="C45">
        <f t="shared" si="3"/>
        <v>0</v>
      </c>
      <c r="D45">
        <f t="shared" si="3"/>
        <v>0</v>
      </c>
      <c r="E45">
        <f t="shared" si="1"/>
        <v>14</v>
      </c>
      <c r="F45">
        <v>2021</v>
      </c>
      <c r="G45" t="s">
        <v>1129</v>
      </c>
      <c r="H45">
        <v>0</v>
      </c>
      <c r="I45" s="65">
        <v>0</v>
      </c>
      <c r="J45" t="s">
        <v>1131</v>
      </c>
      <c r="K45" s="35" t="s">
        <v>1132</v>
      </c>
      <c r="L45" s="35" t="s">
        <v>1130</v>
      </c>
      <c r="M45" s="39" t="str">
        <f>HYPERLINK("http://dx.doi.org/10.1111/1744-7917.12892","10.1111/1744-7917.12892")</f>
        <v>10.1111/1744-7917.12892</v>
      </c>
      <c r="N45" s="40" t="s">
        <v>383</v>
      </c>
      <c r="O45" s="40" t="s">
        <v>383</v>
      </c>
      <c r="P45" s="40" t="s">
        <v>383</v>
      </c>
      <c r="Q45" t="s">
        <v>316</v>
      </c>
    </row>
    <row r="46" spans="1:17" x14ac:dyDescent="0.25">
      <c r="A46" s="2" t="str">
        <f>HYPERLINK("https://www.ncbi.nlm.nih.gov/pubmed/32977147","32977147")</f>
        <v>32977147</v>
      </c>
      <c r="B46">
        <f t="shared" si="3"/>
        <v>14</v>
      </c>
      <c r="C46">
        <f t="shared" si="3"/>
        <v>0</v>
      </c>
      <c r="D46">
        <f t="shared" si="3"/>
        <v>0</v>
      </c>
      <c r="E46">
        <f t="shared" si="1"/>
        <v>14</v>
      </c>
      <c r="F46">
        <v>2020</v>
      </c>
      <c r="G46" t="s">
        <v>1343</v>
      </c>
      <c r="H46">
        <v>0</v>
      </c>
      <c r="I46" s="65">
        <v>0</v>
      </c>
      <c r="J46" t="s">
        <v>1344</v>
      </c>
      <c r="K46" s="35" t="s">
        <v>1345</v>
      </c>
      <c r="L46" s="35" t="s">
        <v>6592</v>
      </c>
      <c r="M46" s="39" t="str">
        <f>HYPERLINK("http://dx.doi.org/10.1016/j.cbd.2020.100743","10.1016/j.cbd.2020.100743")</f>
        <v>10.1016/j.cbd.2020.100743</v>
      </c>
      <c r="N46" s="40" t="s">
        <v>639</v>
      </c>
      <c r="O46" s="40" t="s">
        <v>383</v>
      </c>
      <c r="P46" s="40" t="s">
        <v>1346</v>
      </c>
      <c r="Q46" t="s">
        <v>316</v>
      </c>
    </row>
    <row r="47" spans="1:17" x14ac:dyDescent="0.25">
      <c r="A47" s="2" t="str">
        <f>HYPERLINK("https://www.ncbi.nlm.nih.gov/pubmed/30099364","30099364")</f>
        <v>30099364</v>
      </c>
      <c r="B47">
        <f t="shared" si="3"/>
        <v>14</v>
      </c>
      <c r="C47">
        <f t="shared" si="3"/>
        <v>0</v>
      </c>
      <c r="D47">
        <f t="shared" si="3"/>
        <v>0</v>
      </c>
      <c r="E47">
        <f t="shared" si="1"/>
        <v>14</v>
      </c>
      <c r="F47">
        <v>2018</v>
      </c>
      <c r="G47" t="s">
        <v>2363</v>
      </c>
      <c r="H47">
        <v>0</v>
      </c>
      <c r="I47" s="65">
        <v>0</v>
      </c>
      <c r="J47" t="s">
        <v>2364</v>
      </c>
      <c r="K47" s="35" t="s">
        <v>768</v>
      </c>
      <c r="L47" s="35" t="s">
        <v>6734</v>
      </c>
      <c r="M47" s="39" t="str">
        <f>HYPERLINK("http://dx.doi.org/10.1016/j.jhazmat.2018.07.078","10.1016/j.jhazmat.2018.07.078")</f>
        <v>10.1016/j.jhazmat.2018.07.078</v>
      </c>
      <c r="N47" s="40" t="s">
        <v>2339</v>
      </c>
      <c r="O47" s="40" t="s">
        <v>383</v>
      </c>
      <c r="P47" s="40" t="s">
        <v>2365</v>
      </c>
      <c r="Q47" t="s">
        <v>316</v>
      </c>
    </row>
    <row r="48" spans="1:17" x14ac:dyDescent="0.25">
      <c r="A48" s="2" t="str">
        <f>HYPERLINK("https://www.ncbi.nlm.nih.gov/pubmed/27378152","27378152")</f>
        <v>27378152</v>
      </c>
      <c r="B48">
        <f t="shared" si="3"/>
        <v>14</v>
      </c>
      <c r="C48">
        <f t="shared" si="3"/>
        <v>0</v>
      </c>
      <c r="D48">
        <f t="shared" si="3"/>
        <v>0</v>
      </c>
      <c r="E48">
        <f t="shared" si="1"/>
        <v>14</v>
      </c>
      <c r="F48">
        <v>2016</v>
      </c>
      <c r="G48" t="s">
        <v>3064</v>
      </c>
      <c r="H48">
        <v>0</v>
      </c>
      <c r="I48" s="65">
        <v>0</v>
      </c>
      <c r="J48" t="s">
        <v>3065</v>
      </c>
      <c r="K48" s="35" t="s">
        <v>670</v>
      </c>
      <c r="L48" s="35" t="s">
        <v>6856</v>
      </c>
      <c r="M48" s="39" t="str">
        <f>HYPERLINK("http://dx.doi.org/10.1016/j.scitotenv.2016.05.085","10.1016/j.scitotenv.2016.05.085")</f>
        <v>10.1016/j.scitotenv.2016.05.085</v>
      </c>
      <c r="N48" s="40" t="s">
        <v>3066</v>
      </c>
      <c r="O48" s="40" t="s">
        <v>383</v>
      </c>
      <c r="P48" s="40" t="s">
        <v>3067</v>
      </c>
      <c r="Q48" t="s">
        <v>316</v>
      </c>
    </row>
    <row r="49" spans="1:17" x14ac:dyDescent="0.25">
      <c r="A49" s="2" t="str">
        <f>HYPERLINK("https://www.ncbi.nlm.nih.gov/pubmed/26773360","26773360")</f>
        <v>26773360</v>
      </c>
      <c r="B49">
        <f t="shared" si="3"/>
        <v>14</v>
      </c>
      <c r="C49">
        <f t="shared" si="3"/>
        <v>1</v>
      </c>
      <c r="D49">
        <f t="shared" si="3"/>
        <v>0</v>
      </c>
      <c r="E49">
        <f t="shared" si="1"/>
        <v>15</v>
      </c>
      <c r="F49">
        <v>2016</v>
      </c>
      <c r="G49" t="s">
        <v>3291</v>
      </c>
      <c r="H49">
        <v>0</v>
      </c>
      <c r="I49" s="65">
        <v>0</v>
      </c>
      <c r="J49" t="s">
        <v>3293</v>
      </c>
      <c r="K49" s="35" t="s">
        <v>1530</v>
      </c>
      <c r="L49" s="35" t="s">
        <v>3292</v>
      </c>
      <c r="M49" s="39" t="str">
        <f>HYPERLINK("http://dx.doi.org/10.1016/j.etap.2015.12.020","10.1016/j.etap.2015.12.020")</f>
        <v>10.1016/j.etap.2015.12.020</v>
      </c>
      <c r="N49" s="40" t="s">
        <v>2803</v>
      </c>
      <c r="O49" s="40" t="s">
        <v>383</v>
      </c>
      <c r="P49" s="40" t="s">
        <v>3294</v>
      </c>
      <c r="Q49" t="s">
        <v>316</v>
      </c>
    </row>
    <row r="50" spans="1:17" x14ac:dyDescent="0.25">
      <c r="A50" s="2" t="str">
        <f>HYPERLINK("https://www.ncbi.nlm.nih.gov/pubmed/26462999","26462999")</f>
        <v>26462999</v>
      </c>
      <c r="B50">
        <f t="shared" si="3"/>
        <v>14</v>
      </c>
      <c r="C50">
        <f t="shared" si="3"/>
        <v>0</v>
      </c>
      <c r="D50">
        <f t="shared" si="3"/>
        <v>0</v>
      </c>
      <c r="E50">
        <f t="shared" si="1"/>
        <v>14</v>
      </c>
      <c r="F50">
        <v>2016</v>
      </c>
      <c r="G50" t="s">
        <v>3357</v>
      </c>
      <c r="H50">
        <v>0</v>
      </c>
      <c r="I50" s="65">
        <v>0</v>
      </c>
      <c r="J50" t="s">
        <v>3358</v>
      </c>
      <c r="K50" s="35" t="s">
        <v>968</v>
      </c>
      <c r="L50" s="35" t="s">
        <v>6904</v>
      </c>
      <c r="M50" s="39" t="str">
        <f>HYPERLINK("http://dx.doi.org/10.1002/ps.4173","10.1002/ps.4173")</f>
        <v>10.1002/ps.4173</v>
      </c>
      <c r="N50" s="40" t="s">
        <v>1970</v>
      </c>
      <c r="O50" s="40" t="s">
        <v>781</v>
      </c>
      <c r="P50" s="40" t="s">
        <v>3359</v>
      </c>
      <c r="Q50" t="s">
        <v>316</v>
      </c>
    </row>
    <row r="51" spans="1:17" x14ac:dyDescent="0.25">
      <c r="A51" s="2" t="str">
        <f>HYPERLINK("https://www.ncbi.nlm.nih.gov/pubmed/24224261","24224261")</f>
        <v>24224261</v>
      </c>
      <c r="B51">
        <f t="shared" si="3"/>
        <v>14</v>
      </c>
      <c r="C51">
        <f t="shared" si="3"/>
        <v>0</v>
      </c>
      <c r="D51">
        <f t="shared" si="3"/>
        <v>0</v>
      </c>
      <c r="E51">
        <f t="shared" si="1"/>
        <v>14</v>
      </c>
      <c r="F51">
        <v>2013</v>
      </c>
      <c r="G51" t="s">
        <v>4065</v>
      </c>
      <c r="H51">
        <v>0</v>
      </c>
      <c r="I51" s="65">
        <v>0</v>
      </c>
      <c r="J51" t="s">
        <v>4066</v>
      </c>
      <c r="K51" s="35" t="s">
        <v>909</v>
      </c>
      <c r="L51" s="35" t="s">
        <v>7004</v>
      </c>
      <c r="M51" s="39" t="str">
        <f>HYPERLINK("http://dx.doi.org/10.1603/ec13119","10.1603/ec13119")</f>
        <v>10.1603/ec13119</v>
      </c>
      <c r="N51" s="40" t="s">
        <v>3978</v>
      </c>
      <c r="O51" s="40" t="s">
        <v>746</v>
      </c>
      <c r="P51" s="40" t="s">
        <v>4067</v>
      </c>
      <c r="Q51" t="s">
        <v>316</v>
      </c>
    </row>
    <row r="52" spans="1:17" x14ac:dyDescent="0.25">
      <c r="A52" s="2" t="str">
        <f>HYPERLINK("https://www.ncbi.nlm.nih.gov/pubmed/20821427","20821427")</f>
        <v>20821427</v>
      </c>
      <c r="B52">
        <f t="shared" si="3"/>
        <v>14</v>
      </c>
      <c r="C52">
        <f t="shared" si="3"/>
        <v>1</v>
      </c>
      <c r="D52">
        <f t="shared" si="3"/>
        <v>0</v>
      </c>
      <c r="E52">
        <f t="shared" si="1"/>
        <v>15</v>
      </c>
      <c r="F52">
        <v>2010</v>
      </c>
      <c r="G52" t="s">
        <v>4849</v>
      </c>
      <c r="H52">
        <v>0</v>
      </c>
      <c r="I52" s="65">
        <v>0</v>
      </c>
      <c r="J52" t="s">
        <v>4851</v>
      </c>
      <c r="K52" s="35" t="s">
        <v>755</v>
      </c>
      <c r="L52" s="35" t="s">
        <v>4850</v>
      </c>
      <c r="M52" s="39" t="str">
        <f>HYPERLINK("http://dx.doi.org/10.1002/etc.17","10.1002/etc.17")</f>
        <v>10.1002/etc.17</v>
      </c>
      <c r="N52" s="40" t="s">
        <v>858</v>
      </c>
      <c r="O52" s="40" t="s">
        <v>638</v>
      </c>
      <c r="P52" s="40" t="s">
        <v>4852</v>
      </c>
      <c r="Q52" t="s">
        <v>316</v>
      </c>
    </row>
    <row r="53" spans="1:17" x14ac:dyDescent="0.25">
      <c r="A53" s="2" t="str">
        <f>HYPERLINK("https://www.ncbi.nlm.nih.gov/pubmed/20599175","20599175")</f>
        <v>20599175</v>
      </c>
      <c r="B53">
        <f t="shared" si="3"/>
        <v>14</v>
      </c>
      <c r="C53">
        <f t="shared" si="3"/>
        <v>0</v>
      </c>
      <c r="D53">
        <f t="shared" si="3"/>
        <v>0</v>
      </c>
      <c r="E53">
        <f t="shared" si="1"/>
        <v>14</v>
      </c>
      <c r="F53">
        <v>2010</v>
      </c>
      <c r="G53" t="s">
        <v>4876</v>
      </c>
      <c r="H53">
        <v>0</v>
      </c>
      <c r="I53" s="65">
        <v>0</v>
      </c>
      <c r="J53" t="s">
        <v>4878</v>
      </c>
      <c r="K53" s="35" t="s">
        <v>1815</v>
      </c>
      <c r="L53" s="35" t="s">
        <v>4877</v>
      </c>
      <c r="M53" s="39" t="str">
        <f>HYPERLINK("http://dx.doi.org/10.1016/j.jchromb.2010.05.018","10.1016/j.jchromb.2010.05.018")</f>
        <v>10.1016/j.jchromb.2010.05.018</v>
      </c>
      <c r="N53" s="40" t="s">
        <v>4879</v>
      </c>
      <c r="O53" s="40" t="s">
        <v>1092</v>
      </c>
      <c r="P53" s="40" t="s">
        <v>4880</v>
      </c>
      <c r="Q53" t="s">
        <v>316</v>
      </c>
    </row>
    <row r="54" spans="1:17" x14ac:dyDescent="0.25">
      <c r="A54" s="2" t="str">
        <f>HYPERLINK("https://www.ncbi.nlm.nih.gov/pubmed/20205233","20205233")</f>
        <v>20205233</v>
      </c>
      <c r="B54">
        <f t="shared" si="3"/>
        <v>14</v>
      </c>
      <c r="C54">
        <f t="shared" si="3"/>
        <v>5</v>
      </c>
      <c r="D54">
        <f t="shared" si="3"/>
        <v>0</v>
      </c>
      <c r="E54">
        <f t="shared" si="1"/>
        <v>19</v>
      </c>
      <c r="F54">
        <v>2010</v>
      </c>
      <c r="G54" t="s">
        <v>4957</v>
      </c>
      <c r="H54">
        <v>0</v>
      </c>
      <c r="I54" s="65">
        <v>0</v>
      </c>
      <c r="J54" t="s">
        <v>4958</v>
      </c>
      <c r="K54" s="35" t="s">
        <v>968</v>
      </c>
      <c r="L54" s="35" t="s">
        <v>7111</v>
      </c>
      <c r="M54" s="39" t="str">
        <f>HYPERLINK("http://dx.doi.org/10.1002/ps.1923","10.1002/ps.1923")</f>
        <v>10.1002/ps.1923</v>
      </c>
      <c r="N54" s="40" t="s">
        <v>2424</v>
      </c>
      <c r="O54" s="40" t="s">
        <v>741</v>
      </c>
      <c r="P54" s="40" t="s">
        <v>4959</v>
      </c>
      <c r="Q54" t="s">
        <v>316</v>
      </c>
    </row>
    <row r="55" spans="1:17" x14ac:dyDescent="0.25">
      <c r="A55" s="2" t="str">
        <f>HYPERLINK("https://www.ncbi.nlm.nih.gov/pubmed/18660823","18660823")</f>
        <v>18660823</v>
      </c>
      <c r="B55">
        <f t="shared" si="3"/>
        <v>14</v>
      </c>
      <c r="C55">
        <f t="shared" si="3"/>
        <v>0</v>
      </c>
      <c r="D55">
        <f t="shared" si="3"/>
        <v>0</v>
      </c>
      <c r="E55">
        <f t="shared" si="1"/>
        <v>14</v>
      </c>
      <c r="F55">
        <v>2008</v>
      </c>
      <c r="G55" t="s">
        <v>5267</v>
      </c>
      <c r="H55">
        <v>0</v>
      </c>
      <c r="I55" s="64" t="str">
        <f>HYPERLINK("https://www.ncbi.nlm.nih.gov/research/pubtator/?view=docsum&amp;query=PMC2584928","1")</f>
        <v>1</v>
      </c>
      <c r="J55" t="s">
        <v>5268</v>
      </c>
      <c r="K55" s="35" t="s">
        <v>1873</v>
      </c>
      <c r="L55" s="35" t="s">
        <v>7134</v>
      </c>
      <c r="M55" s="39" t="str">
        <f>HYPERLINK("http://dx.doi.org/10.1038/bjp.2008.309","10.1038/bjp.2008.309")</f>
        <v>10.1038/bjp.2008.309</v>
      </c>
      <c r="N55" s="40" t="s">
        <v>2113</v>
      </c>
      <c r="O55" s="40" t="s">
        <v>746</v>
      </c>
      <c r="P55" s="40" t="s">
        <v>5269</v>
      </c>
      <c r="Q55" t="s">
        <v>316</v>
      </c>
    </row>
    <row r="56" spans="1:17" x14ac:dyDescent="0.25">
      <c r="A56" s="2" t="str">
        <f>HYPERLINK("https://www.ncbi.nlm.nih.gov/pubmed/15382504","15382504")</f>
        <v>15382504</v>
      </c>
      <c r="B56">
        <f t="shared" si="3"/>
        <v>14</v>
      </c>
      <c r="C56">
        <f t="shared" si="3"/>
        <v>0</v>
      </c>
      <c r="D56">
        <f t="shared" si="3"/>
        <v>0</v>
      </c>
      <c r="E56">
        <f t="shared" si="1"/>
        <v>14</v>
      </c>
      <c r="F56">
        <v>2004</v>
      </c>
      <c r="G56" t="s">
        <v>5908</v>
      </c>
      <c r="H56">
        <v>0</v>
      </c>
      <c r="I56" s="65">
        <v>0</v>
      </c>
      <c r="J56" t="s">
        <v>5909</v>
      </c>
      <c r="K56" s="35" t="s">
        <v>968</v>
      </c>
      <c r="L56" s="35" t="s">
        <v>7213</v>
      </c>
      <c r="M56" s="39" t="str">
        <f>HYPERLINK("http://dx.doi.org/10.1002/ps.883","10.1002/ps.883")</f>
        <v>10.1002/ps.883</v>
      </c>
      <c r="N56" s="40" t="s">
        <v>1655</v>
      </c>
      <c r="O56" s="40" t="s">
        <v>660</v>
      </c>
      <c r="P56" s="40" t="s">
        <v>5910</v>
      </c>
      <c r="Q56" t="s">
        <v>316</v>
      </c>
    </row>
    <row r="57" spans="1:17" x14ac:dyDescent="0.25">
      <c r="A57" s="2" t="str">
        <f>HYPERLINK("https://www.ncbi.nlm.nih.gov/pubmed/15110413","15110413")</f>
        <v>15110413</v>
      </c>
      <c r="B57">
        <f t="shared" si="3"/>
        <v>14</v>
      </c>
      <c r="C57">
        <f t="shared" si="3"/>
        <v>0</v>
      </c>
      <c r="D57">
        <f t="shared" si="3"/>
        <v>0</v>
      </c>
      <c r="E57">
        <f t="shared" si="1"/>
        <v>14</v>
      </c>
      <c r="F57">
        <v>2004</v>
      </c>
      <c r="G57" t="s">
        <v>5958</v>
      </c>
      <c r="H57">
        <v>0</v>
      </c>
      <c r="I57" s="65">
        <v>0</v>
      </c>
      <c r="J57" t="s">
        <v>5959</v>
      </c>
      <c r="K57" s="35" t="s">
        <v>1052</v>
      </c>
      <c r="L57" s="35" t="s">
        <v>7217</v>
      </c>
      <c r="M57" s="39" t="str">
        <f>HYPERLINK("http://dx.doi.org/10.1016/j.vetpar.2004.02.012","10.1016/j.vetpar.2004.02.012")</f>
        <v>10.1016/j.vetpar.2004.02.012</v>
      </c>
      <c r="N57" s="40" t="s">
        <v>3476</v>
      </c>
      <c r="O57" s="40" t="s">
        <v>3531</v>
      </c>
      <c r="P57" s="40" t="s">
        <v>5960</v>
      </c>
      <c r="Q57" t="s">
        <v>316</v>
      </c>
    </row>
    <row r="58" spans="1:17" x14ac:dyDescent="0.25">
      <c r="A58" s="2" t="str">
        <f>HYPERLINK("https://www.ncbi.nlm.nih.gov/pubmed/14650530","14650530")</f>
        <v>14650530</v>
      </c>
      <c r="B58">
        <f t="shared" si="3"/>
        <v>14</v>
      </c>
      <c r="C58">
        <f t="shared" si="3"/>
        <v>0</v>
      </c>
      <c r="D58">
        <f t="shared" si="3"/>
        <v>0</v>
      </c>
      <c r="E58">
        <f t="shared" si="1"/>
        <v>14</v>
      </c>
      <c r="F58">
        <v>2003</v>
      </c>
      <c r="G58" t="s">
        <v>5993</v>
      </c>
      <c r="H58">
        <v>0</v>
      </c>
      <c r="I58" s="65">
        <v>0</v>
      </c>
      <c r="J58" t="s">
        <v>5994</v>
      </c>
      <c r="K58" s="35" t="s">
        <v>909</v>
      </c>
      <c r="L58" s="35" t="s">
        <v>7221</v>
      </c>
      <c r="M58" s="39" t="str">
        <f>HYPERLINK("http://dx.doi.org/10.1093/jee/96.5.1548","10.1093/jee/96.5.1548")</f>
        <v>10.1093/jee/96.5.1548</v>
      </c>
      <c r="N58" s="40" t="s">
        <v>3165</v>
      </c>
      <c r="O58" s="40" t="s">
        <v>746</v>
      </c>
      <c r="P58" s="40" t="s">
        <v>5995</v>
      </c>
      <c r="Q58" t="s">
        <v>316</v>
      </c>
    </row>
    <row r="59" spans="1:17" x14ac:dyDescent="0.25">
      <c r="A59" s="2" t="str">
        <f>HYPERLINK("https://www.ncbi.nlm.nih.gov/pubmed/11337886","11337886")</f>
        <v>11337886</v>
      </c>
      <c r="B59">
        <f t="shared" si="3"/>
        <v>14</v>
      </c>
      <c r="C59">
        <f t="shared" si="3"/>
        <v>0</v>
      </c>
      <c r="D59">
        <f t="shared" si="3"/>
        <v>0</v>
      </c>
      <c r="E59">
        <f t="shared" si="1"/>
        <v>14</v>
      </c>
      <c r="F59">
        <v>2001</v>
      </c>
      <c r="G59" t="s">
        <v>6265</v>
      </c>
      <c r="H59">
        <v>0</v>
      </c>
      <c r="I59" s="65">
        <v>0</v>
      </c>
      <c r="J59" t="s">
        <v>6267</v>
      </c>
      <c r="K59" s="35" t="s">
        <v>755</v>
      </c>
      <c r="L59" s="35" t="s">
        <v>6266</v>
      </c>
      <c r="M59" s="39" t="str">
        <f>HYPERLINK("http://dx.doi.org/10.1897/1551-5028(2001)020&lt;0972:apifad&gt;2.0.co;2","10.1897/1551-5028(2001)020&lt;0972:apifad&gt;2.0.co;2")</f>
        <v>10.1897/1551-5028(2001)020&lt;0972:apifad&gt;2.0.co;2</v>
      </c>
      <c r="N59" s="40" t="s">
        <v>1109</v>
      </c>
      <c r="O59" s="40" t="s">
        <v>746</v>
      </c>
      <c r="P59" s="40" t="s">
        <v>6268</v>
      </c>
      <c r="Q59" t="s">
        <v>316</v>
      </c>
    </row>
    <row r="60" spans="1:17" x14ac:dyDescent="0.25">
      <c r="A60" s="2" t="str">
        <f>HYPERLINK("https://www.ncbi.nlm.nih.gov/pubmed/34301358","34301358")</f>
        <v>34301358</v>
      </c>
      <c r="B60">
        <f t="shared" si="3"/>
        <v>13</v>
      </c>
      <c r="C60">
        <f t="shared" si="3"/>
        <v>0</v>
      </c>
      <c r="D60">
        <f t="shared" si="3"/>
        <v>0</v>
      </c>
      <c r="E60">
        <f t="shared" si="1"/>
        <v>13</v>
      </c>
      <c r="F60">
        <v>2021</v>
      </c>
      <c r="G60" t="s">
        <v>829</v>
      </c>
      <c r="H60">
        <v>0</v>
      </c>
      <c r="I60" s="65">
        <v>0</v>
      </c>
      <c r="J60" t="s">
        <v>830</v>
      </c>
      <c r="K60" s="35" t="s">
        <v>831</v>
      </c>
      <c r="L60" s="35" t="s">
        <v>6534</v>
      </c>
      <c r="M60" s="39" t="str">
        <f>HYPERLINK("http://dx.doi.org/10.1016/j.pestbp.2021.104896","10.1016/j.pestbp.2021.104896")</f>
        <v>10.1016/j.pestbp.2021.104896</v>
      </c>
      <c r="N60" s="40" t="s">
        <v>832</v>
      </c>
      <c r="O60" s="40" t="s">
        <v>383</v>
      </c>
      <c r="P60" s="40" t="s">
        <v>833</v>
      </c>
      <c r="Q60" t="s">
        <v>316</v>
      </c>
    </row>
    <row r="61" spans="1:17" x14ac:dyDescent="0.25">
      <c r="A61" s="2" t="str">
        <f>HYPERLINK("https://www.ncbi.nlm.nih.gov/pubmed/33338803","33338803")</f>
        <v>33338803</v>
      </c>
      <c r="B61">
        <f t="shared" si="3"/>
        <v>13</v>
      </c>
      <c r="C61">
        <f t="shared" si="3"/>
        <v>0</v>
      </c>
      <c r="D61">
        <f t="shared" si="3"/>
        <v>0</v>
      </c>
      <c r="E61">
        <f t="shared" si="1"/>
        <v>13</v>
      </c>
      <c r="F61">
        <v>2021</v>
      </c>
      <c r="G61" t="s">
        <v>1175</v>
      </c>
      <c r="H61">
        <v>0</v>
      </c>
      <c r="I61" s="65">
        <v>0</v>
      </c>
      <c r="J61" t="s">
        <v>1176</v>
      </c>
      <c r="K61" s="35" t="s">
        <v>714</v>
      </c>
      <c r="L61" s="35" t="s">
        <v>6570</v>
      </c>
      <c r="M61" s="39" t="str">
        <f>HYPERLINK("http://dx.doi.org/10.1016/j.ecoenv.2020.111778","10.1016/j.ecoenv.2020.111778")</f>
        <v>10.1016/j.ecoenv.2020.111778</v>
      </c>
      <c r="N61" s="40" t="s">
        <v>1177</v>
      </c>
      <c r="O61" s="40" t="s">
        <v>383</v>
      </c>
      <c r="P61" s="40" t="s">
        <v>1178</v>
      </c>
      <c r="Q61" t="s">
        <v>316</v>
      </c>
    </row>
    <row r="62" spans="1:17" x14ac:dyDescent="0.25">
      <c r="A62" s="2" t="str">
        <f>HYPERLINK("https://www.ncbi.nlm.nih.gov/pubmed/31035158","31035158")</f>
        <v>31035158</v>
      </c>
      <c r="B62">
        <f t="shared" si="3"/>
        <v>13</v>
      </c>
      <c r="C62">
        <f t="shared" si="3"/>
        <v>0</v>
      </c>
      <c r="D62">
        <f t="shared" si="3"/>
        <v>0</v>
      </c>
      <c r="E62">
        <f t="shared" si="1"/>
        <v>13</v>
      </c>
      <c r="F62">
        <v>2019</v>
      </c>
      <c r="G62" t="s">
        <v>2043</v>
      </c>
      <c r="H62">
        <v>0</v>
      </c>
      <c r="I62" s="64" t="str">
        <f>HYPERLINK("https://www.ncbi.nlm.nih.gov/research/pubtator/?view=docsum&amp;query=PMC6535138","1")</f>
        <v>1</v>
      </c>
      <c r="J62" t="s">
        <v>2044</v>
      </c>
      <c r="K62" s="35" t="s">
        <v>707</v>
      </c>
      <c r="L62" s="35" t="s">
        <v>6687</v>
      </c>
      <c r="M62" s="39" t="str">
        <f>HYPERLINK("http://dx.doi.org/10.1016/j.envpol.2019.04.060","10.1016/j.envpol.2019.04.060")</f>
        <v>10.1016/j.envpol.2019.04.060</v>
      </c>
      <c r="N62" s="40" t="s">
        <v>2045</v>
      </c>
      <c r="O62" s="40" t="s">
        <v>383</v>
      </c>
      <c r="P62" s="40" t="s">
        <v>2046</v>
      </c>
      <c r="Q62" t="s">
        <v>316</v>
      </c>
    </row>
    <row r="63" spans="1:17" x14ac:dyDescent="0.25">
      <c r="A63" s="2" t="str">
        <f>HYPERLINK("https://www.ncbi.nlm.nih.gov/pubmed/30138902","30138902")</f>
        <v>30138902</v>
      </c>
      <c r="B63">
        <f t="shared" si="3"/>
        <v>13</v>
      </c>
      <c r="C63">
        <f t="shared" si="3"/>
        <v>0</v>
      </c>
      <c r="D63">
        <f t="shared" si="3"/>
        <v>0</v>
      </c>
      <c r="E63">
        <f t="shared" si="1"/>
        <v>13</v>
      </c>
      <c r="F63">
        <v>2018</v>
      </c>
      <c r="G63" t="s">
        <v>2337</v>
      </c>
      <c r="H63">
        <v>0</v>
      </c>
      <c r="I63" s="65">
        <v>0</v>
      </c>
      <c r="J63" t="s">
        <v>2338</v>
      </c>
      <c r="K63" s="35" t="s">
        <v>768</v>
      </c>
      <c r="L63" s="35" t="s">
        <v>6731</v>
      </c>
      <c r="M63" s="39" t="str">
        <f>HYPERLINK("http://dx.doi.org/10.1016/j.jhazmat.2018.07.085","10.1016/j.jhazmat.2018.07.085")</f>
        <v>10.1016/j.jhazmat.2018.07.085</v>
      </c>
      <c r="N63" s="40" t="s">
        <v>2339</v>
      </c>
      <c r="O63" s="40" t="s">
        <v>383</v>
      </c>
      <c r="P63" s="40" t="s">
        <v>2340</v>
      </c>
      <c r="Q63" t="s">
        <v>316</v>
      </c>
    </row>
    <row r="64" spans="1:17" x14ac:dyDescent="0.25">
      <c r="A64" s="2" t="str">
        <f>HYPERLINK("https://www.ncbi.nlm.nih.gov/pubmed/28807310","28807310")</f>
        <v>28807310</v>
      </c>
      <c r="B64">
        <f t="shared" ref="B64:D83" si="4">IF(ISBLANK(B$3),0,(LEN($L64) - LEN(SUBSTITUTE(LOWER($L64),LOWER(B$3),"")))/LEN(B$3))</f>
        <v>13</v>
      </c>
      <c r="C64">
        <f t="shared" si="4"/>
        <v>3</v>
      </c>
      <c r="D64">
        <f t="shared" si="4"/>
        <v>0</v>
      </c>
      <c r="E64">
        <f t="shared" si="1"/>
        <v>16</v>
      </c>
      <c r="F64">
        <v>2017</v>
      </c>
      <c r="G64" t="s">
        <v>2704</v>
      </c>
      <c r="H64">
        <v>0</v>
      </c>
      <c r="I64" s="65">
        <v>0</v>
      </c>
      <c r="J64" t="s">
        <v>2705</v>
      </c>
      <c r="K64" s="35" t="s">
        <v>1052</v>
      </c>
      <c r="L64" s="35" t="s">
        <v>6794</v>
      </c>
      <c r="M64" s="39" t="str">
        <f>HYPERLINK("http://dx.doi.org/10.1016/j.vetpar.2017.06.011","10.1016/j.vetpar.2017.06.011")</f>
        <v>10.1016/j.vetpar.2017.06.011</v>
      </c>
      <c r="N64" s="40" t="s">
        <v>2288</v>
      </c>
      <c r="O64" s="40" t="s">
        <v>383</v>
      </c>
      <c r="P64" s="40" t="s">
        <v>2706</v>
      </c>
      <c r="Q64" t="s">
        <v>316</v>
      </c>
    </row>
    <row r="65" spans="1:17" x14ac:dyDescent="0.25">
      <c r="A65" s="2" t="str">
        <f>HYPERLINK("https://www.ncbi.nlm.nih.gov/pubmed/28667652","28667652")</f>
        <v>28667652</v>
      </c>
      <c r="B65">
        <f t="shared" si="4"/>
        <v>13</v>
      </c>
      <c r="C65">
        <f t="shared" si="4"/>
        <v>1</v>
      </c>
      <c r="D65">
        <f t="shared" si="4"/>
        <v>0</v>
      </c>
      <c r="E65">
        <f t="shared" si="1"/>
        <v>14</v>
      </c>
      <c r="F65">
        <v>2017</v>
      </c>
      <c r="G65" t="s">
        <v>2745</v>
      </c>
      <c r="H65">
        <v>0</v>
      </c>
      <c r="I65" s="64" t="str">
        <f>HYPERLINK("https://www.ncbi.nlm.nih.gov/research/pubtator/?view=docsum&amp;query=PMC5493570","1")</f>
        <v>1</v>
      </c>
      <c r="J65" t="s">
        <v>2747</v>
      </c>
      <c r="K65" s="35" t="s">
        <v>2748</v>
      </c>
      <c r="L65" s="35" t="s">
        <v>2746</v>
      </c>
      <c r="M65" s="39" t="str">
        <f>HYPERLINK("http://dx.doi.org/10.1007/s13205-017-0820-8","10.1007/s13205-017-0820-8")</f>
        <v>10.1007/s13205-017-0820-8</v>
      </c>
      <c r="N65" s="40" t="s">
        <v>748</v>
      </c>
      <c r="O65" s="40" t="s">
        <v>750</v>
      </c>
      <c r="P65" s="40" t="s">
        <v>2749</v>
      </c>
      <c r="Q65" t="s">
        <v>316</v>
      </c>
    </row>
    <row r="66" spans="1:17" x14ac:dyDescent="0.25">
      <c r="A66" s="2" t="str">
        <f>HYPERLINK("https://www.ncbi.nlm.nih.gov/pubmed/28505888","28505888")</f>
        <v>28505888</v>
      </c>
      <c r="B66">
        <f t="shared" si="4"/>
        <v>13</v>
      </c>
      <c r="C66">
        <f t="shared" si="4"/>
        <v>2</v>
      </c>
      <c r="D66">
        <f t="shared" si="4"/>
        <v>0</v>
      </c>
      <c r="E66">
        <f t="shared" si="1"/>
        <v>15</v>
      </c>
      <c r="F66">
        <v>2017</v>
      </c>
      <c r="G66" t="s">
        <v>2797</v>
      </c>
      <c r="H66">
        <v>0</v>
      </c>
      <c r="I66" s="65">
        <v>0</v>
      </c>
      <c r="J66" t="s">
        <v>2798</v>
      </c>
      <c r="K66" s="35" t="s">
        <v>670</v>
      </c>
      <c r="L66" s="35" t="s">
        <v>6813</v>
      </c>
      <c r="M66" s="39" t="str">
        <f>HYPERLINK("http://dx.doi.org/10.1016/j.scitotenv.2017.04.219","10.1016/j.scitotenv.2017.04.219")</f>
        <v>10.1016/j.scitotenv.2017.04.219</v>
      </c>
      <c r="N66" s="40" t="s">
        <v>2799</v>
      </c>
      <c r="O66" s="40" t="s">
        <v>383</v>
      </c>
      <c r="P66" s="40" t="s">
        <v>2523</v>
      </c>
      <c r="Q66" t="s">
        <v>316</v>
      </c>
    </row>
    <row r="67" spans="1:17" x14ac:dyDescent="0.25">
      <c r="A67" s="2" t="str">
        <f>HYPERLINK("https://www.ncbi.nlm.nih.gov/pubmed/26997970","26997970")</f>
        <v>26997970</v>
      </c>
      <c r="B67">
        <f t="shared" si="4"/>
        <v>13</v>
      </c>
      <c r="C67">
        <f t="shared" si="4"/>
        <v>1</v>
      </c>
      <c r="D67">
        <f t="shared" si="4"/>
        <v>0</v>
      </c>
      <c r="E67">
        <f t="shared" si="1"/>
        <v>14</v>
      </c>
      <c r="F67">
        <v>2016</v>
      </c>
      <c r="G67" t="s">
        <v>3198</v>
      </c>
      <c r="H67">
        <v>0</v>
      </c>
      <c r="I67" s="64" t="str">
        <f>HYPERLINK("https://www.ncbi.nlm.nih.gov/research/pubtator/?view=docsum&amp;query=PMC4797133","1")</f>
        <v>1</v>
      </c>
      <c r="J67" t="s">
        <v>3199</v>
      </c>
      <c r="K67" s="35" t="s">
        <v>3200</v>
      </c>
      <c r="L67" s="35" t="s">
        <v>6881</v>
      </c>
      <c r="M67" s="39" t="str">
        <f>HYPERLINK("http://dx.doi.org/10.1186/s12995-016-0102-0","10.1186/s12995-016-0102-0")</f>
        <v>10.1186/s12995-016-0102-0</v>
      </c>
      <c r="N67" s="40" t="s">
        <v>678</v>
      </c>
      <c r="O67" s="40" t="s">
        <v>383</v>
      </c>
      <c r="P67" s="40" t="s">
        <v>802</v>
      </c>
      <c r="Q67" t="s">
        <v>316</v>
      </c>
    </row>
    <row r="68" spans="1:17" x14ac:dyDescent="0.25">
      <c r="A68" s="2" t="str">
        <f>HYPERLINK("https://www.ncbi.nlm.nih.gov/pubmed/28330119","28330119")</f>
        <v>28330119</v>
      </c>
      <c r="B68">
        <f t="shared" si="4"/>
        <v>13</v>
      </c>
      <c r="C68">
        <f t="shared" si="4"/>
        <v>1</v>
      </c>
      <c r="D68">
        <f t="shared" si="4"/>
        <v>0</v>
      </c>
      <c r="E68">
        <f t="shared" ref="E68:E131" si="5">SUM(B68:D68)</f>
        <v>14</v>
      </c>
      <c r="F68">
        <v>2016</v>
      </c>
      <c r="G68" t="s">
        <v>3298</v>
      </c>
      <c r="H68">
        <v>0</v>
      </c>
      <c r="I68" s="64" t="str">
        <f>HYPERLINK("https://www.ncbi.nlm.nih.gov/research/pubtator/?view=docsum&amp;query=PMC4746198","1")</f>
        <v>1</v>
      </c>
      <c r="J68" t="s">
        <v>3300</v>
      </c>
      <c r="K68" s="35" t="s">
        <v>2748</v>
      </c>
      <c r="L68" s="35" t="s">
        <v>3299</v>
      </c>
      <c r="M68" s="39" t="str">
        <f>HYPERLINK("http://dx.doi.org/10.1007/s13205-015-0354-x","10.1007/s13205-015-0354-x")</f>
        <v>10.1007/s13205-015-0354-x</v>
      </c>
      <c r="N68" s="40" t="s">
        <v>741</v>
      </c>
      <c r="O68" s="40" t="s">
        <v>638</v>
      </c>
      <c r="P68" s="40" t="s">
        <v>1450</v>
      </c>
      <c r="Q68" t="s">
        <v>316</v>
      </c>
    </row>
    <row r="69" spans="1:17" x14ac:dyDescent="0.25">
      <c r="A69" s="2" t="str">
        <f>HYPERLINK("https://www.ncbi.nlm.nih.gov/pubmed/26710933","26710933")</f>
        <v>26710933</v>
      </c>
      <c r="B69">
        <f t="shared" si="4"/>
        <v>13</v>
      </c>
      <c r="C69">
        <f t="shared" si="4"/>
        <v>0</v>
      </c>
      <c r="D69">
        <f t="shared" si="4"/>
        <v>0</v>
      </c>
      <c r="E69">
        <f t="shared" si="5"/>
        <v>13</v>
      </c>
      <c r="F69">
        <v>2016</v>
      </c>
      <c r="G69" t="s">
        <v>3305</v>
      </c>
      <c r="H69">
        <v>0</v>
      </c>
      <c r="I69" s="64" t="str">
        <f>HYPERLINK("https://www.ncbi.nlm.nih.gov/research/pubtator/?view=docsum&amp;query=PMC4740881","1")</f>
        <v>1</v>
      </c>
      <c r="J69" t="s">
        <v>3307</v>
      </c>
      <c r="K69" s="35" t="s">
        <v>1058</v>
      </c>
      <c r="L69" s="35" t="s">
        <v>3306</v>
      </c>
      <c r="M69" s="39" t="str">
        <f>HYPERLINK("http://dx.doi.org/10.1021/acs.est.5b04516","10.1021/acs.est.5b04516")</f>
        <v>10.1021/acs.est.5b04516</v>
      </c>
      <c r="N69" s="40" t="s">
        <v>743</v>
      </c>
      <c r="O69" s="40" t="s">
        <v>750</v>
      </c>
      <c r="P69" s="40" t="s">
        <v>3308</v>
      </c>
      <c r="Q69" t="s">
        <v>316</v>
      </c>
    </row>
    <row r="70" spans="1:17" x14ac:dyDescent="0.25">
      <c r="A70" s="2" t="str">
        <f>HYPERLINK("https://www.ncbi.nlm.nih.gov/pubmed/25752424","25752424")</f>
        <v>25752424</v>
      </c>
      <c r="B70">
        <f t="shared" si="4"/>
        <v>13</v>
      </c>
      <c r="C70">
        <f t="shared" si="4"/>
        <v>3</v>
      </c>
      <c r="D70">
        <f t="shared" si="4"/>
        <v>0</v>
      </c>
      <c r="E70">
        <f t="shared" si="5"/>
        <v>16</v>
      </c>
      <c r="F70">
        <v>2015</v>
      </c>
      <c r="G70" t="s">
        <v>3560</v>
      </c>
      <c r="H70">
        <v>0</v>
      </c>
      <c r="I70" s="65">
        <v>0</v>
      </c>
      <c r="J70" t="s">
        <v>3561</v>
      </c>
      <c r="K70" s="35" t="s">
        <v>831</v>
      </c>
      <c r="L70" s="35" t="s">
        <v>6933</v>
      </c>
      <c r="M70" s="39" t="str">
        <f>HYPERLINK("http://dx.doi.org/10.1016/j.pestbp.2014.10.013","10.1016/j.pestbp.2014.10.013")</f>
        <v>10.1016/j.pestbp.2014.10.013</v>
      </c>
      <c r="N70" s="40" t="s">
        <v>3562</v>
      </c>
      <c r="O70" s="40" t="s">
        <v>383</v>
      </c>
      <c r="P70" s="40" t="s">
        <v>3563</v>
      </c>
      <c r="Q70" t="s">
        <v>316</v>
      </c>
    </row>
    <row r="71" spans="1:17" x14ac:dyDescent="0.25">
      <c r="A71" s="2" t="str">
        <f>HYPERLINK("https://www.ncbi.nlm.nih.gov/pubmed/25687022","25687022")</f>
        <v>25687022</v>
      </c>
      <c r="B71">
        <f t="shared" si="4"/>
        <v>13</v>
      </c>
      <c r="C71">
        <f t="shared" si="4"/>
        <v>1</v>
      </c>
      <c r="D71">
        <f t="shared" si="4"/>
        <v>0</v>
      </c>
      <c r="E71">
        <f t="shared" si="5"/>
        <v>14</v>
      </c>
      <c r="F71">
        <v>2015</v>
      </c>
      <c r="G71" t="s">
        <v>3602</v>
      </c>
      <c r="H71">
        <v>0</v>
      </c>
      <c r="I71" s="64" t="str">
        <f>HYPERLINK("https://www.ncbi.nlm.nih.gov/research/pubtator/?view=docsum&amp;query=PMC5247556","1")</f>
        <v>1</v>
      </c>
      <c r="J71" t="s">
        <v>3604</v>
      </c>
      <c r="K71" s="35" t="s">
        <v>1734</v>
      </c>
      <c r="L71" s="35" t="s">
        <v>3603</v>
      </c>
      <c r="M71" s="39" t="str">
        <f>HYPERLINK("http://dx.doi.org/10.1016/j.envint.2015.01.016","10.1016/j.envint.2015.01.016")</f>
        <v>10.1016/j.envint.2015.01.016</v>
      </c>
      <c r="N71" s="40" t="s">
        <v>3375</v>
      </c>
      <c r="O71" s="40" t="s">
        <v>383</v>
      </c>
      <c r="P71" s="40" t="s">
        <v>3605</v>
      </c>
      <c r="Q71" t="s">
        <v>316</v>
      </c>
    </row>
    <row r="72" spans="1:17" x14ac:dyDescent="0.25">
      <c r="A72" s="2" t="str">
        <f>HYPERLINK("https://www.ncbi.nlm.nih.gov/pubmed/24816538","24816538")</f>
        <v>24816538</v>
      </c>
      <c r="B72">
        <f t="shared" si="4"/>
        <v>13</v>
      </c>
      <c r="C72">
        <f t="shared" si="4"/>
        <v>0</v>
      </c>
      <c r="D72">
        <f t="shared" si="4"/>
        <v>0</v>
      </c>
      <c r="E72">
        <f t="shared" si="5"/>
        <v>13</v>
      </c>
      <c r="F72">
        <v>2014</v>
      </c>
      <c r="G72" t="s">
        <v>3846</v>
      </c>
      <c r="H72">
        <v>0</v>
      </c>
      <c r="I72" s="65">
        <v>0</v>
      </c>
      <c r="J72" t="s">
        <v>3848</v>
      </c>
      <c r="K72" s="35" t="s">
        <v>1013</v>
      </c>
      <c r="L72" s="35" t="s">
        <v>3847</v>
      </c>
      <c r="M72" s="39" t="str">
        <f>HYPERLINK("http://dx.doi.org/10.1007/s10661-014-3792-8","10.1007/s10661-014-3792-8")</f>
        <v>10.1007/s10661-014-3792-8</v>
      </c>
      <c r="N72" s="40" t="s">
        <v>2863</v>
      </c>
      <c r="O72" s="40" t="s">
        <v>660</v>
      </c>
      <c r="P72" s="40" t="s">
        <v>3849</v>
      </c>
      <c r="Q72" t="s">
        <v>316</v>
      </c>
    </row>
    <row r="73" spans="1:17" x14ac:dyDescent="0.25">
      <c r="A73" s="2" t="str">
        <f>HYPERLINK("https://www.ncbi.nlm.nih.gov/pubmed/23962444","23962444")</f>
        <v>23962444</v>
      </c>
      <c r="B73">
        <f t="shared" si="4"/>
        <v>13</v>
      </c>
      <c r="C73">
        <f t="shared" si="4"/>
        <v>0</v>
      </c>
      <c r="D73">
        <f t="shared" si="4"/>
        <v>0</v>
      </c>
      <c r="E73">
        <f t="shared" si="5"/>
        <v>13</v>
      </c>
      <c r="F73">
        <v>2013</v>
      </c>
      <c r="G73" t="s">
        <v>4108</v>
      </c>
      <c r="H73">
        <v>0</v>
      </c>
      <c r="I73" s="65">
        <v>0</v>
      </c>
      <c r="J73" t="s">
        <v>4109</v>
      </c>
      <c r="K73" s="35" t="s">
        <v>4110</v>
      </c>
      <c r="L73" s="35" t="s">
        <v>7009</v>
      </c>
      <c r="M73" s="39" t="str">
        <f>HYPERLINK("http://dx.doi.org/10.1016/j.bcp.2013.08.012","10.1016/j.bcp.2013.08.012")</f>
        <v>10.1016/j.bcp.2013.08.012</v>
      </c>
      <c r="N73" s="40" t="s">
        <v>845</v>
      </c>
      <c r="O73" s="40" t="s">
        <v>748</v>
      </c>
      <c r="P73" s="40" t="s">
        <v>4111</v>
      </c>
      <c r="Q73" t="s">
        <v>316</v>
      </c>
    </row>
    <row r="74" spans="1:17" x14ac:dyDescent="0.25">
      <c r="A74" s="2" t="str">
        <f>HYPERLINK("https://www.ncbi.nlm.nih.gov/pubmed/23109279","23109279")</f>
        <v>23109279</v>
      </c>
      <c r="B74">
        <f t="shared" si="4"/>
        <v>13</v>
      </c>
      <c r="C74">
        <f t="shared" si="4"/>
        <v>0</v>
      </c>
      <c r="D74">
        <f t="shared" si="4"/>
        <v>0</v>
      </c>
      <c r="E74">
        <f t="shared" si="5"/>
        <v>13</v>
      </c>
      <c r="F74">
        <v>2013</v>
      </c>
      <c r="G74" t="s">
        <v>4305</v>
      </c>
      <c r="H74">
        <v>0</v>
      </c>
      <c r="I74" s="65">
        <v>0</v>
      </c>
      <c r="J74" t="s">
        <v>4307</v>
      </c>
      <c r="K74" s="35" t="s">
        <v>755</v>
      </c>
      <c r="L74" s="35" t="s">
        <v>4306</v>
      </c>
      <c r="M74" s="39" t="str">
        <f>HYPERLINK("http://dx.doi.org/10.1002/etc.2041","10.1002/etc.2041")</f>
        <v>10.1002/etc.2041</v>
      </c>
      <c r="N74" s="40" t="s">
        <v>1018</v>
      </c>
      <c r="O74" s="40" t="s">
        <v>638</v>
      </c>
      <c r="P74" s="40" t="s">
        <v>4308</v>
      </c>
      <c r="Q74" t="s">
        <v>316</v>
      </c>
    </row>
    <row r="75" spans="1:17" x14ac:dyDescent="0.25">
      <c r="A75" s="2" t="str">
        <f>HYPERLINK("https://www.ncbi.nlm.nih.gov/pubmed/22371192","22371192")</f>
        <v>22371192</v>
      </c>
      <c r="B75">
        <f t="shared" si="4"/>
        <v>13</v>
      </c>
      <c r="C75">
        <f t="shared" si="4"/>
        <v>0</v>
      </c>
      <c r="D75">
        <f t="shared" si="4"/>
        <v>0</v>
      </c>
      <c r="E75">
        <f t="shared" si="5"/>
        <v>13</v>
      </c>
      <c r="F75">
        <v>2012</v>
      </c>
      <c r="G75" t="s">
        <v>4459</v>
      </c>
      <c r="H75">
        <v>0</v>
      </c>
      <c r="I75" s="65">
        <v>0</v>
      </c>
      <c r="J75" t="s">
        <v>4461</v>
      </c>
      <c r="K75" s="35" t="s">
        <v>3164</v>
      </c>
      <c r="L75" s="35" t="s">
        <v>4460</v>
      </c>
      <c r="M75" s="39" t="str">
        <f>HYPERLINK("http://dx.doi.org/10.1007/s00128-012-0578-y","10.1007/s00128-012-0578-y")</f>
        <v>10.1007/s00128-012-0578-y</v>
      </c>
      <c r="N75" s="40" t="s">
        <v>3549</v>
      </c>
      <c r="O75" s="40" t="s">
        <v>746</v>
      </c>
      <c r="P75" s="40" t="s">
        <v>4462</v>
      </c>
      <c r="Q75" t="s">
        <v>316</v>
      </c>
    </row>
    <row r="76" spans="1:17" x14ac:dyDescent="0.25">
      <c r="A76" s="2" t="str">
        <f>HYPERLINK("https://www.ncbi.nlm.nih.gov/pubmed/18835630","18835630")</f>
        <v>18835630</v>
      </c>
      <c r="B76">
        <f t="shared" si="4"/>
        <v>13</v>
      </c>
      <c r="C76">
        <f t="shared" si="4"/>
        <v>0</v>
      </c>
      <c r="D76">
        <f t="shared" si="4"/>
        <v>0</v>
      </c>
      <c r="E76">
        <f t="shared" si="5"/>
        <v>13</v>
      </c>
      <c r="F76">
        <v>2008</v>
      </c>
      <c r="G76" t="s">
        <v>5225</v>
      </c>
      <c r="H76">
        <v>0</v>
      </c>
      <c r="I76" s="65">
        <v>0</v>
      </c>
      <c r="J76" t="s">
        <v>5226</v>
      </c>
      <c r="K76" s="35" t="s">
        <v>670</v>
      </c>
      <c r="L76" s="35" t="s">
        <v>7131</v>
      </c>
      <c r="M76" s="39" t="str">
        <f>HYPERLINK("http://dx.doi.org/10.1016/j.scitotenv.2008.08.007","10.1016/j.scitotenv.2008.08.007")</f>
        <v>10.1016/j.scitotenv.2008.08.007</v>
      </c>
      <c r="N76" s="40" t="s">
        <v>3511</v>
      </c>
      <c r="O76" s="40" t="s">
        <v>638</v>
      </c>
      <c r="P76" s="40" t="s">
        <v>5227</v>
      </c>
      <c r="Q76" t="s">
        <v>316</v>
      </c>
    </row>
    <row r="77" spans="1:17" x14ac:dyDescent="0.25">
      <c r="A77" s="2" t="str">
        <f>HYPERLINK("https://www.ncbi.nlm.nih.gov/pubmed/17461076","17461076")</f>
        <v>17461076</v>
      </c>
      <c r="B77">
        <f t="shared" si="4"/>
        <v>13</v>
      </c>
      <c r="C77">
        <f t="shared" si="4"/>
        <v>0</v>
      </c>
      <c r="D77">
        <f t="shared" si="4"/>
        <v>0</v>
      </c>
      <c r="E77">
        <f t="shared" si="5"/>
        <v>13</v>
      </c>
      <c r="F77">
        <v>2007</v>
      </c>
      <c r="G77" t="s">
        <v>5483</v>
      </c>
      <c r="H77">
        <v>0</v>
      </c>
      <c r="I77" s="65">
        <v>0</v>
      </c>
      <c r="J77" t="s">
        <v>5484</v>
      </c>
      <c r="K77" s="35" t="s">
        <v>909</v>
      </c>
      <c r="L77" s="35" t="s">
        <v>7162</v>
      </c>
      <c r="M77" s="39" t="str">
        <f>HYPERLINK("http://dx.doi.org/10.1603/0022-0493(2007)100[495:tuateo]2.0.co;2","10.1603/0022-0493(2007)100[495:tuateo]2.0.co;2")</f>
        <v>10.1603/0022-0493(2007)100[495:tuateo]2.0.co;2</v>
      </c>
      <c r="N77" s="40" t="s">
        <v>2221</v>
      </c>
      <c r="O77" s="40" t="s">
        <v>744</v>
      </c>
      <c r="P77" s="40" t="s">
        <v>5485</v>
      </c>
      <c r="Q77" t="s">
        <v>316</v>
      </c>
    </row>
    <row r="78" spans="1:17" x14ac:dyDescent="0.25">
      <c r="A78" s="2" t="str">
        <f>HYPERLINK("https://www.ncbi.nlm.nih.gov/pubmed/16193765","16193765")</f>
        <v>16193765</v>
      </c>
      <c r="B78">
        <f t="shared" si="4"/>
        <v>13</v>
      </c>
      <c r="C78">
        <f t="shared" si="4"/>
        <v>0</v>
      </c>
      <c r="D78">
        <f t="shared" si="4"/>
        <v>0</v>
      </c>
      <c r="E78">
        <f t="shared" si="5"/>
        <v>13</v>
      </c>
      <c r="F78">
        <v>2005</v>
      </c>
      <c r="G78" t="s">
        <v>5720</v>
      </c>
      <c r="H78">
        <v>0</v>
      </c>
      <c r="I78" s="65">
        <v>0</v>
      </c>
      <c r="J78" t="s">
        <v>5721</v>
      </c>
      <c r="K78" s="35" t="s">
        <v>755</v>
      </c>
      <c r="L78" s="35" t="s">
        <v>7194</v>
      </c>
      <c r="M78" s="39" t="str">
        <f>HYPERLINK("http://dx.doi.org/10.1897/04-459r.1","10.1897/04-459r.1")</f>
        <v>10.1897/04-459r.1</v>
      </c>
      <c r="N78" s="40" t="s">
        <v>1188</v>
      </c>
      <c r="O78" s="40" t="s">
        <v>660</v>
      </c>
      <c r="P78" s="40" t="s">
        <v>5722</v>
      </c>
      <c r="Q78" t="s">
        <v>316</v>
      </c>
    </row>
    <row r="79" spans="1:17" x14ac:dyDescent="0.25">
      <c r="A79" s="2" t="str">
        <f>HYPERLINK("https://www.ncbi.nlm.nih.gov/pubmed/14737471","14737471")</f>
        <v>14737471</v>
      </c>
      <c r="B79">
        <f t="shared" si="4"/>
        <v>13</v>
      </c>
      <c r="C79">
        <f t="shared" si="4"/>
        <v>0</v>
      </c>
      <c r="D79">
        <f t="shared" si="4"/>
        <v>0</v>
      </c>
      <c r="E79">
        <f t="shared" si="5"/>
        <v>13</v>
      </c>
      <c r="F79">
        <v>2004</v>
      </c>
      <c r="G79" t="s">
        <v>5986</v>
      </c>
      <c r="H79">
        <v>0</v>
      </c>
      <c r="I79" s="65">
        <v>0</v>
      </c>
      <c r="J79" t="s">
        <v>5988</v>
      </c>
      <c r="K79" s="35" t="s">
        <v>4671</v>
      </c>
      <c r="L79" s="35" t="s">
        <v>5987</v>
      </c>
      <c r="M79" s="39" t="str">
        <f>HYPERLINK("http://dx.doi.org/10.1039/b307304a","10.1039/b307304a")</f>
        <v>10.1039/b307304a</v>
      </c>
      <c r="N79" s="40" t="s">
        <v>741</v>
      </c>
      <c r="O79" s="40" t="s">
        <v>638</v>
      </c>
      <c r="P79" s="40" t="s">
        <v>2208</v>
      </c>
      <c r="Q79" t="s">
        <v>316</v>
      </c>
    </row>
    <row r="80" spans="1:17" x14ac:dyDescent="0.25">
      <c r="A80" s="2" t="str">
        <f>HYPERLINK("https://www.ncbi.nlm.nih.gov/pubmed/33871813","33871813")</f>
        <v>33871813</v>
      </c>
      <c r="B80">
        <f t="shared" si="4"/>
        <v>12</v>
      </c>
      <c r="C80">
        <f t="shared" si="4"/>
        <v>0</v>
      </c>
      <c r="D80">
        <f t="shared" si="4"/>
        <v>0</v>
      </c>
      <c r="E80">
        <f t="shared" si="5"/>
        <v>12</v>
      </c>
      <c r="F80">
        <v>2021</v>
      </c>
      <c r="G80" t="s">
        <v>995</v>
      </c>
      <c r="H80">
        <v>0</v>
      </c>
      <c r="I80" s="64" t="str">
        <f>HYPERLINK("https://www.ncbi.nlm.nih.gov/research/pubtator/?view=docsum&amp;query=PMC8275550","1")</f>
        <v>1</v>
      </c>
      <c r="J80" t="s">
        <v>997</v>
      </c>
      <c r="K80" s="35" t="s">
        <v>998</v>
      </c>
      <c r="L80" s="35" t="s">
        <v>996</v>
      </c>
      <c r="M80" s="39" t="str">
        <f>HYPERLINK("http://dx.doi.org/10.1007/s12640-021-00364-8","10.1007/s12640-021-00364-8")</f>
        <v>10.1007/s12640-021-00364-8</v>
      </c>
      <c r="N80" s="40" t="s">
        <v>852</v>
      </c>
      <c r="O80" s="40" t="s">
        <v>690</v>
      </c>
      <c r="P80" s="40" t="s">
        <v>999</v>
      </c>
      <c r="Q80" t="s">
        <v>316</v>
      </c>
    </row>
    <row r="81" spans="1:17" x14ac:dyDescent="0.25">
      <c r="A81" s="2" t="str">
        <f>HYPERLINK("https://www.ncbi.nlm.nih.gov/pubmed/33132360","33132360")</f>
        <v>33132360</v>
      </c>
      <c r="B81">
        <f t="shared" si="4"/>
        <v>12</v>
      </c>
      <c r="C81">
        <f t="shared" si="4"/>
        <v>1</v>
      </c>
      <c r="D81">
        <f t="shared" si="4"/>
        <v>0</v>
      </c>
      <c r="E81">
        <f t="shared" si="5"/>
        <v>13</v>
      </c>
      <c r="F81">
        <v>2020</v>
      </c>
      <c r="G81" t="s">
        <v>1244</v>
      </c>
      <c r="H81">
        <v>0</v>
      </c>
      <c r="I81" s="65">
        <v>0</v>
      </c>
      <c r="J81" t="s">
        <v>1246</v>
      </c>
      <c r="K81" s="35" t="s">
        <v>1247</v>
      </c>
      <c r="L81" s="35" t="s">
        <v>1245</v>
      </c>
      <c r="M81" s="39" t="str">
        <f>HYPERLINK("http://dx.doi.org/10.3358/shokueishi.61.171","10.3358/shokueishi.61.171")</f>
        <v>10.3358/shokueishi.61.171</v>
      </c>
      <c r="N81" s="40" t="s">
        <v>754</v>
      </c>
      <c r="O81" s="40" t="s">
        <v>746</v>
      </c>
      <c r="P81" s="40" t="s">
        <v>1248</v>
      </c>
      <c r="Q81" t="s">
        <v>316</v>
      </c>
    </row>
    <row r="82" spans="1:17" x14ac:dyDescent="0.25">
      <c r="A82" s="2" t="str">
        <f>HYPERLINK("https://www.ncbi.nlm.nih.gov/pubmed/33121789","33121789")</f>
        <v>33121789</v>
      </c>
      <c r="B82">
        <f t="shared" si="4"/>
        <v>12</v>
      </c>
      <c r="C82">
        <f t="shared" si="4"/>
        <v>3</v>
      </c>
      <c r="D82">
        <f t="shared" si="4"/>
        <v>0</v>
      </c>
      <c r="E82">
        <f t="shared" si="5"/>
        <v>15</v>
      </c>
      <c r="F82">
        <v>2021</v>
      </c>
      <c r="G82" t="s">
        <v>1252</v>
      </c>
      <c r="H82">
        <v>0</v>
      </c>
      <c r="I82" s="65">
        <v>0</v>
      </c>
      <c r="J82" t="s">
        <v>1253</v>
      </c>
      <c r="K82" s="35" t="s">
        <v>670</v>
      </c>
      <c r="L82" s="35" t="s">
        <v>6581</v>
      </c>
      <c r="M82" s="39" t="str">
        <f>HYPERLINK("http://dx.doi.org/10.1016/j.scitotenv.2020.142820","10.1016/j.scitotenv.2020.142820")</f>
        <v>10.1016/j.scitotenv.2020.142820</v>
      </c>
      <c r="N82" s="40" t="s">
        <v>1254</v>
      </c>
      <c r="O82" s="40" t="s">
        <v>383</v>
      </c>
      <c r="P82" s="40" t="s">
        <v>1255</v>
      </c>
      <c r="Q82" t="s">
        <v>316</v>
      </c>
    </row>
    <row r="83" spans="1:17" x14ac:dyDescent="0.25">
      <c r="A83" s="2" t="str">
        <f>HYPERLINK("https://www.ncbi.nlm.nih.gov/pubmed/32464131","32464131")</f>
        <v>32464131</v>
      </c>
      <c r="B83">
        <f t="shared" si="4"/>
        <v>12</v>
      </c>
      <c r="C83">
        <f t="shared" si="4"/>
        <v>0</v>
      </c>
      <c r="D83">
        <f t="shared" si="4"/>
        <v>0</v>
      </c>
      <c r="E83">
        <f t="shared" si="5"/>
        <v>12</v>
      </c>
      <c r="F83">
        <v>2020</v>
      </c>
      <c r="G83" t="s">
        <v>1509</v>
      </c>
      <c r="H83">
        <v>0</v>
      </c>
      <c r="I83" s="65">
        <v>0</v>
      </c>
      <c r="J83" t="s">
        <v>1510</v>
      </c>
      <c r="K83" s="35" t="s">
        <v>1511</v>
      </c>
      <c r="L83" s="35" t="s">
        <v>6620</v>
      </c>
      <c r="M83" s="39" t="str">
        <f>HYPERLINK("http://dx.doi.org/10.1016/j.bbamem.2020.183378","10.1016/j.bbamem.2020.183378")</f>
        <v>10.1016/j.bbamem.2020.183378</v>
      </c>
      <c r="N83" s="40" t="s">
        <v>1512</v>
      </c>
      <c r="O83" s="40" t="s">
        <v>802</v>
      </c>
      <c r="P83" s="40" t="s">
        <v>1513</v>
      </c>
      <c r="Q83" t="s">
        <v>316</v>
      </c>
    </row>
    <row r="84" spans="1:17" x14ac:dyDescent="0.25">
      <c r="A84" s="2" t="str">
        <f>HYPERLINK("https://www.ncbi.nlm.nih.gov/pubmed/32156210","32156210")</f>
        <v>32156210</v>
      </c>
      <c r="B84">
        <f t="shared" ref="B84:D103" si="6">IF(ISBLANK(B$3),0,(LEN($L84) - LEN(SUBSTITUTE(LOWER($L84),LOWER(B$3),"")))/LEN(B$3))</f>
        <v>12</v>
      </c>
      <c r="C84">
        <f t="shared" si="6"/>
        <v>0</v>
      </c>
      <c r="D84">
        <f t="shared" si="6"/>
        <v>0</v>
      </c>
      <c r="E84">
        <f t="shared" si="5"/>
        <v>12</v>
      </c>
      <c r="F84">
        <v>2020</v>
      </c>
      <c r="G84" t="s">
        <v>1592</v>
      </c>
      <c r="H84">
        <v>0</v>
      </c>
      <c r="I84" s="64" t="str">
        <f>HYPERLINK("https://www.ncbi.nlm.nih.gov/research/pubtator/?view=docsum&amp;query=PMC7126071","1")</f>
        <v>1</v>
      </c>
      <c r="J84" t="s">
        <v>1594</v>
      </c>
      <c r="K84" s="35" t="s">
        <v>1595</v>
      </c>
      <c r="L84" s="35" t="s">
        <v>1593</v>
      </c>
      <c r="M84" s="39" t="str">
        <f>HYPERLINK("http://dx.doi.org/10.1098/rspb.2019.2665","10.1098/rspb.2019.2665")</f>
        <v>10.1098/rspb.2019.2665</v>
      </c>
      <c r="N84" s="40" t="s">
        <v>1596</v>
      </c>
      <c r="O84" s="40" t="s">
        <v>1597</v>
      </c>
      <c r="P84" s="40" t="s">
        <v>1598</v>
      </c>
      <c r="Q84" t="s">
        <v>316</v>
      </c>
    </row>
    <row r="85" spans="1:17" x14ac:dyDescent="0.25">
      <c r="A85" s="2" t="str">
        <f>HYPERLINK("https://www.ncbi.nlm.nih.gov/pubmed/31881178","31881178")</f>
        <v>31881178</v>
      </c>
      <c r="B85">
        <f t="shared" si="6"/>
        <v>12</v>
      </c>
      <c r="C85">
        <f t="shared" si="6"/>
        <v>1</v>
      </c>
      <c r="D85">
        <f t="shared" si="6"/>
        <v>0</v>
      </c>
      <c r="E85">
        <f t="shared" si="5"/>
        <v>13</v>
      </c>
      <c r="F85">
        <v>2020</v>
      </c>
      <c r="G85" t="s">
        <v>1675</v>
      </c>
      <c r="H85">
        <v>0</v>
      </c>
      <c r="I85" s="65">
        <v>0</v>
      </c>
      <c r="J85" t="s">
        <v>1676</v>
      </c>
      <c r="K85" s="35" t="s">
        <v>767</v>
      </c>
      <c r="L85" s="35" t="s">
        <v>6641</v>
      </c>
      <c r="M85" s="39" t="str">
        <f>HYPERLINK("http://dx.doi.org/10.1016/j.taap.2019.114873","10.1016/j.taap.2019.114873")</f>
        <v>10.1016/j.taap.2019.114873</v>
      </c>
      <c r="N85" s="40" t="s">
        <v>1677</v>
      </c>
      <c r="O85" s="40" t="s">
        <v>383</v>
      </c>
      <c r="P85" s="40" t="s">
        <v>1678</v>
      </c>
      <c r="Q85" t="s">
        <v>316</v>
      </c>
    </row>
    <row r="86" spans="1:17" x14ac:dyDescent="0.25">
      <c r="A86" s="2" t="str">
        <f>HYPERLINK("https://www.ncbi.nlm.nih.gov/pubmed/31677523","31677523")</f>
        <v>31677523</v>
      </c>
      <c r="B86">
        <f t="shared" si="6"/>
        <v>12</v>
      </c>
      <c r="C86">
        <f t="shared" si="6"/>
        <v>0</v>
      </c>
      <c r="D86">
        <f t="shared" si="6"/>
        <v>0</v>
      </c>
      <c r="E86">
        <f t="shared" si="5"/>
        <v>12</v>
      </c>
      <c r="F86">
        <v>2019</v>
      </c>
      <c r="G86" t="s">
        <v>1812</v>
      </c>
      <c r="H86">
        <v>0</v>
      </c>
      <c r="I86" s="65">
        <v>0</v>
      </c>
      <c r="J86" t="s">
        <v>1814</v>
      </c>
      <c r="K86" s="35" t="s">
        <v>1815</v>
      </c>
      <c r="L86" s="35" t="s">
        <v>1813</v>
      </c>
      <c r="M86" s="39" t="str">
        <f>HYPERLINK("http://dx.doi.org/10.1016/j.jchromb.2019.121785","10.1016/j.jchromb.2019.121785")</f>
        <v>10.1016/j.jchromb.2019.121785</v>
      </c>
      <c r="N86" s="40" t="s">
        <v>1816</v>
      </c>
      <c r="O86" s="40" t="s">
        <v>383</v>
      </c>
      <c r="P86" s="40" t="s">
        <v>1817</v>
      </c>
      <c r="Q86" t="s">
        <v>316</v>
      </c>
    </row>
    <row r="87" spans="1:17" x14ac:dyDescent="0.25">
      <c r="A87" s="2" t="str">
        <f>HYPERLINK("https://www.ncbi.nlm.nih.gov/pubmed/30509996","30509996")</f>
        <v>30509996</v>
      </c>
      <c r="B87">
        <f t="shared" si="6"/>
        <v>12</v>
      </c>
      <c r="C87">
        <f t="shared" si="6"/>
        <v>0</v>
      </c>
      <c r="D87">
        <f t="shared" si="6"/>
        <v>0</v>
      </c>
      <c r="E87">
        <f t="shared" si="5"/>
        <v>12</v>
      </c>
      <c r="F87">
        <v>2018</v>
      </c>
      <c r="G87" t="s">
        <v>2223</v>
      </c>
      <c r="H87">
        <v>0</v>
      </c>
      <c r="I87" s="64" t="str">
        <f>HYPERLINK("https://www.ncbi.nlm.nih.gov/research/pubtator/?view=docsum&amp;query=PMC6304995","1")</f>
        <v>1</v>
      </c>
      <c r="J87" t="s">
        <v>2224</v>
      </c>
      <c r="K87" s="35" t="s">
        <v>1947</v>
      </c>
      <c r="L87" s="35" t="s">
        <v>6712</v>
      </c>
      <c r="M87" s="39" t="str">
        <f>HYPERLINK("http://dx.doi.org/10.1073/pnas.1804934115","10.1073/pnas.1804934115")</f>
        <v>10.1073/pnas.1804934115</v>
      </c>
      <c r="N87" s="40" t="s">
        <v>2118</v>
      </c>
      <c r="O87" s="40" t="s">
        <v>1780</v>
      </c>
      <c r="P87" s="40" t="s">
        <v>2225</v>
      </c>
      <c r="Q87" t="s">
        <v>316</v>
      </c>
    </row>
    <row r="88" spans="1:17" x14ac:dyDescent="0.25">
      <c r="A88" s="2" t="str">
        <f>HYPERLINK("https://www.ncbi.nlm.nih.gov/pubmed/30385190","30385190")</f>
        <v>30385190</v>
      </c>
      <c r="B88">
        <f t="shared" si="6"/>
        <v>12</v>
      </c>
      <c r="C88">
        <f t="shared" si="6"/>
        <v>0</v>
      </c>
      <c r="D88">
        <f t="shared" si="6"/>
        <v>0</v>
      </c>
      <c r="E88">
        <f t="shared" si="5"/>
        <v>12</v>
      </c>
      <c r="F88">
        <v>2019</v>
      </c>
      <c r="G88" t="s">
        <v>2251</v>
      </c>
      <c r="H88">
        <v>0</v>
      </c>
      <c r="I88" s="65">
        <v>0</v>
      </c>
      <c r="J88" t="s">
        <v>2253</v>
      </c>
      <c r="K88" s="35" t="s">
        <v>695</v>
      </c>
      <c r="L88" s="35" t="s">
        <v>2252</v>
      </c>
      <c r="M88" s="39" t="str">
        <f>HYPERLINK("http://dx.doi.org/10.1016/j.fct.2018.10.060","10.1016/j.fct.2018.10.060")</f>
        <v>10.1016/j.fct.2018.10.060</v>
      </c>
      <c r="N88" s="40" t="s">
        <v>806</v>
      </c>
      <c r="O88" s="40" t="s">
        <v>383</v>
      </c>
      <c r="P88" s="40" t="s">
        <v>2254</v>
      </c>
      <c r="Q88" t="s">
        <v>316</v>
      </c>
    </row>
    <row r="89" spans="1:17" x14ac:dyDescent="0.25">
      <c r="A89" s="2" t="str">
        <f>HYPERLINK("https://www.ncbi.nlm.nih.gov/pubmed/30188805","30188805")</f>
        <v>30188805</v>
      </c>
      <c r="B89">
        <f t="shared" si="6"/>
        <v>12</v>
      </c>
      <c r="C89">
        <f t="shared" si="6"/>
        <v>0</v>
      </c>
      <c r="D89">
        <f t="shared" si="6"/>
        <v>3</v>
      </c>
      <c r="E89">
        <f t="shared" si="5"/>
        <v>15</v>
      </c>
      <c r="F89">
        <v>2018</v>
      </c>
      <c r="G89" t="s">
        <v>2326</v>
      </c>
      <c r="H89">
        <v>0</v>
      </c>
      <c r="I89" s="65">
        <v>0</v>
      </c>
      <c r="J89" t="s">
        <v>2328</v>
      </c>
      <c r="K89" s="35" t="s">
        <v>896</v>
      </c>
      <c r="L89" s="35" t="s">
        <v>2327</v>
      </c>
      <c r="M89" s="39" t="str">
        <f>HYPERLINK("http://dx.doi.org/10.1080/19440049.2018.1497306","10.1080/19440049.2018.1497306")</f>
        <v>10.1080/19440049.2018.1497306</v>
      </c>
      <c r="N89" s="40" t="s">
        <v>2274</v>
      </c>
      <c r="O89" s="40" t="s">
        <v>802</v>
      </c>
      <c r="P89" s="40" t="s">
        <v>2329</v>
      </c>
      <c r="Q89" t="s">
        <v>316</v>
      </c>
    </row>
    <row r="90" spans="1:17" x14ac:dyDescent="0.25">
      <c r="A90" s="2" t="str">
        <f>HYPERLINK("https://www.ncbi.nlm.nih.gov/pubmed/29800848","29800848")</f>
        <v>29800848</v>
      </c>
      <c r="B90">
        <f t="shared" si="6"/>
        <v>12</v>
      </c>
      <c r="C90">
        <f t="shared" si="6"/>
        <v>0</v>
      </c>
      <c r="D90">
        <f t="shared" si="6"/>
        <v>0</v>
      </c>
      <c r="E90">
        <f t="shared" si="5"/>
        <v>12</v>
      </c>
      <c r="F90">
        <v>2018</v>
      </c>
      <c r="G90" t="s">
        <v>2457</v>
      </c>
      <c r="H90">
        <v>0</v>
      </c>
      <c r="I90" s="65">
        <v>0</v>
      </c>
      <c r="J90" t="s">
        <v>2458</v>
      </c>
      <c r="K90" s="35" t="s">
        <v>670</v>
      </c>
      <c r="L90" s="35" t="s">
        <v>6752</v>
      </c>
      <c r="M90" s="39" t="str">
        <f>HYPERLINK("http://dx.doi.org/10.1016/j.scitotenv.2018.05.159","10.1016/j.scitotenv.2018.05.159")</f>
        <v>10.1016/j.scitotenv.2018.05.159</v>
      </c>
      <c r="N90" s="40" t="s">
        <v>2459</v>
      </c>
      <c r="O90" s="40" t="s">
        <v>383</v>
      </c>
      <c r="P90" s="40" t="s">
        <v>2460</v>
      </c>
      <c r="Q90" t="s">
        <v>316</v>
      </c>
    </row>
    <row r="91" spans="1:17" x14ac:dyDescent="0.25">
      <c r="A91" s="2" t="str">
        <f>HYPERLINK("https://www.ncbi.nlm.nih.gov/pubmed/29656610","29656610")</f>
        <v>29656610</v>
      </c>
      <c r="B91">
        <f t="shared" si="6"/>
        <v>12</v>
      </c>
      <c r="C91">
        <f t="shared" si="6"/>
        <v>0</v>
      </c>
      <c r="D91">
        <f t="shared" si="6"/>
        <v>0</v>
      </c>
      <c r="E91">
        <f t="shared" si="5"/>
        <v>12</v>
      </c>
      <c r="F91">
        <v>2018</v>
      </c>
      <c r="G91" t="s">
        <v>2491</v>
      </c>
      <c r="H91">
        <v>0</v>
      </c>
      <c r="I91" s="65">
        <v>0</v>
      </c>
      <c r="J91" t="s">
        <v>2493</v>
      </c>
      <c r="K91" s="35" t="s">
        <v>2494</v>
      </c>
      <c r="L91" s="35" t="s">
        <v>2492</v>
      </c>
      <c r="M91" s="39" t="str">
        <f>HYPERLINK("http://dx.doi.org/10.1002/jmr.2713","10.1002/jmr.2713")</f>
        <v>10.1002/jmr.2713</v>
      </c>
      <c r="N91" s="40" t="s">
        <v>753</v>
      </c>
      <c r="O91" s="40" t="s">
        <v>781</v>
      </c>
      <c r="P91" s="40" t="s">
        <v>2495</v>
      </c>
      <c r="Q91" t="s">
        <v>316</v>
      </c>
    </row>
    <row r="92" spans="1:17" x14ac:dyDescent="0.25">
      <c r="A92" s="2" t="str">
        <f>HYPERLINK("https://www.ncbi.nlm.nih.gov/pubmed/29627978","29627978")</f>
        <v>29627978</v>
      </c>
      <c r="B92">
        <f t="shared" si="6"/>
        <v>12</v>
      </c>
      <c r="C92">
        <f t="shared" si="6"/>
        <v>2</v>
      </c>
      <c r="D92">
        <f t="shared" si="6"/>
        <v>0</v>
      </c>
      <c r="E92">
        <f t="shared" si="5"/>
        <v>14</v>
      </c>
      <c r="F92">
        <v>2018</v>
      </c>
      <c r="G92" t="s">
        <v>2507</v>
      </c>
      <c r="H92">
        <v>0</v>
      </c>
      <c r="I92" s="65">
        <v>0</v>
      </c>
      <c r="J92" t="s">
        <v>2508</v>
      </c>
      <c r="K92" s="35" t="s">
        <v>770</v>
      </c>
      <c r="L92" s="35" t="s">
        <v>6758</v>
      </c>
      <c r="M92" s="39" t="str">
        <f>HYPERLINK("http://dx.doi.org/10.1021/acs.jafc.8b00573","10.1021/acs.jafc.8b00573")</f>
        <v>10.1021/acs.jafc.8b00573</v>
      </c>
      <c r="N92" s="40" t="s">
        <v>2424</v>
      </c>
      <c r="O92" s="40" t="s">
        <v>737</v>
      </c>
      <c r="P92" s="40" t="s">
        <v>2509</v>
      </c>
      <c r="Q92" t="s">
        <v>316</v>
      </c>
    </row>
    <row r="93" spans="1:17" x14ac:dyDescent="0.25">
      <c r="A93" s="2" t="str">
        <f>HYPERLINK("https://www.ncbi.nlm.nih.gov/pubmed/28122816","28122816")</f>
        <v>28122816</v>
      </c>
      <c r="B93">
        <f t="shared" si="6"/>
        <v>12</v>
      </c>
      <c r="C93">
        <f t="shared" si="6"/>
        <v>0</v>
      </c>
      <c r="D93">
        <f t="shared" si="6"/>
        <v>0</v>
      </c>
      <c r="E93">
        <f t="shared" si="5"/>
        <v>12</v>
      </c>
      <c r="F93">
        <v>2017</v>
      </c>
      <c r="G93" t="s">
        <v>2889</v>
      </c>
      <c r="H93">
        <v>0</v>
      </c>
      <c r="I93" s="65">
        <v>0</v>
      </c>
      <c r="J93" t="s">
        <v>2890</v>
      </c>
      <c r="K93" s="35" t="s">
        <v>1027</v>
      </c>
      <c r="L93" s="35" t="s">
        <v>6828</v>
      </c>
      <c r="M93" s="39" t="str">
        <f>HYPERLINK("http://dx.doi.org/10.1093/jme/tjw200","10.1093/jme/tjw200")</f>
        <v>10.1093/jme/tjw200</v>
      </c>
      <c r="N93" s="40" t="s">
        <v>2010</v>
      </c>
      <c r="O93" s="40" t="s">
        <v>744</v>
      </c>
      <c r="P93" s="40" t="s">
        <v>2891</v>
      </c>
      <c r="Q93" t="s">
        <v>316</v>
      </c>
    </row>
    <row r="94" spans="1:17" x14ac:dyDescent="0.25">
      <c r="A94" s="2" t="str">
        <f>HYPERLINK("https://www.ncbi.nlm.nih.gov/pubmed/27084098","27084098")</f>
        <v>27084098</v>
      </c>
      <c r="B94">
        <f t="shared" si="6"/>
        <v>12</v>
      </c>
      <c r="C94">
        <f t="shared" si="6"/>
        <v>0</v>
      </c>
      <c r="D94">
        <f t="shared" si="6"/>
        <v>0</v>
      </c>
      <c r="E94">
        <f t="shared" si="5"/>
        <v>12</v>
      </c>
      <c r="F94">
        <v>2016</v>
      </c>
      <c r="G94" t="s">
        <v>3161</v>
      </c>
      <c r="H94">
        <v>0</v>
      </c>
      <c r="I94" s="65">
        <v>0</v>
      </c>
      <c r="J94" t="s">
        <v>3163</v>
      </c>
      <c r="K94" s="35" t="s">
        <v>3164</v>
      </c>
      <c r="L94" s="35" t="s">
        <v>3162</v>
      </c>
      <c r="M94" s="39" t="str">
        <f>HYPERLINK("http://dx.doi.org/10.1007/s00128-016-1795-6","10.1007/s00128-016-1795-6")</f>
        <v>10.1007/s00128-016-1795-6</v>
      </c>
      <c r="N94" s="40" t="s">
        <v>3165</v>
      </c>
      <c r="O94" s="40" t="s">
        <v>741</v>
      </c>
      <c r="P94" s="40" t="s">
        <v>3166</v>
      </c>
      <c r="Q94" t="s">
        <v>316</v>
      </c>
    </row>
    <row r="95" spans="1:17" x14ac:dyDescent="0.25">
      <c r="A95" s="2" t="str">
        <f>HYPERLINK("https://www.ncbi.nlm.nih.gov/pubmed/25980487","25980487")</f>
        <v>25980487</v>
      </c>
      <c r="B95">
        <f t="shared" si="6"/>
        <v>12</v>
      </c>
      <c r="C95">
        <f t="shared" si="6"/>
        <v>0</v>
      </c>
      <c r="D95">
        <f t="shared" si="6"/>
        <v>0</v>
      </c>
      <c r="E95">
        <f t="shared" si="5"/>
        <v>12</v>
      </c>
      <c r="F95">
        <v>2015</v>
      </c>
      <c r="G95" t="s">
        <v>3490</v>
      </c>
      <c r="H95">
        <v>0</v>
      </c>
      <c r="I95" s="65">
        <v>0</v>
      </c>
      <c r="J95" t="s">
        <v>3491</v>
      </c>
      <c r="K95" s="35" t="s">
        <v>730</v>
      </c>
      <c r="L95" s="35" t="s">
        <v>6922</v>
      </c>
      <c r="M95" s="39" t="str">
        <f>HYPERLINK("http://dx.doi.org/10.1007/s10646-015-1483-z","10.1007/s10646-015-1483-z")</f>
        <v>10.1007/s10646-015-1483-z</v>
      </c>
      <c r="N95" s="40" t="s">
        <v>1188</v>
      </c>
      <c r="O95" s="40" t="s">
        <v>741</v>
      </c>
      <c r="P95" s="40" t="s">
        <v>3492</v>
      </c>
      <c r="Q95" t="s">
        <v>316</v>
      </c>
    </row>
    <row r="96" spans="1:17" x14ac:dyDescent="0.25">
      <c r="A96" s="2" t="str">
        <f>HYPERLINK("https://www.ncbi.nlm.nih.gov/pubmed/25077813","25077813")</f>
        <v>25077813</v>
      </c>
      <c r="B96">
        <f t="shared" si="6"/>
        <v>12</v>
      </c>
      <c r="C96">
        <f t="shared" si="6"/>
        <v>2</v>
      </c>
      <c r="D96">
        <f t="shared" si="6"/>
        <v>0</v>
      </c>
      <c r="E96">
        <f t="shared" si="5"/>
        <v>14</v>
      </c>
      <c r="F96">
        <v>2014</v>
      </c>
      <c r="G96" t="s">
        <v>3802</v>
      </c>
      <c r="H96">
        <v>0</v>
      </c>
      <c r="I96" s="65">
        <v>0</v>
      </c>
      <c r="J96" t="s">
        <v>3804</v>
      </c>
      <c r="K96" s="35" t="s">
        <v>755</v>
      </c>
      <c r="L96" s="35" t="s">
        <v>3803</v>
      </c>
      <c r="M96" s="39" t="str">
        <f>HYPERLINK("http://dx.doi.org/10.1002/etc.2702","10.1002/etc.2702")</f>
        <v>10.1002/etc.2702</v>
      </c>
      <c r="N96" s="40" t="s">
        <v>877</v>
      </c>
      <c r="O96" s="40" t="s">
        <v>678</v>
      </c>
      <c r="P96" s="40" t="s">
        <v>3805</v>
      </c>
      <c r="Q96" t="s">
        <v>316</v>
      </c>
    </row>
    <row r="97" spans="1:17" x14ac:dyDescent="0.25">
      <c r="A97" s="2" t="str">
        <f>HYPERLINK("https://www.ncbi.nlm.nih.gov/pubmed/24742550","24742550")</f>
        <v>24742550</v>
      </c>
      <c r="B97">
        <f t="shared" si="6"/>
        <v>12</v>
      </c>
      <c r="C97">
        <f t="shared" si="6"/>
        <v>0</v>
      </c>
      <c r="D97">
        <f t="shared" si="6"/>
        <v>0</v>
      </c>
      <c r="E97">
        <f t="shared" si="5"/>
        <v>12</v>
      </c>
      <c r="F97">
        <v>2014</v>
      </c>
      <c r="G97" t="s">
        <v>3865</v>
      </c>
      <c r="H97">
        <v>0</v>
      </c>
      <c r="I97" s="65">
        <v>0</v>
      </c>
      <c r="J97" t="s">
        <v>3867</v>
      </c>
      <c r="K97" s="35" t="s">
        <v>670</v>
      </c>
      <c r="L97" s="35" t="s">
        <v>3866</v>
      </c>
      <c r="M97" s="39" t="str">
        <f>HYPERLINK("http://dx.doi.org/10.1016/j.scitotenv.2014.03.054","10.1016/j.scitotenv.2014.03.054")</f>
        <v>10.1016/j.scitotenv.2014.03.054</v>
      </c>
      <c r="N97" s="40" t="s">
        <v>3868</v>
      </c>
      <c r="O97" s="40" t="s">
        <v>383</v>
      </c>
      <c r="P97" s="40" t="s">
        <v>3869</v>
      </c>
      <c r="Q97" t="s">
        <v>316</v>
      </c>
    </row>
    <row r="98" spans="1:17" x14ac:dyDescent="0.25">
      <c r="A98" s="2" t="str">
        <f>HYPERLINK("https://www.ncbi.nlm.nih.gov/pubmed/24481906","24481906")</f>
        <v>24481906</v>
      </c>
      <c r="B98">
        <f t="shared" si="6"/>
        <v>12</v>
      </c>
      <c r="C98">
        <f t="shared" si="6"/>
        <v>0</v>
      </c>
      <c r="D98">
        <f t="shared" si="6"/>
        <v>0</v>
      </c>
      <c r="E98">
        <f t="shared" si="5"/>
        <v>12</v>
      </c>
      <c r="F98">
        <v>2014</v>
      </c>
      <c r="G98" t="s">
        <v>3984</v>
      </c>
      <c r="H98">
        <v>0</v>
      </c>
      <c r="I98" s="65">
        <v>0</v>
      </c>
      <c r="J98" t="s">
        <v>3985</v>
      </c>
      <c r="K98" s="35" t="s">
        <v>1210</v>
      </c>
      <c r="L98" s="35" t="s">
        <v>6995</v>
      </c>
      <c r="M98" s="39" t="str">
        <f>HYPERLINK("http://dx.doi.org/10.1007/s00436-014-3773-4","10.1007/s00436-014-3773-4")</f>
        <v>10.1007/s00436-014-3773-4</v>
      </c>
      <c r="N98" s="40" t="s">
        <v>1577</v>
      </c>
      <c r="O98" s="40" t="s">
        <v>690</v>
      </c>
      <c r="P98" s="40" t="s">
        <v>3986</v>
      </c>
      <c r="Q98" t="s">
        <v>316</v>
      </c>
    </row>
    <row r="99" spans="1:17" x14ac:dyDescent="0.25">
      <c r="A99" s="2" t="str">
        <f>HYPERLINK("https://www.ncbi.nlm.nih.gov/pubmed/23369635","23369635")</f>
        <v>23369635</v>
      </c>
      <c r="B99">
        <f t="shared" si="6"/>
        <v>12</v>
      </c>
      <c r="C99">
        <f t="shared" si="6"/>
        <v>5</v>
      </c>
      <c r="D99">
        <f t="shared" si="6"/>
        <v>0</v>
      </c>
      <c r="E99">
        <f t="shared" si="5"/>
        <v>17</v>
      </c>
      <c r="F99">
        <v>2013</v>
      </c>
      <c r="G99" t="s">
        <v>4246</v>
      </c>
      <c r="H99">
        <v>0</v>
      </c>
      <c r="I99" s="65">
        <v>0</v>
      </c>
      <c r="J99" t="s">
        <v>4035</v>
      </c>
      <c r="K99" s="35" t="s">
        <v>822</v>
      </c>
      <c r="L99" s="35" t="s">
        <v>4247</v>
      </c>
      <c r="M99" s="39" t="str">
        <f>HYPERLINK("http://dx.doi.org/10.1016/j.chemosphere.2012.12.054","10.1016/j.chemosphere.2012.12.054")</f>
        <v>10.1016/j.chemosphere.2012.12.054</v>
      </c>
      <c r="N99" s="40" t="s">
        <v>2216</v>
      </c>
      <c r="O99" s="40" t="s">
        <v>678</v>
      </c>
      <c r="P99" s="40" t="s">
        <v>4248</v>
      </c>
      <c r="Q99" t="s">
        <v>316</v>
      </c>
    </row>
    <row r="100" spans="1:17" x14ac:dyDescent="0.25">
      <c r="A100" s="2" t="str">
        <f>HYPERLINK("https://www.ncbi.nlm.nih.gov/pubmed/21510217","21510217")</f>
        <v>21510217</v>
      </c>
      <c r="B100">
        <f t="shared" si="6"/>
        <v>12</v>
      </c>
      <c r="C100">
        <f t="shared" si="6"/>
        <v>0</v>
      </c>
      <c r="D100">
        <f t="shared" si="6"/>
        <v>0</v>
      </c>
      <c r="E100">
        <f t="shared" si="5"/>
        <v>12</v>
      </c>
      <c r="F100">
        <v>2011</v>
      </c>
      <c r="G100" t="s">
        <v>4666</v>
      </c>
      <c r="H100">
        <v>0</v>
      </c>
      <c r="I100" s="65">
        <v>0</v>
      </c>
      <c r="J100" t="s">
        <v>4667</v>
      </c>
      <c r="K100" s="35" t="s">
        <v>909</v>
      </c>
      <c r="L100" s="35" t="s">
        <v>7086</v>
      </c>
      <c r="M100" s="39" t="str">
        <f>HYPERLINK("http://dx.doi.org/10.1603/ec10391","10.1603/ec10391")</f>
        <v>10.1603/ec10391</v>
      </c>
      <c r="N100" s="40" t="s">
        <v>2207</v>
      </c>
      <c r="O100" s="40" t="s">
        <v>744</v>
      </c>
      <c r="P100" s="40" t="s">
        <v>4668</v>
      </c>
      <c r="Q100" t="s">
        <v>316</v>
      </c>
    </row>
    <row r="101" spans="1:17" x14ac:dyDescent="0.25">
      <c r="A101" s="2" t="str">
        <f>HYPERLINK("https://www.ncbi.nlm.nih.gov/pubmed/21424709","21424709")</f>
        <v>21424709</v>
      </c>
      <c r="B101">
        <f t="shared" si="6"/>
        <v>12</v>
      </c>
      <c r="C101">
        <f t="shared" si="6"/>
        <v>0</v>
      </c>
      <c r="D101">
        <f t="shared" si="6"/>
        <v>0</v>
      </c>
      <c r="E101">
        <f t="shared" si="5"/>
        <v>12</v>
      </c>
      <c r="F101">
        <v>2011</v>
      </c>
      <c r="G101" t="s">
        <v>4694</v>
      </c>
      <c r="H101">
        <v>0</v>
      </c>
      <c r="I101" s="65">
        <v>0</v>
      </c>
      <c r="J101" t="s">
        <v>4696</v>
      </c>
      <c r="K101" s="35" t="s">
        <v>3164</v>
      </c>
      <c r="L101" s="35" t="s">
        <v>4695</v>
      </c>
      <c r="M101" s="39" t="str">
        <f>HYPERLINK("http://dx.doi.org/10.1007/s00128-011-0243-x","10.1007/s00128-011-0243-x")</f>
        <v>10.1007/s00128-011-0243-x</v>
      </c>
      <c r="N101" s="40" t="s">
        <v>845</v>
      </c>
      <c r="O101" s="40" t="s">
        <v>746</v>
      </c>
      <c r="P101" s="40" t="s">
        <v>4697</v>
      </c>
      <c r="Q101" t="s">
        <v>316</v>
      </c>
    </row>
    <row r="102" spans="1:17" x14ac:dyDescent="0.25">
      <c r="A102" s="2" t="str">
        <f>HYPERLINK("https://www.ncbi.nlm.nih.gov/pubmed/20364247","20364247")</f>
        <v>20364247</v>
      </c>
      <c r="B102">
        <f t="shared" si="6"/>
        <v>12</v>
      </c>
      <c r="C102">
        <f t="shared" si="6"/>
        <v>1</v>
      </c>
      <c r="D102">
        <f t="shared" si="6"/>
        <v>0</v>
      </c>
      <c r="E102">
        <f t="shared" si="5"/>
        <v>13</v>
      </c>
      <c r="F102">
        <v>2010</v>
      </c>
      <c r="G102" t="s">
        <v>4933</v>
      </c>
      <c r="H102">
        <v>0</v>
      </c>
      <c r="I102" s="65">
        <v>0</v>
      </c>
      <c r="J102" t="s">
        <v>4935</v>
      </c>
      <c r="K102" s="35" t="s">
        <v>3164</v>
      </c>
      <c r="L102" s="35" t="s">
        <v>4934</v>
      </c>
      <c r="M102" s="39" t="str">
        <f>HYPERLINK("http://dx.doi.org/10.1007/s00128-010-9965-4","10.1007/s00128-010-9965-4")</f>
        <v>10.1007/s00128-010-9965-4</v>
      </c>
      <c r="N102" s="40" t="s">
        <v>4936</v>
      </c>
      <c r="O102" s="40" t="s">
        <v>746</v>
      </c>
      <c r="P102" s="40" t="s">
        <v>4937</v>
      </c>
      <c r="Q102" t="s">
        <v>316</v>
      </c>
    </row>
    <row r="103" spans="1:17" x14ac:dyDescent="0.25">
      <c r="A103" s="2" t="str">
        <f>HYPERLINK("https://www.ncbi.nlm.nih.gov/pubmed/19355792","19355792")</f>
        <v>19355792</v>
      </c>
      <c r="B103">
        <f t="shared" si="6"/>
        <v>12</v>
      </c>
      <c r="C103">
        <f t="shared" si="6"/>
        <v>0</v>
      </c>
      <c r="D103">
        <f t="shared" si="6"/>
        <v>0</v>
      </c>
      <c r="E103">
        <f t="shared" si="5"/>
        <v>12</v>
      </c>
      <c r="F103">
        <v>2009</v>
      </c>
      <c r="G103" t="s">
        <v>5147</v>
      </c>
      <c r="H103">
        <v>0</v>
      </c>
      <c r="I103" s="65">
        <v>0</v>
      </c>
      <c r="J103" t="s">
        <v>5148</v>
      </c>
      <c r="K103" s="35" t="s">
        <v>755</v>
      </c>
      <c r="L103" s="35" t="s">
        <v>7124</v>
      </c>
      <c r="M103" s="39" t="str">
        <f>HYPERLINK("http://dx.doi.org/10.1897/08-658.1","10.1897/08-658.1")</f>
        <v>10.1897/08-658.1</v>
      </c>
      <c r="N103" s="40" t="s">
        <v>731</v>
      </c>
      <c r="O103" s="40" t="s">
        <v>660</v>
      </c>
      <c r="P103" s="40" t="s">
        <v>5149</v>
      </c>
      <c r="Q103" t="s">
        <v>316</v>
      </c>
    </row>
    <row r="104" spans="1:17" x14ac:dyDescent="0.25">
      <c r="A104" s="2" t="str">
        <f>HYPERLINK("https://www.ncbi.nlm.nih.gov/pubmed/18767755","18767755")</f>
        <v>18767755</v>
      </c>
      <c r="B104">
        <f t="shared" ref="B104:D123" si="7">IF(ISBLANK(B$3),0,(LEN($L104) - LEN(SUBSTITUTE(LOWER($L104),LOWER(B$3),"")))/LEN(B$3))</f>
        <v>12</v>
      </c>
      <c r="C104">
        <f t="shared" si="7"/>
        <v>0</v>
      </c>
      <c r="D104">
        <f t="shared" si="7"/>
        <v>0</v>
      </c>
      <c r="E104">
        <f t="shared" si="5"/>
        <v>12</v>
      </c>
      <c r="F104">
        <v>2008</v>
      </c>
      <c r="G104" t="s">
        <v>5236</v>
      </c>
      <c r="H104">
        <v>0</v>
      </c>
      <c r="I104" s="65">
        <v>0</v>
      </c>
      <c r="J104" t="s">
        <v>5238</v>
      </c>
      <c r="K104" s="35" t="s">
        <v>909</v>
      </c>
      <c r="L104" s="35" t="s">
        <v>5237</v>
      </c>
      <c r="M104" s="39" t="str">
        <f>HYPERLINK("http://dx.doi.org/10.1603/0022-0493(2008)101[1415:dfsami]2.0.co;2","10.1603/0022-0493(2008)101[1415:dfsami]2.0.co;2")</f>
        <v>10.1603/0022-0493(2008)101[1415:dfsami]2.0.co;2</v>
      </c>
      <c r="N104" s="40" t="s">
        <v>2872</v>
      </c>
      <c r="O104" s="40" t="s">
        <v>690</v>
      </c>
      <c r="P104" s="40" t="s">
        <v>5239</v>
      </c>
      <c r="Q104" t="s">
        <v>316</v>
      </c>
    </row>
    <row r="105" spans="1:17" x14ac:dyDescent="0.25">
      <c r="A105" s="2" t="str">
        <f>HYPERLINK("https://www.ncbi.nlm.nih.gov/pubmed/18699702","18699702")</f>
        <v>18699702</v>
      </c>
      <c r="B105">
        <f t="shared" si="7"/>
        <v>12</v>
      </c>
      <c r="C105">
        <f t="shared" si="7"/>
        <v>0</v>
      </c>
      <c r="D105">
        <f t="shared" si="7"/>
        <v>0</v>
      </c>
      <c r="E105">
        <f t="shared" si="5"/>
        <v>12</v>
      </c>
      <c r="F105">
        <v>2008</v>
      </c>
      <c r="G105" t="s">
        <v>5257</v>
      </c>
      <c r="H105">
        <v>0</v>
      </c>
      <c r="I105" s="65">
        <v>0</v>
      </c>
      <c r="J105" t="s">
        <v>5258</v>
      </c>
      <c r="K105" s="35" t="s">
        <v>755</v>
      </c>
      <c r="L105" s="35" t="s">
        <v>7133</v>
      </c>
      <c r="M105" s="39" t="str">
        <f>HYPERLINK("http://dx.doi.org/10.1897/08-185.1","10.1897/08-185.1")</f>
        <v>10.1897/08-185.1</v>
      </c>
      <c r="N105" s="40" t="s">
        <v>1116</v>
      </c>
      <c r="O105" s="40" t="s">
        <v>915</v>
      </c>
      <c r="P105" s="40" t="s">
        <v>5259</v>
      </c>
      <c r="Q105" t="s">
        <v>316</v>
      </c>
    </row>
    <row r="106" spans="1:17" x14ac:dyDescent="0.25">
      <c r="A106" s="2" t="str">
        <f>HYPERLINK("https://www.ncbi.nlm.nih.gov/pubmed/17084830","17084830")</f>
        <v>17084830</v>
      </c>
      <c r="B106">
        <f t="shared" si="7"/>
        <v>12</v>
      </c>
      <c r="C106">
        <f t="shared" si="7"/>
        <v>0</v>
      </c>
      <c r="D106">
        <f t="shared" si="7"/>
        <v>0</v>
      </c>
      <c r="E106">
        <f t="shared" si="5"/>
        <v>12</v>
      </c>
      <c r="F106">
        <v>2006</v>
      </c>
      <c r="G106" t="s">
        <v>5550</v>
      </c>
      <c r="H106">
        <v>0</v>
      </c>
      <c r="I106" s="65">
        <v>0</v>
      </c>
      <c r="J106" t="s">
        <v>5551</v>
      </c>
      <c r="K106" s="35" t="s">
        <v>5552</v>
      </c>
      <c r="L106" s="35" t="s">
        <v>7168</v>
      </c>
      <c r="M106" s="39" t="str">
        <f>HYPERLINK("http://dx.doi.org/10.1016/j.cbi.2006.09.013","10.1016/j.cbi.2006.09.013")</f>
        <v>10.1016/j.cbi.2006.09.013</v>
      </c>
      <c r="N106" s="40" t="s">
        <v>5553</v>
      </c>
      <c r="O106" s="40" t="s">
        <v>750</v>
      </c>
      <c r="P106" s="40" t="s">
        <v>5554</v>
      </c>
      <c r="Q106" t="s">
        <v>316</v>
      </c>
    </row>
    <row r="107" spans="1:17" x14ac:dyDescent="0.25">
      <c r="A107" s="2" t="str">
        <f>HYPERLINK("https://www.ncbi.nlm.nih.gov/pubmed/16336717","16336717")</f>
        <v>16336717</v>
      </c>
      <c r="B107">
        <f t="shared" si="7"/>
        <v>12</v>
      </c>
      <c r="C107">
        <f t="shared" si="7"/>
        <v>0</v>
      </c>
      <c r="D107">
        <f t="shared" si="7"/>
        <v>0</v>
      </c>
      <c r="E107">
        <f t="shared" si="5"/>
        <v>12</v>
      </c>
      <c r="F107">
        <v>2005</v>
      </c>
      <c r="G107" t="s">
        <v>5695</v>
      </c>
      <c r="H107">
        <v>0</v>
      </c>
      <c r="I107" s="65">
        <v>0</v>
      </c>
      <c r="J107" t="s">
        <v>5697</v>
      </c>
      <c r="K107" s="35" t="s">
        <v>5698</v>
      </c>
      <c r="L107" s="35" t="s">
        <v>5696</v>
      </c>
      <c r="M107" s="39" t="str">
        <f>HYPERLINK("http://dx.doi.org/10.1079/joh2005294","10.1079/joh2005294")</f>
        <v>10.1079/joh2005294</v>
      </c>
      <c r="N107" s="40" t="s">
        <v>1396</v>
      </c>
      <c r="O107" s="40" t="s">
        <v>690</v>
      </c>
      <c r="P107" s="40" t="s">
        <v>5699</v>
      </c>
      <c r="Q107" t="s">
        <v>316</v>
      </c>
    </row>
    <row r="108" spans="1:17" x14ac:dyDescent="0.25">
      <c r="A108" s="2" t="str">
        <f>HYPERLINK("https://www.ncbi.nlm.nih.gov/pubmed/16156584","16156584")</f>
        <v>16156584</v>
      </c>
      <c r="B108">
        <f t="shared" si="7"/>
        <v>12</v>
      </c>
      <c r="C108">
        <f t="shared" si="7"/>
        <v>0</v>
      </c>
      <c r="D108">
        <f t="shared" si="7"/>
        <v>0</v>
      </c>
      <c r="E108">
        <f t="shared" si="5"/>
        <v>12</v>
      </c>
      <c r="F108">
        <v>2005</v>
      </c>
      <c r="G108" t="s">
        <v>5727</v>
      </c>
      <c r="H108">
        <v>0</v>
      </c>
      <c r="I108" s="65">
        <v>0</v>
      </c>
      <c r="J108" t="s">
        <v>5729</v>
      </c>
      <c r="K108" s="35" t="s">
        <v>909</v>
      </c>
      <c r="L108" s="35" t="s">
        <v>5728</v>
      </c>
      <c r="M108" s="39" t="str">
        <f>HYPERLINK("http://dx.doi.org/10.1603/0022-0493-98.4.1305","10.1603/0022-0493-98.4.1305")</f>
        <v>10.1603/0022-0493-98.4.1305</v>
      </c>
      <c r="N108" s="40" t="s">
        <v>3516</v>
      </c>
      <c r="O108" s="40" t="s">
        <v>690</v>
      </c>
      <c r="P108" s="40" t="s">
        <v>5730</v>
      </c>
      <c r="Q108" t="s">
        <v>316</v>
      </c>
    </row>
    <row r="109" spans="1:17" x14ac:dyDescent="0.25">
      <c r="A109" s="2" t="str">
        <f>HYPERLINK("https://www.ncbi.nlm.nih.gov/pubmed/15014137","15014137")</f>
        <v>15014137</v>
      </c>
      <c r="B109">
        <f t="shared" si="7"/>
        <v>12</v>
      </c>
      <c r="C109">
        <f t="shared" si="7"/>
        <v>0</v>
      </c>
      <c r="D109">
        <f t="shared" si="7"/>
        <v>0</v>
      </c>
      <c r="E109">
        <f t="shared" si="5"/>
        <v>12</v>
      </c>
      <c r="F109">
        <v>2004</v>
      </c>
      <c r="G109" t="s">
        <v>5965</v>
      </c>
      <c r="H109">
        <v>0</v>
      </c>
      <c r="I109" s="65">
        <v>0</v>
      </c>
      <c r="J109" t="s">
        <v>5834</v>
      </c>
      <c r="K109" s="35" t="s">
        <v>5835</v>
      </c>
      <c r="L109" s="35" t="s">
        <v>5966</v>
      </c>
      <c r="M109" s="39" t="str">
        <f>HYPERLINK("http://dx.doi.org/10.1124/jpet.104.065516","10.1124/jpet.104.065516")</f>
        <v>10.1124/jpet.104.065516</v>
      </c>
      <c r="N109" s="40" t="s">
        <v>5967</v>
      </c>
      <c r="O109" s="40" t="s">
        <v>638</v>
      </c>
      <c r="P109" s="40" t="s">
        <v>5968</v>
      </c>
      <c r="Q109" t="s">
        <v>316</v>
      </c>
    </row>
    <row r="110" spans="1:17" x14ac:dyDescent="0.25">
      <c r="A110" s="2" t="str">
        <f>HYPERLINK("https://www.ncbi.nlm.nih.gov/pubmed/11503069","11503069")</f>
        <v>11503069</v>
      </c>
      <c r="B110">
        <f t="shared" si="7"/>
        <v>12</v>
      </c>
      <c r="C110">
        <f t="shared" si="7"/>
        <v>0</v>
      </c>
      <c r="D110">
        <f t="shared" si="7"/>
        <v>0</v>
      </c>
      <c r="E110">
        <f t="shared" si="5"/>
        <v>12</v>
      </c>
      <c r="F110">
        <v>2001</v>
      </c>
      <c r="G110" t="s">
        <v>6237</v>
      </c>
      <c r="H110">
        <v>0</v>
      </c>
      <c r="I110" s="65">
        <v>0</v>
      </c>
      <c r="J110" t="s">
        <v>6238</v>
      </c>
      <c r="K110" s="35" t="s">
        <v>1395</v>
      </c>
      <c r="L110" s="35" t="s">
        <v>7243</v>
      </c>
      <c r="M110" s="39" t="str">
        <f>HYPERLINK("http://dx.doi.org/10.1007/s002440010255","10.1007/s002440010255")</f>
        <v>10.1007/s002440010255</v>
      </c>
      <c r="N110" s="40" t="s">
        <v>1104</v>
      </c>
      <c r="O110" s="40" t="s">
        <v>750</v>
      </c>
      <c r="P110" s="40" t="s">
        <v>6239</v>
      </c>
      <c r="Q110" t="s">
        <v>316</v>
      </c>
    </row>
    <row r="111" spans="1:17" x14ac:dyDescent="0.25">
      <c r="A111" s="2" t="str">
        <f>HYPERLINK("https://www.ncbi.nlm.nih.gov/pubmed/34301351","34301351")</f>
        <v>34301351</v>
      </c>
      <c r="B111">
        <f t="shared" si="7"/>
        <v>11</v>
      </c>
      <c r="C111">
        <f t="shared" si="7"/>
        <v>0</v>
      </c>
      <c r="D111">
        <f t="shared" si="7"/>
        <v>0</v>
      </c>
      <c r="E111">
        <f t="shared" si="5"/>
        <v>11</v>
      </c>
      <c r="F111">
        <v>2021</v>
      </c>
      <c r="G111" t="s">
        <v>834</v>
      </c>
      <c r="H111">
        <v>0</v>
      </c>
      <c r="I111" s="65">
        <v>0</v>
      </c>
      <c r="J111" t="s">
        <v>836</v>
      </c>
      <c r="K111" s="35" t="s">
        <v>831</v>
      </c>
      <c r="L111" s="35" t="s">
        <v>835</v>
      </c>
      <c r="M111" s="39" t="str">
        <f>HYPERLINK("http://dx.doi.org/10.1016/j.pestbp.2021.104880","10.1016/j.pestbp.2021.104880")</f>
        <v>10.1016/j.pestbp.2021.104880</v>
      </c>
      <c r="N111" s="40" t="s">
        <v>832</v>
      </c>
      <c r="O111" s="40" t="s">
        <v>383</v>
      </c>
      <c r="P111" s="40" t="s">
        <v>837</v>
      </c>
      <c r="Q111" t="s">
        <v>316</v>
      </c>
    </row>
    <row r="112" spans="1:17" x14ac:dyDescent="0.25">
      <c r="A112" s="2" t="str">
        <f>HYPERLINK("https://www.ncbi.nlm.nih.gov/pubmed/34160503","34160503")</f>
        <v>34160503</v>
      </c>
      <c r="B112">
        <f t="shared" si="7"/>
        <v>11</v>
      </c>
      <c r="C112">
        <f t="shared" si="7"/>
        <v>0</v>
      </c>
      <c r="D112">
        <f t="shared" si="7"/>
        <v>0</v>
      </c>
      <c r="E112">
        <f t="shared" si="5"/>
        <v>11</v>
      </c>
      <c r="F112">
        <v>2021</v>
      </c>
      <c r="G112" t="s">
        <v>887</v>
      </c>
      <c r="H112">
        <v>0</v>
      </c>
      <c r="I112" s="65">
        <v>0</v>
      </c>
      <c r="J112" t="s">
        <v>889</v>
      </c>
      <c r="K112" s="35" t="s">
        <v>890</v>
      </c>
      <c r="L112" s="35" t="s">
        <v>888</v>
      </c>
      <c r="M112" s="39" t="str">
        <f>HYPERLINK("http://dx.doi.org/10.1039/d1an00490e","10.1039/d1an00490e")</f>
        <v>10.1039/d1an00490e</v>
      </c>
      <c r="N112" s="40" t="s">
        <v>891</v>
      </c>
      <c r="O112" s="40" t="s">
        <v>871</v>
      </c>
      <c r="P112" s="40" t="s">
        <v>892</v>
      </c>
      <c r="Q112" t="s">
        <v>316</v>
      </c>
    </row>
    <row r="113" spans="1:17" x14ac:dyDescent="0.25">
      <c r="A113" s="2" t="str">
        <f>HYPERLINK("https://www.ncbi.nlm.nih.gov/pubmed/34088081","34088081")</f>
        <v>34088081</v>
      </c>
      <c r="B113">
        <f t="shared" si="7"/>
        <v>11</v>
      </c>
      <c r="C113">
        <f t="shared" si="7"/>
        <v>3</v>
      </c>
      <c r="D113">
        <f t="shared" si="7"/>
        <v>0</v>
      </c>
      <c r="E113">
        <f t="shared" si="5"/>
        <v>14</v>
      </c>
      <c r="F113">
        <v>2021</v>
      </c>
      <c r="G113" t="s">
        <v>917</v>
      </c>
      <c r="H113">
        <v>0</v>
      </c>
      <c r="I113" s="65">
        <v>0</v>
      </c>
      <c r="J113" t="s">
        <v>919</v>
      </c>
      <c r="K113" s="35" t="s">
        <v>822</v>
      </c>
      <c r="L113" s="35" t="s">
        <v>918</v>
      </c>
      <c r="M113" s="39" t="str">
        <f>HYPERLINK("http://dx.doi.org/10.1016/j.chemosphere.2021.130156","10.1016/j.chemosphere.2021.130156")</f>
        <v>10.1016/j.chemosphere.2021.130156</v>
      </c>
      <c r="N113" s="40" t="s">
        <v>920</v>
      </c>
      <c r="O113" s="40" t="s">
        <v>383</v>
      </c>
      <c r="P113" s="40" t="s">
        <v>921</v>
      </c>
      <c r="Q113" t="s">
        <v>316</v>
      </c>
    </row>
    <row r="114" spans="1:17" x14ac:dyDescent="0.25">
      <c r="A114" s="2" t="str">
        <f>HYPERLINK("https://www.ncbi.nlm.nih.gov/pubmed/33155653","33155653")</f>
        <v>33155653</v>
      </c>
      <c r="B114">
        <f t="shared" si="7"/>
        <v>11</v>
      </c>
      <c r="C114">
        <f t="shared" si="7"/>
        <v>0</v>
      </c>
      <c r="D114">
        <f t="shared" si="7"/>
        <v>0</v>
      </c>
      <c r="E114">
        <f t="shared" si="5"/>
        <v>11</v>
      </c>
      <c r="F114">
        <v>2021</v>
      </c>
      <c r="G114" t="s">
        <v>1237</v>
      </c>
      <c r="H114">
        <v>0</v>
      </c>
      <c r="I114" s="65">
        <v>0</v>
      </c>
      <c r="J114" t="s">
        <v>1235</v>
      </c>
      <c r="K114" s="35" t="s">
        <v>1027</v>
      </c>
      <c r="L114" s="35" t="s">
        <v>6579</v>
      </c>
      <c r="M114" s="39" t="str">
        <f>HYPERLINK("http://dx.doi.org/10.1093/jme/tjaa200","10.1093/jme/tjaa200")</f>
        <v>10.1093/jme/tjaa200</v>
      </c>
      <c r="N114" s="40" t="s">
        <v>1028</v>
      </c>
      <c r="O114" s="40" t="s">
        <v>744</v>
      </c>
      <c r="P114" s="40" t="s">
        <v>1238</v>
      </c>
      <c r="Q114" t="s">
        <v>316</v>
      </c>
    </row>
    <row r="115" spans="1:17" x14ac:dyDescent="0.25">
      <c r="A115" s="2" t="str">
        <f>HYPERLINK("https://www.ncbi.nlm.nih.gov/pubmed/32736585","32736585")</f>
        <v>32736585</v>
      </c>
      <c r="B115">
        <f t="shared" si="7"/>
        <v>11</v>
      </c>
      <c r="C115">
        <f t="shared" si="7"/>
        <v>0</v>
      </c>
      <c r="D115">
        <f t="shared" si="7"/>
        <v>0</v>
      </c>
      <c r="E115">
        <f t="shared" si="5"/>
        <v>11</v>
      </c>
      <c r="F115">
        <v>2020</v>
      </c>
      <c r="G115" t="s">
        <v>1441</v>
      </c>
      <c r="H115">
        <v>0</v>
      </c>
      <c r="I115" s="64" t="str">
        <f>HYPERLINK("https://www.ncbi.nlm.nih.gov/research/pubtator/?view=docsum&amp;query=PMC7395346","1")</f>
        <v>1</v>
      </c>
      <c r="J115" t="s">
        <v>1442</v>
      </c>
      <c r="K115" s="35" t="s">
        <v>870</v>
      </c>
      <c r="L115" s="35" t="s">
        <v>6609</v>
      </c>
      <c r="M115" s="39" t="str">
        <f>HYPERLINK("http://dx.doi.org/10.1186/s13071-020-04258-0","10.1186/s13071-020-04258-0")</f>
        <v>10.1186/s13071-020-04258-0</v>
      </c>
      <c r="N115" s="40" t="s">
        <v>742</v>
      </c>
      <c r="O115" s="40" t="s">
        <v>638</v>
      </c>
      <c r="P115" s="40" t="s">
        <v>1443</v>
      </c>
      <c r="Q115" t="s">
        <v>316</v>
      </c>
    </row>
    <row r="116" spans="1:17" x14ac:dyDescent="0.25">
      <c r="A116" s="2" t="str">
        <f>HYPERLINK("https://www.ncbi.nlm.nih.gov/pubmed/32560986","32560986")</f>
        <v>32560986</v>
      </c>
      <c r="B116">
        <f t="shared" si="7"/>
        <v>11</v>
      </c>
      <c r="C116">
        <f t="shared" si="7"/>
        <v>0</v>
      </c>
      <c r="D116">
        <f t="shared" si="7"/>
        <v>0</v>
      </c>
      <c r="E116">
        <f t="shared" si="5"/>
        <v>11</v>
      </c>
      <c r="F116">
        <v>2020</v>
      </c>
      <c r="G116" t="s">
        <v>1487</v>
      </c>
      <c r="H116">
        <v>0</v>
      </c>
      <c r="I116" s="65">
        <v>0</v>
      </c>
      <c r="J116" t="s">
        <v>1488</v>
      </c>
      <c r="K116" s="35" t="s">
        <v>1407</v>
      </c>
      <c r="L116" s="35" t="s">
        <v>6617</v>
      </c>
      <c r="M116" s="39" t="str">
        <f>HYPERLINK("http://dx.doi.org/10.1016/j.jenvman.2020.110756","10.1016/j.jenvman.2020.110756")</f>
        <v>10.1016/j.jenvman.2020.110756</v>
      </c>
      <c r="N116" s="40" t="s">
        <v>1155</v>
      </c>
      <c r="O116" s="40" t="s">
        <v>383</v>
      </c>
      <c r="P116" s="40" t="s">
        <v>1489</v>
      </c>
      <c r="Q116" t="s">
        <v>316</v>
      </c>
    </row>
    <row r="117" spans="1:17" x14ac:dyDescent="0.25">
      <c r="A117" s="2" t="str">
        <f>HYPERLINK("https://www.ncbi.nlm.nih.gov/pubmed/32304060","32304060")</f>
        <v>32304060</v>
      </c>
      <c r="B117">
        <f t="shared" si="7"/>
        <v>11</v>
      </c>
      <c r="C117">
        <f t="shared" si="7"/>
        <v>0</v>
      </c>
      <c r="D117">
        <f t="shared" si="7"/>
        <v>0</v>
      </c>
      <c r="E117">
        <f t="shared" si="5"/>
        <v>11</v>
      </c>
      <c r="F117">
        <v>2020</v>
      </c>
      <c r="G117" t="s">
        <v>1551</v>
      </c>
      <c r="H117">
        <v>0</v>
      </c>
      <c r="I117" s="65">
        <v>0</v>
      </c>
      <c r="J117" t="s">
        <v>1553</v>
      </c>
      <c r="K117" s="35" t="s">
        <v>810</v>
      </c>
      <c r="L117" s="35" t="s">
        <v>1552</v>
      </c>
      <c r="M117" s="39" t="str">
        <f>HYPERLINK("http://dx.doi.org/10.1007/s11356-020-08555-0","10.1007/s11356-020-08555-0")</f>
        <v>10.1007/s11356-020-08555-0</v>
      </c>
      <c r="N117" s="40" t="s">
        <v>1116</v>
      </c>
      <c r="O117" s="40" t="s">
        <v>1115</v>
      </c>
      <c r="P117" s="40" t="s">
        <v>1554</v>
      </c>
      <c r="Q117" t="s">
        <v>316</v>
      </c>
    </row>
    <row r="118" spans="1:17" x14ac:dyDescent="0.25">
      <c r="A118" s="2" t="str">
        <f>HYPERLINK("https://www.ncbi.nlm.nih.gov/pubmed/30870636","30870636")</f>
        <v>30870636</v>
      </c>
      <c r="B118">
        <f t="shared" si="7"/>
        <v>11</v>
      </c>
      <c r="C118">
        <f t="shared" si="7"/>
        <v>0</v>
      </c>
      <c r="D118">
        <f t="shared" si="7"/>
        <v>0</v>
      </c>
      <c r="E118">
        <f t="shared" si="5"/>
        <v>11</v>
      </c>
      <c r="F118">
        <v>2019</v>
      </c>
      <c r="G118" t="s">
        <v>2111</v>
      </c>
      <c r="H118">
        <v>0</v>
      </c>
      <c r="I118" s="64" t="str">
        <f>HYPERLINK("https://www.ncbi.nlm.nih.gov/research/pubtator/?view=docsum&amp;query=PMC6506233","1")</f>
        <v>1</v>
      </c>
      <c r="J118" t="s">
        <v>2112</v>
      </c>
      <c r="K118" s="35" t="s">
        <v>1289</v>
      </c>
      <c r="L118" s="35" t="s">
        <v>6696</v>
      </c>
      <c r="M118" s="39" t="str">
        <f>HYPERLINK("http://dx.doi.org/10.1016/j.watres.2019.02.045","10.1016/j.watres.2019.02.045")</f>
        <v>10.1016/j.watres.2019.02.045</v>
      </c>
      <c r="N118" s="40" t="s">
        <v>2113</v>
      </c>
      <c r="O118" s="40" t="s">
        <v>383</v>
      </c>
      <c r="P118" s="40" t="s">
        <v>2114</v>
      </c>
      <c r="Q118" t="s">
        <v>316</v>
      </c>
    </row>
    <row r="119" spans="1:17" x14ac:dyDescent="0.25">
      <c r="A119" s="2" t="str">
        <f>HYPERLINK("https://www.ncbi.nlm.nih.gov/pubmed/30658770","30658770")</f>
        <v>30658770</v>
      </c>
      <c r="B119">
        <f t="shared" si="7"/>
        <v>11</v>
      </c>
      <c r="C119">
        <f t="shared" si="7"/>
        <v>0</v>
      </c>
      <c r="D119">
        <f t="shared" si="7"/>
        <v>0</v>
      </c>
      <c r="E119">
        <f t="shared" si="5"/>
        <v>11</v>
      </c>
      <c r="F119">
        <v>2019</v>
      </c>
      <c r="G119" t="s">
        <v>2182</v>
      </c>
      <c r="H119">
        <v>0</v>
      </c>
      <c r="I119" s="65">
        <v>0</v>
      </c>
      <c r="J119" t="s">
        <v>2184</v>
      </c>
      <c r="K119" s="35" t="s">
        <v>786</v>
      </c>
      <c r="L119" s="35" t="s">
        <v>2183</v>
      </c>
      <c r="M119" s="39" t="str">
        <f>HYPERLINK("http://dx.doi.org/10.1016/j.foodchem.2018.12.041","10.1016/j.foodchem.2018.12.041")</f>
        <v>10.1016/j.foodchem.2018.12.041</v>
      </c>
      <c r="N119" s="40" t="s">
        <v>2185</v>
      </c>
      <c r="O119" s="40" t="s">
        <v>383</v>
      </c>
      <c r="P119" s="40" t="s">
        <v>2186</v>
      </c>
      <c r="Q119" t="s">
        <v>316</v>
      </c>
    </row>
    <row r="120" spans="1:17" x14ac:dyDescent="0.25">
      <c r="A120" s="2" t="str">
        <f>HYPERLINK("https://www.ncbi.nlm.nih.gov/pubmed/30372501","30372501")</f>
        <v>30372501</v>
      </c>
      <c r="B120">
        <f t="shared" si="7"/>
        <v>11</v>
      </c>
      <c r="C120">
        <f t="shared" si="7"/>
        <v>0</v>
      </c>
      <c r="D120">
        <f t="shared" si="7"/>
        <v>0</v>
      </c>
      <c r="E120">
        <f t="shared" si="5"/>
        <v>11</v>
      </c>
      <c r="F120">
        <v>2018</v>
      </c>
      <c r="G120" t="s">
        <v>2262</v>
      </c>
      <c r="H120">
        <v>0</v>
      </c>
      <c r="I120" s="64" t="str">
        <f>HYPERLINK("https://www.ncbi.nlm.nih.gov/research/pubtator/?view=docsum&amp;query=PMC6205613","1")</f>
        <v>1</v>
      </c>
      <c r="J120" t="s">
        <v>2263</v>
      </c>
      <c r="K120" s="35" t="s">
        <v>779</v>
      </c>
      <c r="L120" s="35" t="s">
        <v>6721</v>
      </c>
      <c r="M120" s="39" t="str">
        <f>HYPERLINK("http://dx.doi.org/10.1371/journal.pone.0206385","10.1371/journal.pone.0206385")</f>
        <v>10.1371/journal.pone.0206385</v>
      </c>
      <c r="N120" s="40" t="s">
        <v>742</v>
      </c>
      <c r="O120" s="40" t="s">
        <v>802</v>
      </c>
      <c r="P120" s="40" t="s">
        <v>2264</v>
      </c>
      <c r="Q120" t="s">
        <v>316</v>
      </c>
    </row>
    <row r="121" spans="1:17" x14ac:dyDescent="0.25">
      <c r="A121" s="2" t="str">
        <f>HYPERLINK("https://www.ncbi.nlm.nih.gov/pubmed/30055411","30055411")</f>
        <v>30055411</v>
      </c>
      <c r="B121">
        <f t="shared" si="7"/>
        <v>11</v>
      </c>
      <c r="C121">
        <f t="shared" si="7"/>
        <v>0</v>
      </c>
      <c r="D121">
        <f t="shared" si="7"/>
        <v>0</v>
      </c>
      <c r="E121">
        <f t="shared" si="5"/>
        <v>11</v>
      </c>
      <c r="F121">
        <v>2018</v>
      </c>
      <c r="G121" t="s">
        <v>2380</v>
      </c>
      <c r="H121">
        <v>0</v>
      </c>
      <c r="I121" s="65">
        <v>0</v>
      </c>
      <c r="J121" t="s">
        <v>2381</v>
      </c>
      <c r="K121" s="35" t="s">
        <v>763</v>
      </c>
      <c r="L121" s="35" t="s">
        <v>6738</v>
      </c>
      <c r="M121" s="39" t="str">
        <f>HYPERLINK("http://dx.doi.org/10.1016/j.aquatox.2018.07.014","10.1016/j.aquatox.2018.07.014")</f>
        <v>10.1016/j.aquatox.2018.07.014</v>
      </c>
      <c r="N121" s="40" t="s">
        <v>2382</v>
      </c>
      <c r="O121" s="40" t="s">
        <v>383</v>
      </c>
      <c r="P121" s="40" t="s">
        <v>2383</v>
      </c>
      <c r="Q121" t="s">
        <v>316</v>
      </c>
    </row>
    <row r="122" spans="1:17" x14ac:dyDescent="0.25">
      <c r="A122" s="2" t="str">
        <f>HYPERLINK("https://www.ncbi.nlm.nih.gov/pubmed/27723511","27723511")</f>
        <v>27723511</v>
      </c>
      <c r="B122">
        <f t="shared" si="7"/>
        <v>11</v>
      </c>
      <c r="C122">
        <f t="shared" si="7"/>
        <v>0</v>
      </c>
      <c r="D122">
        <f t="shared" si="7"/>
        <v>0</v>
      </c>
      <c r="E122">
        <f t="shared" si="5"/>
        <v>11</v>
      </c>
      <c r="F122">
        <v>2016</v>
      </c>
      <c r="G122" t="s">
        <v>2982</v>
      </c>
      <c r="H122">
        <v>0</v>
      </c>
      <c r="I122" s="65">
        <v>0</v>
      </c>
      <c r="J122" t="s">
        <v>2984</v>
      </c>
      <c r="K122" s="35" t="s">
        <v>1530</v>
      </c>
      <c r="L122" s="35" t="s">
        <v>2983</v>
      </c>
      <c r="M122" s="39" t="str">
        <f>HYPERLINK("http://dx.doi.org/10.1016/j.etap.2016.10.002","10.1016/j.etap.2016.10.002")</f>
        <v>10.1016/j.etap.2016.10.002</v>
      </c>
      <c r="N122" s="40" t="s">
        <v>1450</v>
      </c>
      <c r="O122" s="40" t="s">
        <v>383</v>
      </c>
      <c r="P122" s="40" t="s">
        <v>2985</v>
      </c>
      <c r="Q122" t="s">
        <v>316</v>
      </c>
    </row>
    <row r="123" spans="1:17" x14ac:dyDescent="0.25">
      <c r="A123" s="2" t="str">
        <f>HYPERLINK("https://www.ncbi.nlm.nih.gov/pubmed/26995714","26995714")</f>
        <v>26995714</v>
      </c>
      <c r="B123">
        <f t="shared" si="7"/>
        <v>11</v>
      </c>
      <c r="C123">
        <f t="shared" si="7"/>
        <v>2</v>
      </c>
      <c r="D123">
        <f t="shared" si="7"/>
        <v>0</v>
      </c>
      <c r="E123">
        <f t="shared" si="5"/>
        <v>13</v>
      </c>
      <c r="F123">
        <v>2016</v>
      </c>
      <c r="G123" t="s">
        <v>3201</v>
      </c>
      <c r="H123">
        <v>0</v>
      </c>
      <c r="I123" s="65">
        <v>0</v>
      </c>
      <c r="J123" t="s">
        <v>3202</v>
      </c>
      <c r="K123" s="35" t="s">
        <v>1052</v>
      </c>
      <c r="L123" s="35" t="s">
        <v>6882</v>
      </c>
      <c r="M123" s="39" t="str">
        <f>HYPERLINK("http://dx.doi.org/10.1016/j.vetpar.2016.02.008","10.1016/j.vetpar.2016.02.008")</f>
        <v>10.1016/j.vetpar.2016.02.008</v>
      </c>
      <c r="N123" s="40" t="s">
        <v>3203</v>
      </c>
      <c r="O123" s="40" t="s">
        <v>383</v>
      </c>
      <c r="P123" s="40" t="s">
        <v>3204</v>
      </c>
      <c r="Q123" t="s">
        <v>316</v>
      </c>
    </row>
    <row r="124" spans="1:17" x14ac:dyDescent="0.25">
      <c r="A124" s="2" t="str">
        <f>HYPERLINK("https://www.ncbi.nlm.nih.gov/pubmed/26196357","26196357")</f>
        <v>26196357</v>
      </c>
      <c r="B124">
        <f t="shared" ref="B124:D143" si="8">IF(ISBLANK(B$3),0,(LEN($L124) - LEN(SUBSTITUTE(LOWER($L124),LOWER(B$3),"")))/LEN(B$3))</f>
        <v>11</v>
      </c>
      <c r="C124">
        <f t="shared" si="8"/>
        <v>0</v>
      </c>
      <c r="D124">
        <f t="shared" si="8"/>
        <v>0</v>
      </c>
      <c r="E124">
        <f t="shared" si="5"/>
        <v>11</v>
      </c>
      <c r="F124">
        <v>2015</v>
      </c>
      <c r="G124" t="s">
        <v>3428</v>
      </c>
      <c r="H124">
        <v>0</v>
      </c>
      <c r="I124" s="64" t="str">
        <f>HYPERLINK("https://www.ncbi.nlm.nih.gov/research/pubtator/?view=docsum&amp;query=PMC4605820","1")</f>
        <v>1</v>
      </c>
      <c r="J124" t="s">
        <v>3430</v>
      </c>
      <c r="K124" s="35" t="s">
        <v>1058</v>
      </c>
      <c r="L124" s="35" t="s">
        <v>3429</v>
      </c>
      <c r="M124" s="39" t="str">
        <f>HYPERLINK("http://dx.doi.org/10.1021/acs.est.5b01005","10.1021/acs.est.5b01005")</f>
        <v>10.1021/acs.est.5b01005</v>
      </c>
      <c r="N124" s="40" t="s">
        <v>2085</v>
      </c>
      <c r="O124" s="40" t="s">
        <v>780</v>
      </c>
      <c r="P124" s="40" t="s">
        <v>3431</v>
      </c>
      <c r="Q124" t="s">
        <v>316</v>
      </c>
    </row>
    <row r="125" spans="1:17" x14ac:dyDescent="0.25">
      <c r="A125" s="2" t="str">
        <f>HYPERLINK("https://www.ncbi.nlm.nih.gov/pubmed/25943759","25943759")</f>
        <v>25943759</v>
      </c>
      <c r="B125">
        <f t="shared" si="8"/>
        <v>11</v>
      </c>
      <c r="C125">
        <f t="shared" si="8"/>
        <v>0</v>
      </c>
      <c r="D125">
        <f t="shared" si="8"/>
        <v>0</v>
      </c>
      <c r="E125">
        <f t="shared" si="5"/>
        <v>11</v>
      </c>
      <c r="F125">
        <v>2015</v>
      </c>
      <c r="G125" t="s">
        <v>3505</v>
      </c>
      <c r="H125">
        <v>0</v>
      </c>
      <c r="I125" s="65">
        <v>0</v>
      </c>
      <c r="J125" t="s">
        <v>3506</v>
      </c>
      <c r="K125" s="35" t="s">
        <v>1936</v>
      </c>
      <c r="L125" s="35" t="s">
        <v>6924</v>
      </c>
      <c r="M125" s="39" t="str">
        <f>HYPERLINK("http://dx.doi.org/10.1016/j.toxlet.2015.04.016","10.1016/j.toxlet.2015.04.016")</f>
        <v>10.1016/j.toxlet.2015.04.016</v>
      </c>
      <c r="N125" s="40" t="s">
        <v>3507</v>
      </c>
      <c r="O125" s="40" t="s">
        <v>638</v>
      </c>
      <c r="P125" s="40" t="s">
        <v>3508</v>
      </c>
      <c r="Q125" t="s">
        <v>316</v>
      </c>
    </row>
    <row r="126" spans="1:17" x14ac:dyDescent="0.25">
      <c r="A126" s="2" t="str">
        <f>HYPERLINK("https://www.ncbi.nlm.nih.gov/pubmed/25868846","25868846")</f>
        <v>25868846</v>
      </c>
      <c r="B126">
        <f t="shared" si="8"/>
        <v>11</v>
      </c>
      <c r="C126">
        <f t="shared" si="8"/>
        <v>0</v>
      </c>
      <c r="D126">
        <f t="shared" si="8"/>
        <v>0</v>
      </c>
      <c r="E126">
        <f t="shared" si="5"/>
        <v>11</v>
      </c>
      <c r="F126">
        <v>2015</v>
      </c>
      <c r="G126" t="s">
        <v>3527</v>
      </c>
      <c r="H126">
        <v>0</v>
      </c>
      <c r="I126" s="65">
        <v>0</v>
      </c>
      <c r="J126" t="s">
        <v>3529</v>
      </c>
      <c r="K126" s="35" t="s">
        <v>1052</v>
      </c>
      <c r="L126" s="35" t="s">
        <v>3528</v>
      </c>
      <c r="M126" s="39" t="str">
        <f>HYPERLINK("http://dx.doi.org/10.1016/j.vetpar.2015.03.011","10.1016/j.vetpar.2015.03.011")</f>
        <v>10.1016/j.vetpar.2015.03.011</v>
      </c>
      <c r="N126" s="40" t="s">
        <v>3530</v>
      </c>
      <c r="O126" s="40" t="s">
        <v>3531</v>
      </c>
      <c r="P126" s="40" t="s">
        <v>3532</v>
      </c>
      <c r="Q126" t="s">
        <v>316</v>
      </c>
    </row>
    <row r="127" spans="1:17" x14ac:dyDescent="0.25">
      <c r="A127" s="2" t="str">
        <f>HYPERLINK("https://www.ncbi.nlm.nih.gov/pubmed/24368023","24368023")</f>
        <v>24368023</v>
      </c>
      <c r="B127">
        <f t="shared" si="8"/>
        <v>11</v>
      </c>
      <c r="C127">
        <f t="shared" si="8"/>
        <v>0</v>
      </c>
      <c r="D127">
        <f t="shared" si="8"/>
        <v>0</v>
      </c>
      <c r="E127">
        <f t="shared" si="5"/>
        <v>11</v>
      </c>
      <c r="F127">
        <v>2014</v>
      </c>
      <c r="G127" t="s">
        <v>4013</v>
      </c>
      <c r="H127">
        <v>0</v>
      </c>
      <c r="I127" s="65">
        <v>0</v>
      </c>
      <c r="J127" t="s">
        <v>4015</v>
      </c>
      <c r="K127" s="35" t="s">
        <v>1058</v>
      </c>
      <c r="L127" s="35" t="s">
        <v>4014</v>
      </c>
      <c r="M127" s="39" t="str">
        <f>HYPERLINK("http://dx.doi.org/10.1021/es4045874","10.1021/es4045874")</f>
        <v>10.1021/es4045874</v>
      </c>
      <c r="N127" s="40" t="s">
        <v>1450</v>
      </c>
      <c r="O127" s="40" t="s">
        <v>744</v>
      </c>
      <c r="P127" s="40" t="s">
        <v>4016</v>
      </c>
      <c r="Q127" t="s">
        <v>316</v>
      </c>
    </row>
    <row r="128" spans="1:17" x14ac:dyDescent="0.25">
      <c r="A128" s="2" t="str">
        <f>HYPERLINK("https://www.ncbi.nlm.nih.gov/pubmed/24343262","24343262")</f>
        <v>24343262</v>
      </c>
      <c r="B128">
        <f t="shared" si="8"/>
        <v>11</v>
      </c>
      <c r="C128">
        <f t="shared" si="8"/>
        <v>2</v>
      </c>
      <c r="D128">
        <f t="shared" si="8"/>
        <v>0</v>
      </c>
      <c r="E128">
        <f t="shared" si="5"/>
        <v>13</v>
      </c>
      <c r="F128">
        <v>2014</v>
      </c>
      <c r="G128" t="s">
        <v>4033</v>
      </c>
      <c r="H128">
        <v>0</v>
      </c>
      <c r="I128" s="65">
        <v>0</v>
      </c>
      <c r="J128" t="s">
        <v>4035</v>
      </c>
      <c r="K128" s="35" t="s">
        <v>3164</v>
      </c>
      <c r="L128" s="35" t="s">
        <v>4034</v>
      </c>
      <c r="M128" s="39" t="str">
        <f>HYPERLINK("http://dx.doi.org/10.1007/s00128-013-1176-3","10.1007/s00128-013-1176-3")</f>
        <v>10.1007/s00128-013-1176-3</v>
      </c>
      <c r="N128" s="40" t="s">
        <v>2825</v>
      </c>
      <c r="O128" s="40" t="s">
        <v>744</v>
      </c>
      <c r="P128" s="40" t="s">
        <v>4036</v>
      </c>
      <c r="Q128" t="s">
        <v>316</v>
      </c>
    </row>
    <row r="129" spans="1:17" x14ac:dyDescent="0.25">
      <c r="A129" s="2" t="str">
        <f>HYPERLINK("https://www.ncbi.nlm.nih.gov/pubmed/22938575","22938575")</f>
        <v>22938575</v>
      </c>
      <c r="B129">
        <f t="shared" si="8"/>
        <v>11</v>
      </c>
      <c r="C129">
        <f t="shared" si="8"/>
        <v>0</v>
      </c>
      <c r="D129">
        <f t="shared" si="8"/>
        <v>0</v>
      </c>
      <c r="E129">
        <f t="shared" si="5"/>
        <v>11</v>
      </c>
      <c r="F129">
        <v>2012</v>
      </c>
      <c r="G129" t="s">
        <v>4338</v>
      </c>
      <c r="H129">
        <v>0</v>
      </c>
      <c r="I129" s="65">
        <v>0</v>
      </c>
      <c r="J129" t="s">
        <v>4340</v>
      </c>
      <c r="K129" s="35" t="s">
        <v>1413</v>
      </c>
      <c r="L129" s="35" t="s">
        <v>4339</v>
      </c>
      <c r="M129" s="39" t="str">
        <f>HYPERLINK("http://dx.doi.org/10.1080/03601234.2012.706548","10.1080/03601234.2012.706548")</f>
        <v>10.1080/03601234.2012.706548</v>
      </c>
      <c r="N129" s="40" t="s">
        <v>2814</v>
      </c>
      <c r="O129" s="40" t="s">
        <v>802</v>
      </c>
      <c r="P129" s="40" t="s">
        <v>4341</v>
      </c>
      <c r="Q129" t="s">
        <v>316</v>
      </c>
    </row>
    <row r="130" spans="1:17" x14ac:dyDescent="0.25">
      <c r="A130" s="2" t="str">
        <f>HYPERLINK("https://www.ncbi.nlm.nih.gov/pubmed/21882705","21882705")</f>
        <v>21882705</v>
      </c>
      <c r="B130">
        <f t="shared" si="8"/>
        <v>11</v>
      </c>
      <c r="C130">
        <f t="shared" si="8"/>
        <v>0</v>
      </c>
      <c r="D130">
        <f t="shared" si="8"/>
        <v>0</v>
      </c>
      <c r="E130">
        <f t="shared" si="5"/>
        <v>11</v>
      </c>
      <c r="F130">
        <v>2011</v>
      </c>
      <c r="G130" t="s">
        <v>4559</v>
      </c>
      <c r="H130">
        <v>0</v>
      </c>
      <c r="I130" s="65">
        <v>0</v>
      </c>
      <c r="J130" t="s">
        <v>4561</v>
      </c>
      <c r="K130" s="35" t="s">
        <v>909</v>
      </c>
      <c r="L130" s="35" t="s">
        <v>4560</v>
      </c>
      <c r="M130" s="39" t="str">
        <f>HYPERLINK("http://dx.doi.org/10.1603/EC11074","10.1603/EC11074")</f>
        <v>10.1603/EC11074</v>
      </c>
      <c r="N130" s="40" t="s">
        <v>2207</v>
      </c>
      <c r="O130" s="40" t="s">
        <v>690</v>
      </c>
      <c r="P130" s="40" t="s">
        <v>4562</v>
      </c>
      <c r="Q130" t="s">
        <v>316</v>
      </c>
    </row>
    <row r="131" spans="1:17" x14ac:dyDescent="0.25">
      <c r="A131" s="2" t="str">
        <f>HYPERLINK("https://www.ncbi.nlm.nih.gov/pubmed/21327488","21327488")</f>
        <v>21327488</v>
      </c>
      <c r="B131">
        <f t="shared" si="8"/>
        <v>11</v>
      </c>
      <c r="C131">
        <f t="shared" si="8"/>
        <v>2</v>
      </c>
      <c r="D131">
        <f t="shared" si="8"/>
        <v>0</v>
      </c>
      <c r="E131">
        <f t="shared" si="5"/>
        <v>13</v>
      </c>
      <c r="F131">
        <v>2011</v>
      </c>
      <c r="G131" t="s">
        <v>4719</v>
      </c>
      <c r="H131">
        <v>0</v>
      </c>
      <c r="I131" s="65">
        <v>0</v>
      </c>
      <c r="J131" t="s">
        <v>4720</v>
      </c>
      <c r="K131" s="35" t="s">
        <v>730</v>
      </c>
      <c r="L131" s="35" t="s">
        <v>7090</v>
      </c>
      <c r="M131" s="39" t="str">
        <f>HYPERLINK("http://dx.doi.org/10.1007/s10646-011-0605-5","10.1007/s10646-011-0605-5")</f>
        <v>10.1007/s10646-011-0605-5</v>
      </c>
      <c r="N131" s="40" t="s">
        <v>1109</v>
      </c>
      <c r="O131" s="40" t="s">
        <v>690</v>
      </c>
      <c r="P131" s="40" t="s">
        <v>4721</v>
      </c>
      <c r="Q131" t="s">
        <v>316</v>
      </c>
    </row>
    <row r="132" spans="1:17" x14ac:dyDescent="0.25">
      <c r="A132" s="2" t="str">
        <f>HYPERLINK("https://www.ncbi.nlm.nih.gov/pubmed/21243407","21243407")</f>
        <v>21243407</v>
      </c>
      <c r="B132">
        <f t="shared" si="8"/>
        <v>11</v>
      </c>
      <c r="C132">
        <f t="shared" si="8"/>
        <v>0</v>
      </c>
      <c r="D132">
        <f t="shared" si="8"/>
        <v>0</v>
      </c>
      <c r="E132">
        <f t="shared" ref="E132:E195" si="9">SUM(B132:D132)</f>
        <v>11</v>
      </c>
      <c r="F132">
        <v>2011</v>
      </c>
      <c r="G132" t="s">
        <v>4756</v>
      </c>
      <c r="H132">
        <v>0</v>
      </c>
      <c r="I132" s="65">
        <v>0</v>
      </c>
      <c r="J132" t="s">
        <v>4758</v>
      </c>
      <c r="K132" s="35" t="s">
        <v>1331</v>
      </c>
      <c r="L132" s="35" t="s">
        <v>4757</v>
      </c>
      <c r="M132" s="39" t="str">
        <f>HYPERLINK("http://dx.doi.org/10.1007/s10493-011-9424-x","10.1007/s10493-011-9424-x")</f>
        <v>10.1007/s10493-011-9424-x</v>
      </c>
      <c r="N132" s="40" t="s">
        <v>2010</v>
      </c>
      <c r="O132" s="40" t="s">
        <v>744</v>
      </c>
      <c r="P132" s="40" t="s">
        <v>4759</v>
      </c>
      <c r="Q132" t="s">
        <v>316</v>
      </c>
    </row>
    <row r="133" spans="1:17" x14ac:dyDescent="0.25">
      <c r="A133" s="2" t="str">
        <f>HYPERLINK("https://www.ncbi.nlm.nih.gov/pubmed/20877489","20877489")</f>
        <v>20877489</v>
      </c>
      <c r="B133">
        <f t="shared" si="8"/>
        <v>11</v>
      </c>
      <c r="C133">
        <f t="shared" si="8"/>
        <v>1</v>
      </c>
      <c r="D133">
        <f t="shared" si="8"/>
        <v>0</v>
      </c>
      <c r="E133">
        <f t="shared" si="9"/>
        <v>12</v>
      </c>
      <c r="F133">
        <v>2010</v>
      </c>
      <c r="G133" t="s">
        <v>4820</v>
      </c>
      <c r="H133">
        <v>0</v>
      </c>
      <c r="I133" s="64" t="str">
        <f>HYPERLINK("https://www.ncbi.nlm.nih.gov/research/pubtator/?view=docsum&amp;query=PMC2939689","1")</f>
        <v>1</v>
      </c>
      <c r="J133" t="s">
        <v>4822</v>
      </c>
      <c r="K133" s="35" t="s">
        <v>4823</v>
      </c>
      <c r="L133" s="35" t="s">
        <v>4821</v>
      </c>
      <c r="M133" s="39" t="str">
        <f>HYPERLINK("http://dx.doi.org/10.2203/dose-response.09-032.Gu","10.2203/dose-response.09-032.Gu")</f>
        <v>10.2203/dose-response.09-032.Gu</v>
      </c>
      <c r="N133" s="40" t="s">
        <v>781</v>
      </c>
      <c r="O133" s="40" t="s">
        <v>750</v>
      </c>
      <c r="P133" s="40" t="s">
        <v>4824</v>
      </c>
      <c r="Q133" t="s">
        <v>316</v>
      </c>
    </row>
    <row r="134" spans="1:17" x14ac:dyDescent="0.25">
      <c r="A134" s="2" t="str">
        <f>HYPERLINK("https://www.ncbi.nlm.nih.gov/pubmed/20117195","20117195")</f>
        <v>20117195</v>
      </c>
      <c r="B134">
        <f t="shared" si="8"/>
        <v>11</v>
      </c>
      <c r="C134">
        <f t="shared" si="8"/>
        <v>2</v>
      </c>
      <c r="D134">
        <f t="shared" si="8"/>
        <v>0</v>
      </c>
      <c r="E134">
        <f t="shared" si="9"/>
        <v>13</v>
      </c>
      <c r="F134">
        <v>2010</v>
      </c>
      <c r="G134" t="s">
        <v>4972</v>
      </c>
      <c r="H134">
        <v>0</v>
      </c>
      <c r="I134" s="65">
        <v>0</v>
      </c>
      <c r="J134" t="s">
        <v>4974</v>
      </c>
      <c r="K134" s="35" t="s">
        <v>1936</v>
      </c>
      <c r="L134" s="35" t="s">
        <v>4973</v>
      </c>
      <c r="M134" s="39" t="str">
        <f>HYPERLINK("http://dx.doi.org/10.1016/j.toxlet.2010.01.018","10.1016/j.toxlet.2010.01.018")</f>
        <v>10.1016/j.toxlet.2010.01.018</v>
      </c>
      <c r="N134" s="40" t="s">
        <v>4975</v>
      </c>
      <c r="O134" s="40" t="s">
        <v>750</v>
      </c>
      <c r="P134" s="40" t="s">
        <v>4976</v>
      </c>
      <c r="Q134" t="s">
        <v>316</v>
      </c>
    </row>
    <row r="135" spans="1:17" x14ac:dyDescent="0.25">
      <c r="A135" s="2" t="str">
        <f>HYPERLINK("https://www.ncbi.nlm.nih.gov/pubmed/19424647","19424647")</f>
        <v>19424647</v>
      </c>
      <c r="B135">
        <f t="shared" si="8"/>
        <v>11</v>
      </c>
      <c r="C135">
        <f t="shared" si="8"/>
        <v>0</v>
      </c>
      <c r="D135">
        <f t="shared" si="8"/>
        <v>0</v>
      </c>
      <c r="E135">
        <f t="shared" si="9"/>
        <v>11</v>
      </c>
      <c r="F135">
        <v>2009</v>
      </c>
      <c r="G135" t="s">
        <v>5122</v>
      </c>
      <c r="H135">
        <v>0</v>
      </c>
      <c r="I135" s="65">
        <v>0</v>
      </c>
      <c r="J135" t="s">
        <v>5124</v>
      </c>
      <c r="K135" s="35" t="s">
        <v>3164</v>
      </c>
      <c r="L135" s="35" t="s">
        <v>5123</v>
      </c>
      <c r="M135" s="39" t="str">
        <f>HYPERLINK("http://dx.doi.org/10.1007/s00128-009-9759-8","10.1007/s00128-009-9759-8")</f>
        <v>10.1007/s00128-009-9759-8</v>
      </c>
      <c r="N135" s="40" t="s">
        <v>1169</v>
      </c>
      <c r="O135" s="40" t="s">
        <v>750</v>
      </c>
      <c r="P135" s="40" t="s">
        <v>5125</v>
      </c>
      <c r="Q135" t="s">
        <v>316</v>
      </c>
    </row>
    <row r="136" spans="1:17" x14ac:dyDescent="0.25">
      <c r="A136" s="2" t="str">
        <f>HYPERLINK("https://www.ncbi.nlm.nih.gov/pubmed/18977280","18977280")</f>
        <v>18977280</v>
      </c>
      <c r="B136">
        <f t="shared" si="8"/>
        <v>11</v>
      </c>
      <c r="C136">
        <f t="shared" si="8"/>
        <v>0</v>
      </c>
      <c r="D136">
        <f t="shared" si="8"/>
        <v>0</v>
      </c>
      <c r="E136">
        <f t="shared" si="9"/>
        <v>11</v>
      </c>
      <c r="F136">
        <v>2009</v>
      </c>
      <c r="G136" t="s">
        <v>5205</v>
      </c>
      <c r="H136">
        <v>0</v>
      </c>
      <c r="I136" s="64" t="str">
        <f>HYPERLINK("https://www.ncbi.nlm.nih.gov/research/pubtator/?view=docsum&amp;query=PMC2650714","1")</f>
        <v>1</v>
      </c>
      <c r="J136" t="s">
        <v>5206</v>
      </c>
      <c r="K136" s="35" t="s">
        <v>5207</v>
      </c>
      <c r="L136" s="35" t="s">
        <v>7129</v>
      </c>
      <c r="M136" s="39" t="str">
        <f>HYPERLINK("http://dx.doi.org/10.1016/j.brainresbull.2008.09.020","10.1016/j.brainresbull.2008.09.020")</f>
        <v>10.1016/j.brainresbull.2008.09.020</v>
      </c>
      <c r="N136" s="40" t="s">
        <v>3375</v>
      </c>
      <c r="O136" s="40" t="s">
        <v>741</v>
      </c>
      <c r="P136" s="40" t="s">
        <v>5208</v>
      </c>
      <c r="Q136" t="s">
        <v>316</v>
      </c>
    </row>
    <row r="137" spans="1:17" x14ac:dyDescent="0.25">
      <c r="A137" s="2" t="str">
        <f>HYPERLINK("https://www.ncbi.nlm.nih.gov/pubmed/18561151","18561151")</f>
        <v>18561151</v>
      </c>
      <c r="B137">
        <f t="shared" si="8"/>
        <v>11</v>
      </c>
      <c r="C137">
        <f t="shared" si="8"/>
        <v>0</v>
      </c>
      <c r="D137">
        <f t="shared" si="8"/>
        <v>0</v>
      </c>
      <c r="E137">
        <f t="shared" si="9"/>
        <v>11</v>
      </c>
      <c r="F137">
        <v>2008</v>
      </c>
      <c r="G137" t="s">
        <v>5296</v>
      </c>
      <c r="H137">
        <v>0</v>
      </c>
      <c r="I137" s="65">
        <v>0</v>
      </c>
      <c r="J137" t="s">
        <v>4664</v>
      </c>
      <c r="K137" s="35" t="s">
        <v>968</v>
      </c>
      <c r="L137" s="35" t="s">
        <v>5297</v>
      </c>
      <c r="M137" s="39" t="str">
        <f>HYPERLINK("http://dx.doi.org/10.1002/ps.1619","10.1002/ps.1619")</f>
        <v>10.1002/ps.1619</v>
      </c>
      <c r="N137" s="40" t="s">
        <v>2243</v>
      </c>
      <c r="O137" s="40" t="s">
        <v>915</v>
      </c>
      <c r="P137" s="40" t="s">
        <v>5298</v>
      </c>
      <c r="Q137" t="s">
        <v>316</v>
      </c>
    </row>
    <row r="138" spans="1:17" x14ac:dyDescent="0.25">
      <c r="A138" s="2" t="str">
        <f>HYPERLINK("https://www.ncbi.nlm.nih.gov/pubmed/17509641","17509641")</f>
        <v>17509641</v>
      </c>
      <c r="B138">
        <f t="shared" si="8"/>
        <v>11</v>
      </c>
      <c r="C138">
        <f t="shared" si="8"/>
        <v>0</v>
      </c>
      <c r="D138">
        <f t="shared" si="8"/>
        <v>0</v>
      </c>
      <c r="E138">
        <f t="shared" si="9"/>
        <v>11</v>
      </c>
      <c r="F138">
        <v>2007</v>
      </c>
      <c r="G138" t="s">
        <v>5471</v>
      </c>
      <c r="H138">
        <v>0</v>
      </c>
      <c r="I138" s="65">
        <v>0</v>
      </c>
      <c r="J138" t="s">
        <v>5472</v>
      </c>
      <c r="K138" s="35" t="s">
        <v>822</v>
      </c>
      <c r="L138" s="35" t="s">
        <v>7161</v>
      </c>
      <c r="M138" s="39" t="str">
        <f>HYPERLINK("http://dx.doi.org/10.1016/j.chemosphere.2007.03.063","10.1016/j.chemosphere.2007.03.063")</f>
        <v>10.1016/j.chemosphere.2007.03.063</v>
      </c>
      <c r="N138" s="40" t="s">
        <v>3460</v>
      </c>
      <c r="O138" s="40" t="s">
        <v>748</v>
      </c>
      <c r="P138" s="40" t="s">
        <v>5473</v>
      </c>
      <c r="Q138" t="s">
        <v>316</v>
      </c>
    </row>
    <row r="139" spans="1:17" x14ac:dyDescent="0.25">
      <c r="A139" s="2" t="str">
        <f>HYPERLINK("https://www.ncbi.nlm.nih.gov/pubmed/16611622","16611622")</f>
        <v>16611622</v>
      </c>
      <c r="B139">
        <f t="shared" si="8"/>
        <v>11</v>
      </c>
      <c r="C139">
        <f t="shared" si="8"/>
        <v>0</v>
      </c>
      <c r="D139">
        <f t="shared" si="8"/>
        <v>0</v>
      </c>
      <c r="E139">
        <f t="shared" si="9"/>
        <v>11</v>
      </c>
      <c r="F139">
        <v>2006</v>
      </c>
      <c r="G139" t="s">
        <v>5650</v>
      </c>
      <c r="H139">
        <v>0</v>
      </c>
      <c r="I139" s="65">
        <v>0</v>
      </c>
      <c r="J139" t="s">
        <v>5651</v>
      </c>
      <c r="K139" s="35" t="s">
        <v>4443</v>
      </c>
      <c r="L139" s="35" t="s">
        <v>7182</v>
      </c>
      <c r="M139" s="39" t="str">
        <f>HYPERLINK("http://dx.doi.org/10.1093/toxsci/kfj185","10.1093/toxsci/kfj185")</f>
        <v>10.1093/toxsci/kfj185</v>
      </c>
      <c r="N139" s="40" t="s">
        <v>2825</v>
      </c>
      <c r="O139" s="40" t="s">
        <v>638</v>
      </c>
      <c r="P139" s="40" t="s">
        <v>5652</v>
      </c>
      <c r="Q139" t="s">
        <v>316</v>
      </c>
    </row>
    <row r="140" spans="1:17" x14ac:dyDescent="0.25">
      <c r="A140" s="2" t="str">
        <f>HYPERLINK("https://www.ncbi.nlm.nih.gov/pubmed/15298200","15298200")</f>
        <v>15298200</v>
      </c>
      <c r="B140">
        <f t="shared" si="8"/>
        <v>11</v>
      </c>
      <c r="C140">
        <f t="shared" si="8"/>
        <v>1</v>
      </c>
      <c r="D140">
        <f t="shared" si="8"/>
        <v>0</v>
      </c>
      <c r="E140">
        <f t="shared" si="9"/>
        <v>12</v>
      </c>
      <c r="F140">
        <v>2004</v>
      </c>
      <c r="G140" t="s">
        <v>5920</v>
      </c>
      <c r="H140">
        <v>0</v>
      </c>
      <c r="I140" s="65">
        <v>0</v>
      </c>
      <c r="J140" t="s">
        <v>5922</v>
      </c>
      <c r="K140" s="35" t="s">
        <v>1058</v>
      </c>
      <c r="L140" s="35" t="s">
        <v>5921</v>
      </c>
      <c r="M140" s="39" t="str">
        <f>HYPERLINK("http://dx.doi.org/10.1021/es0349047","10.1021/es0349047")</f>
        <v>10.1021/es0349047</v>
      </c>
      <c r="N140" s="40" t="s">
        <v>3973</v>
      </c>
      <c r="O140" s="40" t="s">
        <v>871</v>
      </c>
      <c r="P140" s="40" t="s">
        <v>5923</v>
      </c>
      <c r="Q140" t="s">
        <v>316</v>
      </c>
    </row>
    <row r="141" spans="1:17" x14ac:dyDescent="0.25">
      <c r="A141" s="2" t="str">
        <f>HYPERLINK("https://www.ncbi.nlm.nih.gov/pubmed/14768875","14768875")</f>
        <v>14768875</v>
      </c>
      <c r="B141">
        <f t="shared" si="8"/>
        <v>11</v>
      </c>
      <c r="C141">
        <f t="shared" si="8"/>
        <v>0</v>
      </c>
      <c r="D141">
        <f t="shared" si="8"/>
        <v>0</v>
      </c>
      <c r="E141">
        <f t="shared" si="9"/>
        <v>11</v>
      </c>
      <c r="F141">
        <v>2004</v>
      </c>
      <c r="G141" t="s">
        <v>5980</v>
      </c>
      <c r="H141">
        <v>0</v>
      </c>
      <c r="I141" s="65">
        <v>0</v>
      </c>
      <c r="J141" t="s">
        <v>5981</v>
      </c>
      <c r="K141" s="35" t="s">
        <v>755</v>
      </c>
      <c r="L141" s="35" t="s">
        <v>7219</v>
      </c>
      <c r="M141" s="39" t="str">
        <f>HYPERLINK("http://dx.doi.org/10.1897/03-124","10.1897/03-124")</f>
        <v>10.1897/03-124</v>
      </c>
      <c r="N141" s="40" t="s">
        <v>737</v>
      </c>
      <c r="O141" s="40" t="s">
        <v>638</v>
      </c>
      <c r="P141" s="40" t="s">
        <v>5982</v>
      </c>
      <c r="Q141" t="s">
        <v>316</v>
      </c>
    </row>
    <row r="142" spans="1:17" x14ac:dyDescent="0.25">
      <c r="A142" s="2" t="str">
        <f>HYPERLINK("https://www.ncbi.nlm.nih.gov/pubmed/12766256","12766256")</f>
        <v>12766256</v>
      </c>
      <c r="B142">
        <f t="shared" si="8"/>
        <v>11</v>
      </c>
      <c r="C142">
        <f t="shared" si="8"/>
        <v>0</v>
      </c>
      <c r="D142">
        <f t="shared" si="8"/>
        <v>0</v>
      </c>
      <c r="E142">
        <f t="shared" si="9"/>
        <v>11</v>
      </c>
      <c r="F142">
        <v>2003</v>
      </c>
      <c r="G142" t="s">
        <v>6057</v>
      </c>
      <c r="H142">
        <v>0</v>
      </c>
      <c r="I142" s="65">
        <v>0</v>
      </c>
      <c r="J142" t="s">
        <v>5903</v>
      </c>
      <c r="K142" s="35" t="s">
        <v>5835</v>
      </c>
      <c r="L142" s="35" t="s">
        <v>7227</v>
      </c>
      <c r="M142" s="39" t="str">
        <f>HYPERLINK("http://dx.doi.org/10.1124/jpet.103.051839","10.1124/jpet.103.051839")</f>
        <v>10.1124/jpet.103.051839</v>
      </c>
      <c r="N142" s="40" t="s">
        <v>6058</v>
      </c>
      <c r="O142" s="40" t="s">
        <v>750</v>
      </c>
      <c r="P142" s="40" t="s">
        <v>6059</v>
      </c>
      <c r="Q142" t="s">
        <v>316</v>
      </c>
    </row>
    <row r="143" spans="1:17" x14ac:dyDescent="0.25">
      <c r="A143" s="2" t="str">
        <f>HYPERLINK("https://www.ncbi.nlm.nih.gov/pubmed/11455631","11455631")</f>
        <v>11455631</v>
      </c>
      <c r="B143">
        <f t="shared" si="8"/>
        <v>11</v>
      </c>
      <c r="C143">
        <f t="shared" si="8"/>
        <v>1</v>
      </c>
      <c r="D143">
        <f t="shared" si="8"/>
        <v>0</v>
      </c>
      <c r="E143">
        <f t="shared" si="9"/>
        <v>12</v>
      </c>
      <c r="F143">
        <v>2001</v>
      </c>
      <c r="G143" t="s">
        <v>6247</v>
      </c>
      <c r="H143">
        <v>0</v>
      </c>
      <c r="I143" s="65">
        <v>0</v>
      </c>
      <c r="J143" t="s">
        <v>6249</v>
      </c>
      <c r="K143" s="35" t="s">
        <v>968</v>
      </c>
      <c r="L143" s="35" t="s">
        <v>6248</v>
      </c>
      <c r="M143" s="39" t="str">
        <f>HYPERLINK("http://dx.doi.org/10.1002/1526-4998(200101)57:1&lt;41::AID-PS260&gt;3.0.CO;2-N","10.1002/1526-4998(200101)57:1&lt;41::AID-PS260&gt;3.0.CO;2-N")</f>
        <v>10.1002/1526-4998(200101)57:1&lt;41::AID-PS260&gt;3.0.CO;2-N</v>
      </c>
      <c r="N143" s="40" t="s">
        <v>764</v>
      </c>
      <c r="O143" s="40" t="s">
        <v>638</v>
      </c>
      <c r="P143" s="40" t="s">
        <v>6250</v>
      </c>
      <c r="Q143" t="s">
        <v>316</v>
      </c>
    </row>
    <row r="144" spans="1:17" x14ac:dyDescent="0.25">
      <c r="A144" s="2" t="str">
        <f>HYPERLINK("https://www.ncbi.nlm.nih.gov/pubmed/11181924","11181924")</f>
        <v>11181924</v>
      </c>
      <c r="B144">
        <f t="shared" ref="B144:D163" si="10">IF(ISBLANK(B$3),0,(LEN($L144) - LEN(SUBSTITUTE(LOWER($L144),LOWER(B$3),"")))/LEN(B$3))</f>
        <v>11</v>
      </c>
      <c r="C144">
        <f t="shared" si="10"/>
        <v>0</v>
      </c>
      <c r="D144">
        <f t="shared" si="10"/>
        <v>0</v>
      </c>
      <c r="E144">
        <f t="shared" si="9"/>
        <v>11</v>
      </c>
      <c r="F144">
        <v>2001</v>
      </c>
      <c r="G144" t="s">
        <v>6311</v>
      </c>
      <c r="H144">
        <v>0</v>
      </c>
      <c r="I144" s="65">
        <v>0</v>
      </c>
      <c r="J144" t="s">
        <v>6312</v>
      </c>
      <c r="K144" s="35" t="s">
        <v>5835</v>
      </c>
      <c r="L144" s="35" t="s">
        <v>7253</v>
      </c>
      <c r="M144" s="39" t="str">
        <f>HYPERLINK("http://dx.doi.org/","")</f>
        <v/>
      </c>
      <c r="N144" s="40" t="s">
        <v>1882</v>
      </c>
      <c r="O144" s="40" t="s">
        <v>750</v>
      </c>
      <c r="P144" s="40" t="s">
        <v>6313</v>
      </c>
      <c r="Q144" t="s">
        <v>316</v>
      </c>
    </row>
    <row r="145" spans="1:17" x14ac:dyDescent="0.25">
      <c r="A145" s="2" t="str">
        <f>HYPERLINK("https://www.ncbi.nlm.nih.gov/pubmed/34301349","34301349")</f>
        <v>34301349</v>
      </c>
      <c r="B145">
        <f t="shared" si="10"/>
        <v>10</v>
      </c>
      <c r="C145">
        <f t="shared" si="10"/>
        <v>0</v>
      </c>
      <c r="D145">
        <f t="shared" si="10"/>
        <v>0</v>
      </c>
      <c r="E145">
        <f t="shared" si="9"/>
        <v>10</v>
      </c>
      <c r="F145">
        <v>2021</v>
      </c>
      <c r="G145" t="s">
        <v>838</v>
      </c>
      <c r="H145">
        <v>0</v>
      </c>
      <c r="I145" s="65">
        <v>0</v>
      </c>
      <c r="J145" t="s">
        <v>839</v>
      </c>
      <c r="K145" s="35" t="s">
        <v>831</v>
      </c>
      <c r="L145" s="35" t="s">
        <v>6535</v>
      </c>
      <c r="M145" s="39" t="str">
        <f>HYPERLINK("http://dx.doi.org/10.1016/j.pestbp.2021.104876","10.1016/j.pestbp.2021.104876")</f>
        <v>10.1016/j.pestbp.2021.104876</v>
      </c>
      <c r="N145" s="40" t="s">
        <v>832</v>
      </c>
      <c r="O145" s="40" t="s">
        <v>383</v>
      </c>
      <c r="P145" s="40" t="s">
        <v>840</v>
      </c>
      <c r="Q145" t="s">
        <v>316</v>
      </c>
    </row>
    <row r="146" spans="1:17" x14ac:dyDescent="0.25">
      <c r="A146" s="2" t="str">
        <f>HYPERLINK("https://www.ncbi.nlm.nih.gov/pubmed/34225147","34225147")</f>
        <v>34225147</v>
      </c>
      <c r="B146">
        <f t="shared" si="10"/>
        <v>10</v>
      </c>
      <c r="C146">
        <f t="shared" si="10"/>
        <v>0</v>
      </c>
      <c r="D146">
        <f t="shared" si="10"/>
        <v>0</v>
      </c>
      <c r="E146">
        <f t="shared" si="9"/>
        <v>10</v>
      </c>
      <c r="F146">
        <v>2021</v>
      </c>
      <c r="G146" t="s">
        <v>860</v>
      </c>
      <c r="H146">
        <v>0</v>
      </c>
      <c r="I146" s="65">
        <v>0</v>
      </c>
      <c r="J146" t="s">
        <v>862</v>
      </c>
      <c r="K146" s="35" t="s">
        <v>670</v>
      </c>
      <c r="L146" s="35" t="s">
        <v>861</v>
      </c>
      <c r="M146" s="39" t="str">
        <f>HYPERLINK("http://dx.doi.org/10.1016/j.scitotenv.2021.148678","10.1016/j.scitotenv.2021.148678")</f>
        <v>10.1016/j.scitotenv.2021.148678</v>
      </c>
      <c r="N146" s="40" t="s">
        <v>863</v>
      </c>
      <c r="O146" s="40" t="s">
        <v>383</v>
      </c>
      <c r="P146" s="40" t="s">
        <v>864</v>
      </c>
      <c r="Q146" t="s">
        <v>316</v>
      </c>
    </row>
    <row r="147" spans="1:17" x14ac:dyDescent="0.25">
      <c r="A147" s="2" t="str">
        <f>HYPERLINK("https://www.ncbi.nlm.nih.gov/pubmed/34027148","34027148")</f>
        <v>34027148</v>
      </c>
      <c r="B147">
        <f t="shared" si="10"/>
        <v>10</v>
      </c>
      <c r="C147">
        <f t="shared" si="10"/>
        <v>0</v>
      </c>
      <c r="D147">
        <f t="shared" si="10"/>
        <v>0</v>
      </c>
      <c r="E147">
        <f t="shared" si="9"/>
        <v>10</v>
      </c>
      <c r="F147">
        <v>2021</v>
      </c>
      <c r="G147" t="s">
        <v>944</v>
      </c>
      <c r="H147">
        <v>0</v>
      </c>
      <c r="I147" s="64" t="str">
        <f>HYPERLINK("https://www.ncbi.nlm.nih.gov/research/pubtator/?view=docsum&amp;query=PMC8121653","1")</f>
        <v>1</v>
      </c>
      <c r="J147" t="s">
        <v>946</v>
      </c>
      <c r="K147" s="35" t="s">
        <v>947</v>
      </c>
      <c r="L147" s="35" t="s">
        <v>945</v>
      </c>
      <c r="M147" s="39" t="str">
        <f>HYPERLINK("http://dx.doi.org/10.1016/j.heliyon.2021.e06889","10.1016/j.heliyon.2021.e06889")</f>
        <v>10.1016/j.heliyon.2021.e06889</v>
      </c>
      <c r="N147" s="40" t="s">
        <v>748</v>
      </c>
      <c r="O147" s="40" t="s">
        <v>746</v>
      </c>
      <c r="P147" s="40" t="s">
        <v>948</v>
      </c>
      <c r="Q147" t="s">
        <v>316</v>
      </c>
    </row>
    <row r="148" spans="1:17" x14ac:dyDescent="0.25">
      <c r="A148" s="2" t="str">
        <f>HYPERLINK("https://www.ncbi.nlm.nih.gov/pubmed/33904550","33904550")</f>
        <v>33904550</v>
      </c>
      <c r="B148">
        <f t="shared" si="10"/>
        <v>10</v>
      </c>
      <c r="C148">
        <f t="shared" si="10"/>
        <v>0</v>
      </c>
      <c r="D148">
        <f t="shared" si="10"/>
        <v>0</v>
      </c>
      <c r="E148">
        <f t="shared" si="9"/>
        <v>10</v>
      </c>
      <c r="F148">
        <v>2021</v>
      </c>
      <c r="G148" t="s">
        <v>991</v>
      </c>
      <c r="H148">
        <v>0</v>
      </c>
      <c r="I148" s="65">
        <v>0</v>
      </c>
      <c r="J148" t="s">
        <v>993</v>
      </c>
      <c r="K148" s="35" t="s">
        <v>890</v>
      </c>
      <c r="L148" s="35" t="s">
        <v>992</v>
      </c>
      <c r="M148" s="39" t="str">
        <f>HYPERLINK("http://dx.doi.org/10.1039/d1an00433f","10.1039/d1an00433f")</f>
        <v>10.1039/d1an00433f</v>
      </c>
      <c r="N148" s="40" t="s">
        <v>891</v>
      </c>
      <c r="O148" s="40" t="s">
        <v>678</v>
      </c>
      <c r="P148" s="40" t="s">
        <v>994</v>
      </c>
      <c r="Q148" t="s">
        <v>316</v>
      </c>
    </row>
    <row r="149" spans="1:17" x14ac:dyDescent="0.25">
      <c r="A149" s="2" t="str">
        <f>HYPERLINK("https://www.ncbi.nlm.nih.gov/pubmed/33840019","33840019")</f>
        <v>33840019</v>
      </c>
      <c r="B149">
        <f t="shared" si="10"/>
        <v>10</v>
      </c>
      <c r="C149">
        <f t="shared" si="10"/>
        <v>0</v>
      </c>
      <c r="D149">
        <f t="shared" si="10"/>
        <v>0</v>
      </c>
      <c r="E149">
        <f t="shared" si="9"/>
        <v>10</v>
      </c>
      <c r="F149">
        <v>2021</v>
      </c>
      <c r="G149" t="s">
        <v>1016</v>
      </c>
      <c r="H149">
        <v>0</v>
      </c>
      <c r="I149" s="65">
        <v>0</v>
      </c>
      <c r="J149" t="s">
        <v>1017</v>
      </c>
      <c r="K149" s="35" t="s">
        <v>810</v>
      </c>
      <c r="L149" s="35" t="s">
        <v>6551</v>
      </c>
      <c r="M149" s="39" t="str">
        <f>HYPERLINK("http://dx.doi.org/10.1007/s11356-021-13786-w","10.1007/s11356-021-13786-w")</f>
        <v>10.1007/s11356-021-13786-w</v>
      </c>
      <c r="N149" s="40" t="s">
        <v>731</v>
      </c>
      <c r="O149" s="40" t="s">
        <v>1018</v>
      </c>
      <c r="P149" s="40" t="s">
        <v>1019</v>
      </c>
      <c r="Q149" t="s">
        <v>316</v>
      </c>
    </row>
    <row r="150" spans="1:17" x14ac:dyDescent="0.25">
      <c r="A150" s="2" t="str">
        <f>HYPERLINK("https://www.ncbi.nlm.nih.gov/pubmed/33822102","33822102")</f>
        <v>33822102</v>
      </c>
      <c r="B150">
        <f t="shared" si="10"/>
        <v>10</v>
      </c>
      <c r="C150">
        <f t="shared" si="10"/>
        <v>0</v>
      </c>
      <c r="D150">
        <f t="shared" si="10"/>
        <v>0</v>
      </c>
      <c r="E150">
        <f t="shared" si="9"/>
        <v>10</v>
      </c>
      <c r="F150">
        <v>2021</v>
      </c>
      <c r="G150" t="s">
        <v>1025</v>
      </c>
      <c r="H150">
        <v>0</v>
      </c>
      <c r="I150" s="65">
        <v>0</v>
      </c>
      <c r="J150" t="s">
        <v>1026</v>
      </c>
      <c r="K150" s="35" t="s">
        <v>1027</v>
      </c>
      <c r="L150" s="35" t="s">
        <v>6552</v>
      </c>
      <c r="M150" s="39" t="str">
        <f>HYPERLINK("http://dx.doi.org/10.1093/jme/tjab040","10.1093/jme/tjab040")</f>
        <v>10.1093/jme/tjab040</v>
      </c>
      <c r="N150" s="40" t="s">
        <v>1028</v>
      </c>
      <c r="O150" s="40" t="s">
        <v>690</v>
      </c>
      <c r="P150" s="40" t="s">
        <v>1029</v>
      </c>
      <c r="Q150" t="s">
        <v>316</v>
      </c>
    </row>
    <row r="151" spans="1:17" x14ac:dyDescent="0.25">
      <c r="A151" s="2" t="str">
        <f>HYPERLINK("https://www.ncbi.nlm.nih.gov/pubmed/33097542","33097542")</f>
        <v>33097542</v>
      </c>
      <c r="B151">
        <f t="shared" si="10"/>
        <v>10</v>
      </c>
      <c r="C151">
        <f t="shared" si="10"/>
        <v>0</v>
      </c>
      <c r="D151">
        <f t="shared" si="10"/>
        <v>0</v>
      </c>
      <c r="E151">
        <f t="shared" si="9"/>
        <v>10</v>
      </c>
      <c r="F151">
        <v>2020</v>
      </c>
      <c r="G151" t="s">
        <v>1275</v>
      </c>
      <c r="H151">
        <v>0</v>
      </c>
      <c r="I151" s="64" t="str">
        <f>HYPERLINK("https://www.ncbi.nlm.nih.gov/research/pubtator/?view=docsum&amp;query=PMC7608825","1")</f>
        <v>1</v>
      </c>
      <c r="J151" t="s">
        <v>1277</v>
      </c>
      <c r="K151" s="35" t="s">
        <v>1278</v>
      </c>
      <c r="L151" s="35" t="s">
        <v>1276</v>
      </c>
      <c r="M151" s="39" t="str">
        <f>HYPERLINK("http://dx.doi.org/10.1126/sciadv.abc1299","10.1126/sciadv.abc1299")</f>
        <v>10.1126/sciadv.abc1299</v>
      </c>
      <c r="N151" s="40" t="s">
        <v>741</v>
      </c>
      <c r="O151" s="40" t="s">
        <v>1279</v>
      </c>
      <c r="P151" s="40" t="s">
        <v>383</v>
      </c>
      <c r="Q151" t="s">
        <v>316</v>
      </c>
    </row>
    <row r="152" spans="1:17" x14ac:dyDescent="0.25">
      <c r="A152" s="2" t="str">
        <f>HYPERLINK("https://www.ncbi.nlm.nih.gov/pubmed/32302848","32302848")</f>
        <v>32302848</v>
      </c>
      <c r="B152">
        <f t="shared" si="10"/>
        <v>10</v>
      </c>
      <c r="C152">
        <f t="shared" si="10"/>
        <v>2</v>
      </c>
      <c r="D152">
        <f t="shared" si="10"/>
        <v>0</v>
      </c>
      <c r="E152">
        <f t="shared" si="9"/>
        <v>12</v>
      </c>
      <c r="F152">
        <v>2020</v>
      </c>
      <c r="G152" t="s">
        <v>1555</v>
      </c>
      <c r="H152">
        <v>0</v>
      </c>
      <c r="I152" s="65">
        <v>0</v>
      </c>
      <c r="J152" t="s">
        <v>1556</v>
      </c>
      <c r="K152" s="35" t="s">
        <v>670</v>
      </c>
      <c r="L152" s="35" t="s">
        <v>6625</v>
      </c>
      <c r="M152" s="39" t="str">
        <f>HYPERLINK("http://dx.doi.org/10.1016/j.scitotenv.2020.138487","10.1016/j.scitotenv.2020.138487")</f>
        <v>10.1016/j.scitotenv.2020.138487</v>
      </c>
      <c r="N152" s="40" t="s">
        <v>1557</v>
      </c>
      <c r="O152" s="40" t="s">
        <v>383</v>
      </c>
      <c r="P152" s="40" t="s">
        <v>1558</v>
      </c>
      <c r="Q152" t="s">
        <v>316</v>
      </c>
    </row>
    <row r="153" spans="1:17" x14ac:dyDescent="0.25">
      <c r="A153" s="2" t="str">
        <f>HYPERLINK("https://www.ncbi.nlm.nih.gov/pubmed/32143163","32143163")</f>
        <v>32143163</v>
      </c>
      <c r="B153">
        <f t="shared" si="10"/>
        <v>10</v>
      </c>
      <c r="C153">
        <f t="shared" si="10"/>
        <v>0</v>
      </c>
      <c r="D153">
        <f t="shared" si="10"/>
        <v>0</v>
      </c>
      <c r="E153">
        <f t="shared" si="9"/>
        <v>10</v>
      </c>
      <c r="F153">
        <v>2020</v>
      </c>
      <c r="G153" t="s">
        <v>1606</v>
      </c>
      <c r="H153">
        <v>0</v>
      </c>
      <c r="I153" s="65">
        <v>0</v>
      </c>
      <c r="J153" t="s">
        <v>1608</v>
      </c>
      <c r="K153" s="35" t="s">
        <v>768</v>
      </c>
      <c r="L153" s="35" t="s">
        <v>1607</v>
      </c>
      <c r="M153" s="39" t="str">
        <f>HYPERLINK("http://dx.doi.org/10.1016/j.jhazmat.2020.122420","10.1016/j.jhazmat.2020.122420")</f>
        <v>10.1016/j.jhazmat.2020.122420</v>
      </c>
      <c r="N153" s="40" t="s">
        <v>1609</v>
      </c>
      <c r="O153" s="40" t="s">
        <v>383</v>
      </c>
      <c r="P153" s="40" t="s">
        <v>1610</v>
      </c>
      <c r="Q153" t="s">
        <v>316</v>
      </c>
    </row>
    <row r="154" spans="1:17" x14ac:dyDescent="0.25">
      <c r="A154" s="2" t="str">
        <f>HYPERLINK("https://www.ncbi.nlm.nih.gov/pubmed/32121376","32121376")</f>
        <v>32121376</v>
      </c>
      <c r="B154">
        <f t="shared" si="10"/>
        <v>10</v>
      </c>
      <c r="C154">
        <f t="shared" si="10"/>
        <v>0</v>
      </c>
      <c r="D154">
        <f t="shared" si="10"/>
        <v>0</v>
      </c>
      <c r="E154">
        <f t="shared" si="9"/>
        <v>10</v>
      </c>
      <c r="F154">
        <v>2020</v>
      </c>
      <c r="G154" t="s">
        <v>1611</v>
      </c>
      <c r="H154">
        <v>0</v>
      </c>
      <c r="I154" s="64" t="str">
        <f>HYPERLINK("https://www.ncbi.nlm.nih.gov/research/pubtator/?view=docsum&amp;query=PMC7084594","1")</f>
        <v>1</v>
      </c>
      <c r="J154" t="s">
        <v>1613</v>
      </c>
      <c r="K154" s="35" t="s">
        <v>658</v>
      </c>
      <c r="L154" s="35" t="s">
        <v>1612</v>
      </c>
      <c r="M154" s="39" t="str">
        <f>HYPERLINK("http://dx.doi.org/10.3390/ijerph17051579","10.3390/ijerph17051579")</f>
        <v>10.3390/ijerph17051579</v>
      </c>
      <c r="N154" s="40" t="s">
        <v>1088</v>
      </c>
      <c r="O154" s="40" t="s">
        <v>746</v>
      </c>
      <c r="P154" s="40" t="s">
        <v>383</v>
      </c>
      <c r="Q154" t="s">
        <v>316</v>
      </c>
    </row>
    <row r="155" spans="1:17" x14ac:dyDescent="0.25">
      <c r="A155" s="2" t="str">
        <f>HYPERLINK("https://www.ncbi.nlm.nih.gov/pubmed/32070689","32070689")</f>
        <v>32070689</v>
      </c>
      <c r="B155">
        <f t="shared" si="10"/>
        <v>10</v>
      </c>
      <c r="C155">
        <f t="shared" si="10"/>
        <v>0</v>
      </c>
      <c r="D155">
        <f t="shared" si="10"/>
        <v>0</v>
      </c>
      <c r="E155">
        <f t="shared" si="9"/>
        <v>10</v>
      </c>
      <c r="F155">
        <v>2020</v>
      </c>
      <c r="G155" t="s">
        <v>1622</v>
      </c>
      <c r="H155">
        <v>0</v>
      </c>
      <c r="I155" s="65">
        <v>0</v>
      </c>
      <c r="J155" t="s">
        <v>1623</v>
      </c>
      <c r="K155" s="35" t="s">
        <v>1624</v>
      </c>
      <c r="L155" s="35" t="s">
        <v>6633</v>
      </c>
      <c r="M155" s="39" t="str">
        <f>HYPERLINK("http://dx.doi.org/10.1016/j.bbr.2020.112562","10.1016/j.bbr.2020.112562")</f>
        <v>10.1016/j.bbr.2020.112562</v>
      </c>
      <c r="N155" s="40" t="s">
        <v>1625</v>
      </c>
      <c r="O155" s="40" t="s">
        <v>383</v>
      </c>
      <c r="P155" s="40" t="s">
        <v>1626</v>
      </c>
      <c r="Q155" t="s">
        <v>316</v>
      </c>
    </row>
    <row r="156" spans="1:17" x14ac:dyDescent="0.25">
      <c r="A156" s="2" t="str">
        <f>HYPERLINK("https://www.ncbi.nlm.nih.gov/pubmed/31732348","31732348")</f>
        <v>31732348</v>
      </c>
      <c r="B156">
        <f t="shared" si="10"/>
        <v>10</v>
      </c>
      <c r="C156">
        <f t="shared" si="10"/>
        <v>0</v>
      </c>
      <c r="D156">
        <f t="shared" si="10"/>
        <v>0</v>
      </c>
      <c r="E156">
        <f t="shared" si="9"/>
        <v>10</v>
      </c>
      <c r="F156">
        <v>2020</v>
      </c>
      <c r="G156" t="s">
        <v>1772</v>
      </c>
      <c r="H156">
        <v>0</v>
      </c>
      <c r="I156" s="65">
        <v>0</v>
      </c>
      <c r="J156" t="s">
        <v>1773</v>
      </c>
      <c r="K156" s="35" t="s">
        <v>768</v>
      </c>
      <c r="L156" s="35" t="s">
        <v>6652</v>
      </c>
      <c r="M156" s="39" t="str">
        <f>HYPERLINK("http://dx.doi.org/10.1016/j.jhazmat.2019.121531","10.1016/j.jhazmat.2019.121531")</f>
        <v>10.1016/j.jhazmat.2019.121531</v>
      </c>
      <c r="N156" s="40" t="s">
        <v>1774</v>
      </c>
      <c r="O156" s="40" t="s">
        <v>383</v>
      </c>
      <c r="P156" s="40" t="s">
        <v>1775</v>
      </c>
      <c r="Q156" t="s">
        <v>316</v>
      </c>
    </row>
    <row r="157" spans="1:17" x14ac:dyDescent="0.25">
      <c r="A157" s="2" t="str">
        <f>HYPERLINK("https://www.ncbi.nlm.nih.gov/pubmed/31699564","31699564")</f>
        <v>31699564</v>
      </c>
      <c r="B157">
        <f t="shared" si="10"/>
        <v>10</v>
      </c>
      <c r="C157">
        <f t="shared" si="10"/>
        <v>0</v>
      </c>
      <c r="D157">
        <f t="shared" si="10"/>
        <v>0</v>
      </c>
      <c r="E157">
        <f t="shared" si="9"/>
        <v>10</v>
      </c>
      <c r="F157">
        <v>2020</v>
      </c>
      <c r="G157" t="s">
        <v>1795</v>
      </c>
      <c r="H157">
        <v>0</v>
      </c>
      <c r="I157" s="65">
        <v>0</v>
      </c>
      <c r="J157" t="s">
        <v>1797</v>
      </c>
      <c r="K157" s="35" t="s">
        <v>786</v>
      </c>
      <c r="L157" s="35" t="s">
        <v>1796</v>
      </c>
      <c r="M157" s="39" t="str">
        <f>HYPERLINK("http://dx.doi.org/10.1016/j.foodchem.2019.125748","10.1016/j.foodchem.2019.125748")</f>
        <v>10.1016/j.foodchem.2019.125748</v>
      </c>
      <c r="N157" s="40" t="s">
        <v>1785</v>
      </c>
      <c r="O157" s="40" t="s">
        <v>383</v>
      </c>
      <c r="P157" s="40" t="s">
        <v>1798</v>
      </c>
      <c r="Q157" t="s">
        <v>316</v>
      </c>
    </row>
    <row r="158" spans="1:17" x14ac:dyDescent="0.25">
      <c r="A158" s="2" t="str">
        <f>HYPERLINK("https://www.ncbi.nlm.nih.gov/pubmed/31546069","31546069")</f>
        <v>31546069</v>
      </c>
      <c r="B158">
        <f t="shared" si="10"/>
        <v>10</v>
      </c>
      <c r="C158">
        <f t="shared" si="10"/>
        <v>0</v>
      </c>
      <c r="D158">
        <f t="shared" si="10"/>
        <v>0</v>
      </c>
      <c r="E158">
        <f t="shared" si="9"/>
        <v>10</v>
      </c>
      <c r="F158">
        <v>2019</v>
      </c>
      <c r="G158" t="s">
        <v>1848</v>
      </c>
      <c r="H158">
        <v>0</v>
      </c>
      <c r="I158" s="65">
        <v>0</v>
      </c>
      <c r="J158" t="s">
        <v>1849</v>
      </c>
      <c r="K158" s="35" t="s">
        <v>763</v>
      </c>
      <c r="L158" s="35" t="s">
        <v>6660</v>
      </c>
      <c r="M158" s="39" t="str">
        <f>HYPERLINK("http://dx.doi.org/10.1016/j.aquatox.2019.105292","10.1016/j.aquatox.2019.105292")</f>
        <v>10.1016/j.aquatox.2019.105292</v>
      </c>
      <c r="N158" s="40" t="s">
        <v>1850</v>
      </c>
      <c r="O158" s="40" t="s">
        <v>383</v>
      </c>
      <c r="P158" s="40" t="s">
        <v>1851</v>
      </c>
      <c r="Q158" t="s">
        <v>316</v>
      </c>
    </row>
    <row r="159" spans="1:17" x14ac:dyDescent="0.25">
      <c r="A159" s="2" t="str">
        <f>HYPERLINK("https://www.ncbi.nlm.nih.gov/pubmed/31482323","31482323")</f>
        <v>31482323</v>
      </c>
      <c r="B159">
        <f t="shared" si="10"/>
        <v>10</v>
      </c>
      <c r="C159">
        <f t="shared" si="10"/>
        <v>0</v>
      </c>
      <c r="D159">
        <f t="shared" si="10"/>
        <v>0</v>
      </c>
      <c r="E159">
        <f t="shared" si="9"/>
        <v>10</v>
      </c>
      <c r="F159">
        <v>2020</v>
      </c>
      <c r="G159" t="s">
        <v>1867</v>
      </c>
      <c r="H159">
        <v>0</v>
      </c>
      <c r="I159" s="65">
        <v>0</v>
      </c>
      <c r="J159" t="s">
        <v>1868</v>
      </c>
      <c r="K159" s="35" t="s">
        <v>998</v>
      </c>
      <c r="L159" s="35" t="s">
        <v>6663</v>
      </c>
      <c r="M159" s="39" t="str">
        <f>HYPERLINK("http://dx.doi.org/10.1007/s12640-019-00093-z","10.1007/s12640-019-00093-z")</f>
        <v>10.1007/s12640-019-00093-z</v>
      </c>
      <c r="N159" s="40" t="s">
        <v>1869</v>
      </c>
      <c r="O159" s="40" t="s">
        <v>638</v>
      </c>
      <c r="P159" s="40" t="s">
        <v>1870</v>
      </c>
      <c r="Q159" t="s">
        <v>316</v>
      </c>
    </row>
    <row r="160" spans="1:17" x14ac:dyDescent="0.25">
      <c r="A160" s="2" t="str">
        <f>HYPERLINK("https://www.ncbi.nlm.nih.gov/pubmed/31108289","31108289")</f>
        <v>31108289</v>
      </c>
      <c r="B160">
        <f t="shared" si="10"/>
        <v>10</v>
      </c>
      <c r="C160">
        <f t="shared" si="10"/>
        <v>1</v>
      </c>
      <c r="D160">
        <f t="shared" si="10"/>
        <v>0</v>
      </c>
      <c r="E160">
        <f t="shared" si="9"/>
        <v>11</v>
      </c>
      <c r="F160">
        <v>2019</v>
      </c>
      <c r="G160" t="s">
        <v>2035</v>
      </c>
      <c r="H160">
        <v>0</v>
      </c>
      <c r="I160" s="65">
        <v>0</v>
      </c>
      <c r="J160" t="s">
        <v>2036</v>
      </c>
      <c r="K160" s="35" t="s">
        <v>707</v>
      </c>
      <c r="L160" s="35" t="s">
        <v>6686</v>
      </c>
      <c r="M160" s="39" t="str">
        <f>HYPERLINK("http://dx.doi.org/10.1016/j.envpol.2019.05.012","10.1016/j.envpol.2019.05.012")</f>
        <v>10.1016/j.envpol.2019.05.012</v>
      </c>
      <c r="N160" s="40" t="s">
        <v>1604</v>
      </c>
      <c r="O160" s="40" t="s">
        <v>383</v>
      </c>
      <c r="P160" s="40" t="s">
        <v>2037</v>
      </c>
      <c r="Q160" t="s">
        <v>316</v>
      </c>
    </row>
    <row r="161" spans="1:17" x14ac:dyDescent="0.25">
      <c r="A161" s="2" t="str">
        <f>HYPERLINK("https://www.ncbi.nlm.nih.gov/pubmed/30898542","30898542")</f>
        <v>30898542</v>
      </c>
      <c r="B161">
        <f t="shared" si="10"/>
        <v>10</v>
      </c>
      <c r="C161">
        <f t="shared" si="10"/>
        <v>0</v>
      </c>
      <c r="D161">
        <f t="shared" si="10"/>
        <v>0</v>
      </c>
      <c r="E161">
        <f t="shared" si="9"/>
        <v>10</v>
      </c>
      <c r="F161">
        <v>2019</v>
      </c>
      <c r="G161" t="s">
        <v>2096</v>
      </c>
      <c r="H161">
        <v>0</v>
      </c>
      <c r="I161" s="65">
        <v>0</v>
      </c>
      <c r="J161" t="s">
        <v>2097</v>
      </c>
      <c r="K161" s="35" t="s">
        <v>914</v>
      </c>
      <c r="L161" s="35" t="s">
        <v>6694</v>
      </c>
      <c r="M161" s="39" t="str">
        <f>HYPERLINK("http://dx.doi.org/10.1016/j.ttbdis.2019.03.009","10.1016/j.ttbdis.2019.03.009")</f>
        <v>10.1016/j.ttbdis.2019.03.009</v>
      </c>
      <c r="N161" s="40" t="s">
        <v>802</v>
      </c>
      <c r="O161" s="40" t="s">
        <v>690</v>
      </c>
      <c r="P161" s="40" t="s">
        <v>2098</v>
      </c>
      <c r="Q161" t="s">
        <v>316</v>
      </c>
    </row>
    <row r="162" spans="1:17" x14ac:dyDescent="0.25">
      <c r="A162" s="2" t="str">
        <f>HYPERLINK("https://www.ncbi.nlm.nih.gov/pubmed/30454052","30454052")</f>
        <v>30454052</v>
      </c>
      <c r="B162">
        <f t="shared" si="10"/>
        <v>10</v>
      </c>
      <c r="C162">
        <f t="shared" si="10"/>
        <v>2</v>
      </c>
      <c r="D162">
        <f t="shared" si="10"/>
        <v>0</v>
      </c>
      <c r="E162">
        <f t="shared" si="9"/>
        <v>12</v>
      </c>
      <c r="F162">
        <v>2018</v>
      </c>
      <c r="G162" t="s">
        <v>2233</v>
      </c>
      <c r="H162">
        <v>0</v>
      </c>
      <c r="I162" s="64" t="str">
        <f>HYPERLINK("https://www.ncbi.nlm.nih.gov/research/pubtator/?view=docsum&amp;query=PMC6240940","1")</f>
        <v>1</v>
      </c>
      <c r="J162" t="s">
        <v>2234</v>
      </c>
      <c r="K162" s="35" t="s">
        <v>870</v>
      </c>
      <c r="L162" s="35" t="s">
        <v>6714</v>
      </c>
      <c r="M162" s="39" t="str">
        <f>HYPERLINK("http://dx.doi.org/10.1186/s13071-018-3175-z","10.1186/s13071-018-3175-z")</f>
        <v>10.1186/s13071-018-3175-z</v>
      </c>
      <c r="N162" s="40" t="s">
        <v>678</v>
      </c>
      <c r="O162" s="40" t="s">
        <v>638</v>
      </c>
      <c r="P162" s="40" t="s">
        <v>2235</v>
      </c>
      <c r="Q162" t="s">
        <v>316</v>
      </c>
    </row>
    <row r="163" spans="1:17" x14ac:dyDescent="0.25">
      <c r="A163" s="2" t="str">
        <f>HYPERLINK("https://www.ncbi.nlm.nih.gov/pubmed/30309581","30309581")</f>
        <v>30309581</v>
      </c>
      <c r="B163">
        <f t="shared" si="10"/>
        <v>10</v>
      </c>
      <c r="C163">
        <f t="shared" si="10"/>
        <v>0</v>
      </c>
      <c r="D163">
        <f t="shared" si="10"/>
        <v>0</v>
      </c>
      <c r="E163">
        <f t="shared" si="9"/>
        <v>10</v>
      </c>
      <c r="F163">
        <v>2019</v>
      </c>
      <c r="G163" t="s">
        <v>2281</v>
      </c>
      <c r="H163">
        <v>0</v>
      </c>
      <c r="I163" s="65">
        <v>0</v>
      </c>
      <c r="J163" t="s">
        <v>2283</v>
      </c>
      <c r="K163" s="35" t="s">
        <v>786</v>
      </c>
      <c r="L163" s="35" t="s">
        <v>2282</v>
      </c>
      <c r="M163" s="39" t="str">
        <f>HYPERLINK("http://dx.doi.org/10.1016/j.foodchem.2018.08.087","10.1016/j.foodchem.2018.08.087")</f>
        <v>10.1016/j.foodchem.2018.08.087</v>
      </c>
      <c r="N163" s="40" t="s">
        <v>2284</v>
      </c>
      <c r="O163" s="40" t="s">
        <v>383</v>
      </c>
      <c r="P163" s="40" t="s">
        <v>2285</v>
      </c>
      <c r="Q163" t="s">
        <v>316</v>
      </c>
    </row>
    <row r="164" spans="1:17" x14ac:dyDescent="0.25">
      <c r="A164" s="2" t="str">
        <f>HYPERLINK("https://www.ncbi.nlm.nih.gov/pubmed/30147265","30147265")</f>
        <v>30147265</v>
      </c>
      <c r="B164">
        <f t="shared" ref="B164:D183" si="11">IF(ISBLANK(B$3),0,(LEN($L164) - LEN(SUBSTITUTE(LOWER($L164),LOWER(B$3),"")))/LEN(B$3))</f>
        <v>10</v>
      </c>
      <c r="C164">
        <f t="shared" si="11"/>
        <v>0</v>
      </c>
      <c r="D164">
        <f t="shared" si="11"/>
        <v>0</v>
      </c>
      <c r="E164">
        <f t="shared" si="9"/>
        <v>10</v>
      </c>
      <c r="F164">
        <v>2018</v>
      </c>
      <c r="G164" t="s">
        <v>2333</v>
      </c>
      <c r="H164">
        <v>0</v>
      </c>
      <c r="I164" s="64" t="str">
        <f>HYPERLINK("https://www.ncbi.nlm.nih.gov/research/pubtator/?view=docsum&amp;query=PMC6097569","1")</f>
        <v>1</v>
      </c>
      <c r="J164" t="s">
        <v>2334</v>
      </c>
      <c r="K164" s="35" t="s">
        <v>2335</v>
      </c>
      <c r="L164" s="35" t="s">
        <v>6730</v>
      </c>
      <c r="M164" s="39" t="str">
        <f>HYPERLINK("http://dx.doi.org/10.14202/vetworld.2018.953-958","10.14202/vetworld.2018.953-958")</f>
        <v>10.14202/vetworld.2018.953-958</v>
      </c>
      <c r="N164" s="40" t="s">
        <v>678</v>
      </c>
      <c r="O164" s="40" t="s">
        <v>748</v>
      </c>
      <c r="P164" s="40" t="s">
        <v>2336</v>
      </c>
      <c r="Q164" t="s">
        <v>316</v>
      </c>
    </row>
    <row r="165" spans="1:17" x14ac:dyDescent="0.25">
      <c r="A165" s="2" t="str">
        <f>HYPERLINK("https://www.ncbi.nlm.nih.gov/pubmed/30001746","30001746")</f>
        <v>30001746</v>
      </c>
      <c r="B165">
        <f t="shared" si="11"/>
        <v>10</v>
      </c>
      <c r="C165">
        <f t="shared" si="11"/>
        <v>1</v>
      </c>
      <c r="D165">
        <f t="shared" si="11"/>
        <v>0</v>
      </c>
      <c r="E165">
        <f t="shared" si="9"/>
        <v>11</v>
      </c>
      <c r="F165">
        <v>2018</v>
      </c>
      <c r="G165" t="s">
        <v>2399</v>
      </c>
      <c r="H165">
        <v>0</v>
      </c>
      <c r="I165" s="64" t="str">
        <f>HYPERLINK("https://www.ncbi.nlm.nih.gov/research/pubtator/?view=docsum&amp;query=PMC6043961","1")</f>
        <v>1</v>
      </c>
      <c r="J165" t="s">
        <v>2400</v>
      </c>
      <c r="K165" s="35" t="s">
        <v>870</v>
      </c>
      <c r="L165" s="35" t="s">
        <v>6743</v>
      </c>
      <c r="M165" s="39" t="str">
        <f>HYPERLINK("http://dx.doi.org/10.1186/s13071-018-2967-5","10.1186/s13071-018-2967-5")</f>
        <v>10.1186/s13071-018-2967-5</v>
      </c>
      <c r="N165" s="40" t="s">
        <v>678</v>
      </c>
      <c r="O165" s="40" t="s">
        <v>638</v>
      </c>
      <c r="P165" s="40" t="s">
        <v>2401</v>
      </c>
      <c r="Q165" t="s">
        <v>316</v>
      </c>
    </row>
    <row r="166" spans="1:17" x14ac:dyDescent="0.25">
      <c r="A166" s="2" t="str">
        <f>HYPERLINK("https://www.ncbi.nlm.nih.gov/pubmed/29728967","29728967")</f>
        <v>29728967</v>
      </c>
      <c r="B166">
        <f t="shared" si="11"/>
        <v>10</v>
      </c>
      <c r="C166">
        <f t="shared" si="11"/>
        <v>1</v>
      </c>
      <c r="D166">
        <f t="shared" si="11"/>
        <v>0</v>
      </c>
      <c r="E166">
        <f t="shared" si="9"/>
        <v>11</v>
      </c>
      <c r="F166">
        <v>2018</v>
      </c>
      <c r="G166" t="s">
        <v>2469</v>
      </c>
      <c r="H166">
        <v>0</v>
      </c>
      <c r="I166" s="65">
        <v>0</v>
      </c>
      <c r="J166" t="s">
        <v>2470</v>
      </c>
      <c r="K166" s="35" t="s">
        <v>810</v>
      </c>
      <c r="L166" s="35" t="s">
        <v>6753</v>
      </c>
      <c r="M166" s="39" t="str">
        <f>HYPERLINK("http://dx.doi.org/10.1007/s11356-018-2126-8","10.1007/s11356-018-2126-8")</f>
        <v>10.1007/s11356-018-2126-8</v>
      </c>
      <c r="N166" s="40" t="s">
        <v>1369</v>
      </c>
      <c r="O166" s="40" t="s">
        <v>1115</v>
      </c>
      <c r="P166" s="40" t="s">
        <v>2471</v>
      </c>
      <c r="Q166" t="s">
        <v>316</v>
      </c>
    </row>
    <row r="167" spans="1:17" x14ac:dyDescent="0.25">
      <c r="A167" s="2" t="str">
        <f>HYPERLINK("https://www.ncbi.nlm.nih.gov/pubmed/29372770","29372770")</f>
        <v>29372770</v>
      </c>
      <c r="B167">
        <f t="shared" si="11"/>
        <v>10</v>
      </c>
      <c r="C167">
        <f t="shared" si="11"/>
        <v>0</v>
      </c>
      <c r="D167">
        <f t="shared" si="11"/>
        <v>0</v>
      </c>
      <c r="E167">
        <f t="shared" si="9"/>
        <v>10</v>
      </c>
      <c r="F167">
        <v>2017</v>
      </c>
      <c r="G167" t="s">
        <v>2563</v>
      </c>
      <c r="H167">
        <v>0</v>
      </c>
      <c r="I167" s="65">
        <v>0</v>
      </c>
      <c r="J167" t="s">
        <v>2565</v>
      </c>
      <c r="K167" s="35" t="s">
        <v>851</v>
      </c>
      <c r="L167" s="35" t="s">
        <v>2564</v>
      </c>
      <c r="M167" s="39" t="str">
        <f>HYPERLINK("http://dx.doi.org/10.3724/SP.J.1123.2017.09026","10.3724/SP.J.1123.2017.09026")</f>
        <v>10.3724/SP.J.1123.2017.09026</v>
      </c>
      <c r="N167" s="40" t="s">
        <v>2274</v>
      </c>
      <c r="O167" s="40" t="s">
        <v>915</v>
      </c>
      <c r="P167" s="40" t="s">
        <v>2566</v>
      </c>
      <c r="Q167" t="s">
        <v>316</v>
      </c>
    </row>
    <row r="168" spans="1:17" x14ac:dyDescent="0.25">
      <c r="A168" s="2" t="str">
        <f>HYPERLINK("https://www.ncbi.nlm.nih.gov/pubmed/28536466","28536466")</f>
        <v>28536466</v>
      </c>
      <c r="B168">
        <f t="shared" si="11"/>
        <v>10</v>
      </c>
      <c r="C168">
        <f t="shared" si="11"/>
        <v>0</v>
      </c>
      <c r="D168">
        <f t="shared" si="11"/>
        <v>0</v>
      </c>
      <c r="E168">
        <f t="shared" si="9"/>
        <v>10</v>
      </c>
      <c r="F168">
        <v>2017</v>
      </c>
      <c r="G168" t="s">
        <v>2786</v>
      </c>
      <c r="H168">
        <v>0</v>
      </c>
      <c r="I168" s="64" t="str">
        <f>HYPERLINK("https://www.ncbi.nlm.nih.gov/research/pubtator/?view=docsum&amp;query=PMC5442102","1")</f>
        <v>1</v>
      </c>
      <c r="J168" t="s">
        <v>2787</v>
      </c>
      <c r="K168" s="35" t="s">
        <v>747</v>
      </c>
      <c r="L168" s="35" t="s">
        <v>6810</v>
      </c>
      <c r="M168" s="39" t="str">
        <f>HYPERLINK("http://dx.doi.org/10.1038/s41598-017-02255-5","10.1038/s41598-017-02255-5")</f>
        <v>10.1038/s41598-017-02255-5</v>
      </c>
      <c r="N168" s="40" t="s">
        <v>748</v>
      </c>
      <c r="O168" s="40" t="s">
        <v>638</v>
      </c>
      <c r="P168" s="40" t="s">
        <v>2788</v>
      </c>
      <c r="Q168" t="s">
        <v>316</v>
      </c>
    </row>
    <row r="169" spans="1:17" x14ac:dyDescent="0.25">
      <c r="A169" s="2" t="str">
        <f>HYPERLINK("https://www.ncbi.nlm.nih.gov/pubmed/28322794","28322794")</f>
        <v>28322794</v>
      </c>
      <c r="B169">
        <f t="shared" si="11"/>
        <v>10</v>
      </c>
      <c r="C169">
        <f t="shared" si="11"/>
        <v>0</v>
      </c>
      <c r="D169">
        <f t="shared" si="11"/>
        <v>0</v>
      </c>
      <c r="E169">
        <f t="shared" si="9"/>
        <v>10</v>
      </c>
      <c r="F169">
        <v>2017</v>
      </c>
      <c r="G169" t="s">
        <v>2852</v>
      </c>
      <c r="H169">
        <v>0</v>
      </c>
      <c r="I169" s="65">
        <v>0</v>
      </c>
      <c r="J169" t="s">
        <v>2853</v>
      </c>
      <c r="K169" s="35" t="s">
        <v>2854</v>
      </c>
      <c r="L169" s="35" t="s">
        <v>6821</v>
      </c>
      <c r="M169" s="39" t="str">
        <f>HYPERLINK("http://dx.doi.org/10.1016/j.bbrc.2017.03.081","10.1016/j.bbrc.2017.03.081")</f>
        <v>10.1016/j.bbrc.2017.03.081</v>
      </c>
      <c r="N169" s="40" t="s">
        <v>2855</v>
      </c>
      <c r="O169" s="40" t="s">
        <v>750</v>
      </c>
      <c r="P169" s="40" t="s">
        <v>2856</v>
      </c>
      <c r="Q169" t="s">
        <v>316</v>
      </c>
    </row>
    <row r="170" spans="1:17" x14ac:dyDescent="0.25">
      <c r="A170" s="2" t="str">
        <f>HYPERLINK("https://www.ncbi.nlm.nih.gov/pubmed/28108161","28108161")</f>
        <v>28108161</v>
      </c>
      <c r="B170">
        <f t="shared" si="11"/>
        <v>10</v>
      </c>
      <c r="C170">
        <f t="shared" si="11"/>
        <v>0</v>
      </c>
      <c r="D170">
        <f t="shared" si="11"/>
        <v>0</v>
      </c>
      <c r="E170">
        <f t="shared" si="9"/>
        <v>10</v>
      </c>
      <c r="F170">
        <v>2017</v>
      </c>
      <c r="G170" t="s">
        <v>2892</v>
      </c>
      <c r="H170">
        <v>0</v>
      </c>
      <c r="I170" s="65">
        <v>0</v>
      </c>
      <c r="J170" t="s">
        <v>2893</v>
      </c>
      <c r="K170" s="35" t="s">
        <v>707</v>
      </c>
      <c r="L170" s="35" t="s">
        <v>6829</v>
      </c>
      <c r="M170" s="39" t="str">
        <f>HYPERLINK("http://dx.doi.org/10.1016/j.envpol.2016.12.027","10.1016/j.envpol.2016.12.027")</f>
        <v>10.1016/j.envpol.2016.12.027</v>
      </c>
      <c r="N170" s="40" t="s">
        <v>1793</v>
      </c>
      <c r="O170" s="40" t="s">
        <v>383</v>
      </c>
      <c r="P170" s="40" t="s">
        <v>2894</v>
      </c>
      <c r="Q170" t="s">
        <v>316</v>
      </c>
    </row>
    <row r="171" spans="1:17" x14ac:dyDescent="0.25">
      <c r="A171" s="2" t="str">
        <f>HYPERLINK("https://www.ncbi.nlm.nih.gov/pubmed/27374426","27374426")</f>
        <v>27374426</v>
      </c>
      <c r="B171">
        <f t="shared" si="11"/>
        <v>10</v>
      </c>
      <c r="C171">
        <f t="shared" si="11"/>
        <v>0</v>
      </c>
      <c r="D171">
        <f t="shared" si="11"/>
        <v>0</v>
      </c>
      <c r="E171">
        <f t="shared" si="9"/>
        <v>10</v>
      </c>
      <c r="F171">
        <v>2016</v>
      </c>
      <c r="G171" t="s">
        <v>3068</v>
      </c>
      <c r="H171">
        <v>0</v>
      </c>
      <c r="I171" s="65">
        <v>0</v>
      </c>
      <c r="J171" t="s">
        <v>3069</v>
      </c>
      <c r="K171" s="35" t="s">
        <v>3070</v>
      </c>
      <c r="L171" s="35" t="s">
        <v>6857</v>
      </c>
      <c r="M171" s="39" t="str">
        <f>HYPERLINK("http://dx.doi.org/10.1016/j.physbeh.2016.06.035","10.1016/j.physbeh.2016.06.035")</f>
        <v>10.1016/j.physbeh.2016.06.035</v>
      </c>
      <c r="N171" s="40" t="s">
        <v>3005</v>
      </c>
      <c r="O171" s="40" t="s">
        <v>383</v>
      </c>
      <c r="P171" s="40" t="s">
        <v>3071</v>
      </c>
      <c r="Q171" t="s">
        <v>316</v>
      </c>
    </row>
    <row r="172" spans="1:17" x14ac:dyDescent="0.25">
      <c r="A172" s="2" t="str">
        <f>HYPERLINK("https://www.ncbi.nlm.nih.gov/pubmed/27371222","27371222")</f>
        <v>27371222</v>
      </c>
      <c r="B172">
        <f t="shared" si="11"/>
        <v>10</v>
      </c>
      <c r="C172">
        <f t="shared" si="11"/>
        <v>4</v>
      </c>
      <c r="D172">
        <f t="shared" si="11"/>
        <v>0</v>
      </c>
      <c r="E172">
        <f t="shared" si="9"/>
        <v>14</v>
      </c>
      <c r="F172">
        <v>2017</v>
      </c>
      <c r="G172" t="s">
        <v>3072</v>
      </c>
      <c r="H172">
        <v>0</v>
      </c>
      <c r="I172" s="65">
        <v>0</v>
      </c>
      <c r="J172" t="s">
        <v>3073</v>
      </c>
      <c r="K172" s="35" t="s">
        <v>3074</v>
      </c>
      <c r="L172" s="35" t="s">
        <v>6858</v>
      </c>
      <c r="M172" s="39" t="str">
        <f>HYPERLINK("http://dx.doi.org/10.1177/0960327116655388","10.1177/0960327116655388")</f>
        <v>10.1177/0960327116655388</v>
      </c>
      <c r="N172" s="40" t="s">
        <v>639</v>
      </c>
      <c r="O172" s="40" t="s">
        <v>746</v>
      </c>
      <c r="P172" s="40" t="s">
        <v>3075</v>
      </c>
      <c r="Q172" t="s">
        <v>316</v>
      </c>
    </row>
    <row r="173" spans="1:17" x14ac:dyDescent="0.25">
      <c r="A173" s="2" t="str">
        <f>HYPERLINK("https://www.ncbi.nlm.nih.gov/pubmed/27289396","27289396")</f>
        <v>27289396</v>
      </c>
      <c r="B173">
        <f t="shared" si="11"/>
        <v>10</v>
      </c>
      <c r="C173">
        <f t="shared" si="11"/>
        <v>0</v>
      </c>
      <c r="D173">
        <f t="shared" si="11"/>
        <v>0</v>
      </c>
      <c r="E173">
        <f t="shared" si="9"/>
        <v>10</v>
      </c>
      <c r="F173">
        <v>2016</v>
      </c>
      <c r="G173" t="s">
        <v>3082</v>
      </c>
      <c r="H173">
        <v>0</v>
      </c>
      <c r="I173" s="65">
        <v>0</v>
      </c>
      <c r="J173" t="s">
        <v>3084</v>
      </c>
      <c r="K173" s="35" t="s">
        <v>670</v>
      </c>
      <c r="L173" s="35" t="s">
        <v>3083</v>
      </c>
      <c r="M173" s="39" t="str">
        <f>HYPERLINK("http://dx.doi.org/10.1016/j.scitotenv.2016.05.210","10.1016/j.scitotenv.2016.05.210")</f>
        <v>10.1016/j.scitotenv.2016.05.210</v>
      </c>
      <c r="N173" s="40" t="s">
        <v>3085</v>
      </c>
      <c r="O173" s="40" t="s">
        <v>383</v>
      </c>
      <c r="P173" s="40" t="s">
        <v>3086</v>
      </c>
      <c r="Q173" t="s">
        <v>316</v>
      </c>
    </row>
    <row r="174" spans="1:17" x14ac:dyDescent="0.25">
      <c r="A174" s="2" t="str">
        <f>HYPERLINK("https://www.ncbi.nlm.nih.gov/pubmed/27189592","27189592")</f>
        <v>27189592</v>
      </c>
      <c r="B174">
        <f t="shared" si="11"/>
        <v>10</v>
      </c>
      <c r="C174">
        <f t="shared" si="11"/>
        <v>0</v>
      </c>
      <c r="D174">
        <f t="shared" si="11"/>
        <v>0</v>
      </c>
      <c r="E174">
        <f t="shared" si="9"/>
        <v>10</v>
      </c>
      <c r="F174">
        <v>2016</v>
      </c>
      <c r="G174" t="s">
        <v>3111</v>
      </c>
      <c r="H174">
        <v>0</v>
      </c>
      <c r="I174" s="64" t="str">
        <f>HYPERLINK("https://www.ncbi.nlm.nih.gov/research/pubtator/?view=docsum&amp;query=PMC4869298","1")</f>
        <v>1</v>
      </c>
      <c r="J174" t="s">
        <v>3112</v>
      </c>
      <c r="K174" s="35" t="s">
        <v>870</v>
      </c>
      <c r="L174" s="35" t="s">
        <v>6863</v>
      </c>
      <c r="M174" s="39" t="str">
        <f>HYPERLINK("http://dx.doi.org/10.1186/s13071-016-1575-5","10.1186/s13071-016-1575-5")</f>
        <v>10.1186/s13071-016-1575-5</v>
      </c>
      <c r="N174" s="40" t="s">
        <v>660</v>
      </c>
      <c r="O174" s="40" t="s">
        <v>638</v>
      </c>
      <c r="P174" s="40" t="s">
        <v>1596</v>
      </c>
      <c r="Q174" t="s">
        <v>316</v>
      </c>
    </row>
    <row r="175" spans="1:17" x14ac:dyDescent="0.25">
      <c r="A175" s="2" t="str">
        <f>HYPERLINK("https://www.ncbi.nlm.nih.gov/pubmed/26830931","26830931")</f>
        <v>26830931</v>
      </c>
      <c r="B175">
        <f t="shared" si="11"/>
        <v>10</v>
      </c>
      <c r="C175">
        <f t="shared" si="11"/>
        <v>0</v>
      </c>
      <c r="D175">
        <f t="shared" si="11"/>
        <v>0</v>
      </c>
      <c r="E175">
        <f t="shared" si="9"/>
        <v>10</v>
      </c>
      <c r="F175">
        <v>2016</v>
      </c>
      <c r="G175" t="s">
        <v>3257</v>
      </c>
      <c r="H175">
        <v>0</v>
      </c>
      <c r="I175" s="64" t="str">
        <f>HYPERLINK("https://www.ncbi.nlm.nih.gov/research/pubtator/?view=docsum&amp;query=PMC4736277","1")</f>
        <v>1</v>
      </c>
      <c r="J175" t="s">
        <v>3258</v>
      </c>
      <c r="K175" s="35" t="s">
        <v>870</v>
      </c>
      <c r="L175" s="35" t="s">
        <v>6890</v>
      </c>
      <c r="M175" s="39" t="str">
        <f>HYPERLINK("http://dx.doi.org/10.1186/s13071-016-1345-4","10.1186/s13071-016-1345-4")</f>
        <v>10.1186/s13071-016-1345-4</v>
      </c>
      <c r="N175" s="40" t="s">
        <v>660</v>
      </c>
      <c r="O175" s="40" t="s">
        <v>383</v>
      </c>
      <c r="P175" s="40" t="s">
        <v>764</v>
      </c>
      <c r="Q175" t="s">
        <v>316</v>
      </c>
    </row>
    <row r="176" spans="1:17" x14ac:dyDescent="0.25">
      <c r="A176" s="2" t="str">
        <f>HYPERLINK("https://www.ncbi.nlm.nih.gov/pubmed/25721553","25721553")</f>
        <v>25721553</v>
      </c>
      <c r="B176">
        <f t="shared" si="11"/>
        <v>10</v>
      </c>
      <c r="C176">
        <f t="shared" si="11"/>
        <v>1</v>
      </c>
      <c r="D176">
        <f t="shared" si="11"/>
        <v>0</v>
      </c>
      <c r="E176">
        <f t="shared" si="9"/>
        <v>11</v>
      </c>
      <c r="F176">
        <v>2016</v>
      </c>
      <c r="G176" t="s">
        <v>3583</v>
      </c>
      <c r="H176">
        <v>0</v>
      </c>
      <c r="I176" s="65">
        <v>0</v>
      </c>
      <c r="J176" t="s">
        <v>3584</v>
      </c>
      <c r="K176" s="35" t="s">
        <v>3585</v>
      </c>
      <c r="L176" s="35" t="s">
        <v>6937</v>
      </c>
      <c r="M176" s="39" t="str">
        <f>HYPERLINK("http://dx.doi.org/10.1002/tox.22125","10.1002/tox.22125")</f>
        <v>10.1002/tox.22125</v>
      </c>
      <c r="N176" s="40" t="s">
        <v>753</v>
      </c>
      <c r="O176" s="40" t="s">
        <v>660</v>
      </c>
      <c r="P176" s="40" t="s">
        <v>3586</v>
      </c>
      <c r="Q176" t="s">
        <v>316</v>
      </c>
    </row>
    <row r="177" spans="1:17" x14ac:dyDescent="0.25">
      <c r="A177" s="2" t="str">
        <f>HYPERLINK("https://www.ncbi.nlm.nih.gov/pubmed/25703042","25703042")</f>
        <v>25703042</v>
      </c>
      <c r="B177">
        <f t="shared" si="11"/>
        <v>10</v>
      </c>
      <c r="C177">
        <f t="shared" si="11"/>
        <v>0</v>
      </c>
      <c r="D177">
        <f t="shared" si="11"/>
        <v>0</v>
      </c>
      <c r="E177">
        <f t="shared" si="9"/>
        <v>10</v>
      </c>
      <c r="F177">
        <v>2015</v>
      </c>
      <c r="G177" t="s">
        <v>3590</v>
      </c>
      <c r="H177">
        <v>0</v>
      </c>
      <c r="I177" s="65">
        <v>0</v>
      </c>
      <c r="J177" t="s">
        <v>3591</v>
      </c>
      <c r="K177" s="35" t="s">
        <v>755</v>
      </c>
      <c r="L177" s="35" t="s">
        <v>6939</v>
      </c>
      <c r="M177" s="39" t="str">
        <f>HYPERLINK("http://dx.doi.org/10.1002/etc.2889","10.1002/etc.2889")</f>
        <v>10.1002/etc.2889</v>
      </c>
      <c r="N177" s="40" t="s">
        <v>1467</v>
      </c>
      <c r="O177" s="40" t="s">
        <v>746</v>
      </c>
      <c r="P177" s="40" t="s">
        <v>3592</v>
      </c>
      <c r="Q177" t="s">
        <v>316</v>
      </c>
    </row>
    <row r="178" spans="1:17" x14ac:dyDescent="0.25">
      <c r="A178" s="2" t="str">
        <f>HYPERLINK("https://www.ncbi.nlm.nih.gov/pubmed/25619913","25619913")</f>
        <v>25619913</v>
      </c>
      <c r="B178">
        <f t="shared" si="11"/>
        <v>10</v>
      </c>
      <c r="C178">
        <f t="shared" si="11"/>
        <v>0</v>
      </c>
      <c r="D178">
        <f t="shared" si="11"/>
        <v>0</v>
      </c>
      <c r="E178">
        <f t="shared" si="9"/>
        <v>10</v>
      </c>
      <c r="F178">
        <v>2015</v>
      </c>
      <c r="G178" t="s">
        <v>3645</v>
      </c>
      <c r="H178">
        <v>0</v>
      </c>
      <c r="I178" s="65">
        <v>0</v>
      </c>
      <c r="J178" t="s">
        <v>3646</v>
      </c>
      <c r="K178" s="35" t="s">
        <v>831</v>
      </c>
      <c r="L178" s="35" t="s">
        <v>6947</v>
      </c>
      <c r="M178" s="39" t="str">
        <f>HYPERLINK("http://dx.doi.org/10.1016/j.pestbp.2014.10.010","10.1016/j.pestbp.2014.10.010")</f>
        <v>10.1016/j.pestbp.2014.10.010</v>
      </c>
      <c r="N178" s="40" t="s">
        <v>3647</v>
      </c>
      <c r="O178" s="40" t="s">
        <v>383</v>
      </c>
      <c r="P178" s="40" t="s">
        <v>3648</v>
      </c>
      <c r="Q178" t="s">
        <v>316</v>
      </c>
    </row>
    <row r="179" spans="1:17" x14ac:dyDescent="0.25">
      <c r="A179" s="2" t="str">
        <f>HYPERLINK("https://www.ncbi.nlm.nih.gov/pubmed/25552322","25552322")</f>
        <v>25552322</v>
      </c>
      <c r="B179">
        <f t="shared" si="11"/>
        <v>10</v>
      </c>
      <c r="C179">
        <f t="shared" si="11"/>
        <v>0</v>
      </c>
      <c r="D179">
        <f t="shared" si="11"/>
        <v>0</v>
      </c>
      <c r="E179">
        <f t="shared" si="9"/>
        <v>10</v>
      </c>
      <c r="F179">
        <v>2015</v>
      </c>
      <c r="G179" t="s">
        <v>3672</v>
      </c>
      <c r="H179">
        <v>0</v>
      </c>
      <c r="I179" s="65">
        <v>0</v>
      </c>
      <c r="J179" t="s">
        <v>3674</v>
      </c>
      <c r="K179" s="35" t="s">
        <v>3164</v>
      </c>
      <c r="L179" s="35" t="s">
        <v>3673</v>
      </c>
      <c r="M179" s="39" t="str">
        <f>HYPERLINK("http://dx.doi.org/10.1007/s00128-014-1447-7","10.1007/s00128-014-1447-7")</f>
        <v>10.1007/s00128-014-1447-7</v>
      </c>
      <c r="N179" s="40" t="s">
        <v>1562</v>
      </c>
      <c r="O179" s="40" t="s">
        <v>744</v>
      </c>
      <c r="P179" s="40" t="s">
        <v>3675</v>
      </c>
      <c r="Q179" t="s">
        <v>316</v>
      </c>
    </row>
    <row r="180" spans="1:17" x14ac:dyDescent="0.25">
      <c r="A180" s="2" t="str">
        <f>HYPERLINK("https://www.ncbi.nlm.nih.gov/pubmed/25302733","25302733")</f>
        <v>25302733</v>
      </c>
      <c r="B180">
        <f t="shared" si="11"/>
        <v>10</v>
      </c>
      <c r="C180">
        <f t="shared" si="11"/>
        <v>0</v>
      </c>
      <c r="D180">
        <f t="shared" si="11"/>
        <v>0</v>
      </c>
      <c r="E180">
        <f t="shared" si="9"/>
        <v>10</v>
      </c>
      <c r="F180">
        <v>2014</v>
      </c>
      <c r="G180" t="s">
        <v>3717</v>
      </c>
      <c r="H180">
        <v>0</v>
      </c>
      <c r="I180" s="65">
        <v>0</v>
      </c>
      <c r="J180" t="s">
        <v>3719</v>
      </c>
      <c r="K180" s="35" t="s">
        <v>770</v>
      </c>
      <c r="L180" s="35" t="s">
        <v>3718</v>
      </c>
      <c r="M180" s="39" t="str">
        <f>HYPERLINK("http://dx.doi.org/10.1021/jf503851z","10.1021/jf503851z")</f>
        <v>10.1021/jf503851z</v>
      </c>
      <c r="N180" s="40" t="s">
        <v>2372</v>
      </c>
      <c r="O180" s="40" t="s">
        <v>2001</v>
      </c>
      <c r="P180" s="40" t="s">
        <v>3720</v>
      </c>
      <c r="Q180" t="s">
        <v>316</v>
      </c>
    </row>
    <row r="181" spans="1:17" x14ac:dyDescent="0.25">
      <c r="A181" s="2" t="str">
        <f>HYPERLINK("https://www.ncbi.nlm.nih.gov/pubmed/25112704","25112704")</f>
        <v>25112704</v>
      </c>
      <c r="B181">
        <f t="shared" si="11"/>
        <v>10</v>
      </c>
      <c r="C181">
        <f t="shared" si="11"/>
        <v>0</v>
      </c>
      <c r="D181">
        <f t="shared" si="11"/>
        <v>0</v>
      </c>
      <c r="E181">
        <f t="shared" si="9"/>
        <v>10</v>
      </c>
      <c r="F181">
        <v>2015</v>
      </c>
      <c r="G181" t="s">
        <v>3791</v>
      </c>
      <c r="H181">
        <v>0</v>
      </c>
      <c r="I181" s="65">
        <v>0</v>
      </c>
      <c r="J181" t="s">
        <v>3793</v>
      </c>
      <c r="K181" s="35" t="s">
        <v>822</v>
      </c>
      <c r="L181" s="35" t="s">
        <v>3792</v>
      </c>
      <c r="M181" s="39" t="str">
        <f>HYPERLINK("http://dx.doi.org/10.1016/j.chemosphere.2014.07.015","10.1016/j.chemosphere.2014.07.015")</f>
        <v>10.1016/j.chemosphere.2014.07.015</v>
      </c>
      <c r="N181" s="40" t="s">
        <v>1211</v>
      </c>
      <c r="O181" s="40" t="s">
        <v>383</v>
      </c>
      <c r="P181" s="40" t="s">
        <v>3794</v>
      </c>
      <c r="Q181" t="s">
        <v>316</v>
      </c>
    </row>
    <row r="182" spans="1:17" x14ac:dyDescent="0.25">
      <c r="A182" s="2" t="str">
        <f>HYPERLINK("https://www.ncbi.nlm.nih.gov/pubmed/24373508","24373508")</f>
        <v>24373508</v>
      </c>
      <c r="B182">
        <f t="shared" si="11"/>
        <v>10</v>
      </c>
      <c r="C182">
        <f t="shared" si="11"/>
        <v>0</v>
      </c>
      <c r="D182">
        <f t="shared" si="11"/>
        <v>0</v>
      </c>
      <c r="E182">
        <f t="shared" si="9"/>
        <v>10</v>
      </c>
      <c r="F182">
        <v>2013</v>
      </c>
      <c r="G182" t="s">
        <v>4003</v>
      </c>
      <c r="H182">
        <v>0</v>
      </c>
      <c r="I182" s="64" t="str">
        <f>HYPERLINK("https://www.ncbi.nlm.nih.gov/research/pubtator/?view=docsum&amp;query=PMC3892057","1")</f>
        <v>1</v>
      </c>
      <c r="J182" t="s">
        <v>4004</v>
      </c>
      <c r="K182" s="35" t="s">
        <v>870</v>
      </c>
      <c r="L182" s="35" t="s">
        <v>6997</v>
      </c>
      <c r="M182" s="39" t="str">
        <f>HYPERLINK("http://dx.doi.org/10.1186/1756-3305-6-366","10.1186/1756-3305-6-366")</f>
        <v>10.1186/1756-3305-6-366</v>
      </c>
      <c r="N182" s="40" t="s">
        <v>741</v>
      </c>
      <c r="O182" s="40" t="s">
        <v>383</v>
      </c>
      <c r="P182" s="40" t="s">
        <v>2202</v>
      </c>
      <c r="Q182" t="s">
        <v>316</v>
      </c>
    </row>
    <row r="183" spans="1:17" x14ac:dyDescent="0.25">
      <c r="A183" s="2" t="str">
        <f>HYPERLINK("https://www.ncbi.nlm.nih.gov/pubmed/24360469","24360469")</f>
        <v>24360469</v>
      </c>
      <c r="B183">
        <f t="shared" si="11"/>
        <v>10</v>
      </c>
      <c r="C183">
        <f t="shared" si="11"/>
        <v>1</v>
      </c>
      <c r="D183">
        <f t="shared" si="11"/>
        <v>0</v>
      </c>
      <c r="E183">
        <f t="shared" si="9"/>
        <v>11</v>
      </c>
      <c r="F183">
        <v>2014</v>
      </c>
      <c r="G183" t="s">
        <v>4028</v>
      </c>
      <c r="H183">
        <v>0</v>
      </c>
      <c r="I183" s="65">
        <v>0</v>
      </c>
      <c r="J183" t="s">
        <v>4030</v>
      </c>
      <c r="K183" s="35" t="s">
        <v>786</v>
      </c>
      <c r="L183" s="35" t="s">
        <v>4029</v>
      </c>
      <c r="M183" s="39" t="str">
        <f>HYPERLINK("http://dx.doi.org/10.1016/j.foodchem.2013.11.004","10.1016/j.foodchem.2013.11.004")</f>
        <v>10.1016/j.foodchem.2013.11.004</v>
      </c>
      <c r="N183" s="40" t="s">
        <v>4031</v>
      </c>
      <c r="O183" s="40" t="s">
        <v>383</v>
      </c>
      <c r="P183" s="40" t="s">
        <v>4032</v>
      </c>
      <c r="Q183" t="s">
        <v>316</v>
      </c>
    </row>
    <row r="184" spans="1:17" x14ac:dyDescent="0.25">
      <c r="A184" s="2" t="str">
        <f>HYPERLINK("https://www.ncbi.nlm.nih.gov/pubmed/24016625","24016625")</f>
        <v>24016625</v>
      </c>
      <c r="B184">
        <f t="shared" ref="B184:D203" si="12">IF(ISBLANK(B$3),0,(LEN($L184) - LEN(SUBSTITUTE(LOWER($L184),LOWER(B$3),"")))/LEN(B$3))</f>
        <v>10</v>
      </c>
      <c r="C184">
        <f t="shared" si="12"/>
        <v>1</v>
      </c>
      <c r="D184">
        <f t="shared" si="12"/>
        <v>0</v>
      </c>
      <c r="E184">
        <f t="shared" si="9"/>
        <v>11</v>
      </c>
      <c r="F184">
        <v>2013</v>
      </c>
      <c r="G184" t="s">
        <v>4097</v>
      </c>
      <c r="H184">
        <v>0</v>
      </c>
      <c r="I184" s="65">
        <v>0</v>
      </c>
      <c r="J184" t="s">
        <v>4099</v>
      </c>
      <c r="K184" s="35" t="s">
        <v>822</v>
      </c>
      <c r="L184" s="35" t="s">
        <v>4098</v>
      </c>
      <c r="M184" s="39" t="str">
        <f>HYPERLINK("http://dx.doi.org/10.1016/j.chemosphere.2013.07.083","10.1016/j.chemosphere.2013.07.083")</f>
        <v>10.1016/j.chemosphere.2013.07.083</v>
      </c>
      <c r="N184" s="40" t="s">
        <v>1900</v>
      </c>
      <c r="O184" s="40" t="s">
        <v>802</v>
      </c>
      <c r="P184" s="40" t="s">
        <v>4100</v>
      </c>
      <c r="Q184" t="s">
        <v>316</v>
      </c>
    </row>
    <row r="185" spans="1:17" x14ac:dyDescent="0.25">
      <c r="A185" s="2" t="str">
        <f>HYPERLINK("https://www.ncbi.nlm.nih.gov/pubmed/23195807","23195807")</f>
        <v>23195807</v>
      </c>
      <c r="B185">
        <f t="shared" si="12"/>
        <v>10</v>
      </c>
      <c r="C185">
        <f t="shared" si="12"/>
        <v>2</v>
      </c>
      <c r="D185">
        <f t="shared" si="12"/>
        <v>0</v>
      </c>
      <c r="E185">
        <f t="shared" si="9"/>
        <v>12</v>
      </c>
      <c r="F185">
        <v>2013</v>
      </c>
      <c r="G185" t="s">
        <v>4288</v>
      </c>
      <c r="H185">
        <v>0</v>
      </c>
      <c r="I185" s="65">
        <v>0</v>
      </c>
      <c r="J185" t="s">
        <v>4035</v>
      </c>
      <c r="K185" s="35" t="s">
        <v>714</v>
      </c>
      <c r="L185" s="35" t="s">
        <v>4289</v>
      </c>
      <c r="M185" s="39" t="str">
        <f>HYPERLINK("http://dx.doi.org/10.1016/j.ecoenv.2012.11.006","10.1016/j.ecoenv.2012.11.006")</f>
        <v>10.1016/j.ecoenv.2012.11.006</v>
      </c>
      <c r="N185" s="40" t="s">
        <v>3549</v>
      </c>
      <c r="O185" s="40" t="s">
        <v>383</v>
      </c>
      <c r="P185" s="40" t="s">
        <v>4290</v>
      </c>
      <c r="Q185" t="s">
        <v>316</v>
      </c>
    </row>
    <row r="186" spans="1:17" x14ac:dyDescent="0.25">
      <c r="A186" s="2" t="str">
        <f>HYPERLINK("https://www.ncbi.nlm.nih.gov/pubmed/22308780","22308780")</f>
        <v>22308780</v>
      </c>
      <c r="B186">
        <f t="shared" si="12"/>
        <v>10</v>
      </c>
      <c r="C186">
        <f t="shared" si="12"/>
        <v>0</v>
      </c>
      <c r="D186">
        <f t="shared" si="12"/>
        <v>0</v>
      </c>
      <c r="E186">
        <f t="shared" si="9"/>
        <v>10</v>
      </c>
      <c r="F186">
        <v>2012</v>
      </c>
      <c r="G186" t="s">
        <v>4470</v>
      </c>
      <c r="H186">
        <v>0</v>
      </c>
      <c r="I186" s="65">
        <v>0</v>
      </c>
      <c r="J186" t="s">
        <v>4471</v>
      </c>
      <c r="K186" s="35" t="s">
        <v>1027</v>
      </c>
      <c r="L186" s="35" t="s">
        <v>7053</v>
      </c>
      <c r="M186" s="39" t="str">
        <f>HYPERLINK("http://dx.doi.org/10.1603/me11106","10.1603/me11106")</f>
        <v>10.1603/me11106</v>
      </c>
      <c r="N186" s="40" t="s">
        <v>2085</v>
      </c>
      <c r="O186" s="40" t="s">
        <v>638</v>
      </c>
      <c r="P186" s="40" t="s">
        <v>4472</v>
      </c>
      <c r="Q186" t="s">
        <v>316</v>
      </c>
    </row>
    <row r="187" spans="1:17" x14ac:dyDescent="0.25">
      <c r="A187" s="2" t="str">
        <f>HYPERLINK("https://www.ncbi.nlm.nih.gov/pubmed/22242791","22242791")</f>
        <v>22242791</v>
      </c>
      <c r="B187">
        <f t="shared" si="12"/>
        <v>10</v>
      </c>
      <c r="C187">
        <f t="shared" si="12"/>
        <v>0</v>
      </c>
      <c r="D187">
        <f t="shared" si="12"/>
        <v>0</v>
      </c>
      <c r="E187">
        <f t="shared" si="9"/>
        <v>10</v>
      </c>
      <c r="F187">
        <v>2012</v>
      </c>
      <c r="G187" t="s">
        <v>4481</v>
      </c>
      <c r="H187">
        <v>0</v>
      </c>
      <c r="I187" s="65">
        <v>0</v>
      </c>
      <c r="J187" t="s">
        <v>4482</v>
      </c>
      <c r="K187" s="35" t="s">
        <v>1058</v>
      </c>
      <c r="L187" s="35" t="s">
        <v>7054</v>
      </c>
      <c r="M187" s="39" t="str">
        <f>HYPERLINK("http://dx.doi.org/10.1021/es202904x","10.1021/es202904x")</f>
        <v>10.1021/es202904x</v>
      </c>
      <c r="N187" s="40" t="s">
        <v>1229</v>
      </c>
      <c r="O187" s="40" t="s">
        <v>750</v>
      </c>
      <c r="P187" s="40" t="s">
        <v>4483</v>
      </c>
      <c r="Q187" t="s">
        <v>316</v>
      </c>
    </row>
    <row r="188" spans="1:17" x14ac:dyDescent="0.25">
      <c r="A188" s="2" t="str">
        <f>HYPERLINK("https://www.ncbi.nlm.nih.gov/pubmed/22097792","22097792")</f>
        <v>22097792</v>
      </c>
      <c r="B188">
        <f t="shared" si="12"/>
        <v>10</v>
      </c>
      <c r="C188">
        <f t="shared" si="12"/>
        <v>0</v>
      </c>
      <c r="D188">
        <f t="shared" si="12"/>
        <v>0</v>
      </c>
      <c r="E188">
        <f t="shared" si="9"/>
        <v>10</v>
      </c>
      <c r="F188">
        <v>2011</v>
      </c>
      <c r="G188" t="s">
        <v>4504</v>
      </c>
      <c r="H188">
        <v>0</v>
      </c>
      <c r="I188" s="65">
        <v>0</v>
      </c>
      <c r="J188" t="s">
        <v>4506</v>
      </c>
      <c r="K188" s="35" t="s">
        <v>851</v>
      </c>
      <c r="L188" s="35" t="s">
        <v>4505</v>
      </c>
      <c r="M188" s="39" t="str">
        <f>HYPERLINK("http://dx.doi.org/","")</f>
        <v/>
      </c>
      <c r="N188" s="40" t="s">
        <v>858</v>
      </c>
      <c r="O188" s="40" t="s">
        <v>748</v>
      </c>
      <c r="P188" s="40" t="s">
        <v>4507</v>
      </c>
      <c r="Q188" t="s">
        <v>316</v>
      </c>
    </row>
    <row r="189" spans="1:17" x14ac:dyDescent="0.25">
      <c r="A189" s="2" t="str">
        <f>HYPERLINK("https://www.ncbi.nlm.nih.gov/pubmed/21621551","21621551")</f>
        <v>21621551</v>
      </c>
      <c r="B189">
        <f t="shared" si="12"/>
        <v>10</v>
      </c>
      <c r="C189">
        <f t="shared" si="12"/>
        <v>0</v>
      </c>
      <c r="D189">
        <f t="shared" si="12"/>
        <v>0</v>
      </c>
      <c r="E189">
        <f t="shared" si="9"/>
        <v>10</v>
      </c>
      <c r="F189">
        <v>2011</v>
      </c>
      <c r="G189" t="s">
        <v>4641</v>
      </c>
      <c r="H189">
        <v>0</v>
      </c>
      <c r="I189" s="65">
        <v>0</v>
      </c>
      <c r="J189" t="s">
        <v>4642</v>
      </c>
      <c r="K189" s="35" t="s">
        <v>937</v>
      </c>
      <c r="L189" s="35" t="s">
        <v>7082</v>
      </c>
      <c r="M189" s="39" t="str">
        <f>HYPERLINK("http://dx.doi.org/10.1016/j.neuro.2011.04.006","10.1016/j.neuro.2011.04.006")</f>
        <v>10.1016/j.neuro.2011.04.006</v>
      </c>
      <c r="N189" s="40" t="s">
        <v>1018</v>
      </c>
      <c r="O189" s="40" t="s">
        <v>741</v>
      </c>
      <c r="P189" s="40" t="s">
        <v>4643</v>
      </c>
      <c r="Q189" t="s">
        <v>316</v>
      </c>
    </row>
    <row r="190" spans="1:17" x14ac:dyDescent="0.25">
      <c r="A190" s="2" t="str">
        <f>HYPERLINK("https://www.ncbi.nlm.nih.gov/pubmed/20688434","20688434")</f>
        <v>20688434</v>
      </c>
      <c r="B190">
        <f t="shared" si="12"/>
        <v>10</v>
      </c>
      <c r="C190">
        <f t="shared" si="12"/>
        <v>0</v>
      </c>
      <c r="D190">
        <f t="shared" si="12"/>
        <v>0</v>
      </c>
      <c r="E190">
        <f t="shared" si="9"/>
        <v>10</v>
      </c>
      <c r="F190">
        <v>2010</v>
      </c>
      <c r="G190" t="s">
        <v>4869</v>
      </c>
      <c r="H190">
        <v>0</v>
      </c>
      <c r="I190" s="65">
        <v>0</v>
      </c>
      <c r="J190" t="s">
        <v>4870</v>
      </c>
      <c r="K190" s="35" t="s">
        <v>1052</v>
      </c>
      <c r="L190" s="35" t="s">
        <v>7102</v>
      </c>
      <c r="M190" s="39" t="str">
        <f>HYPERLINK("http://dx.doi.org/10.1016/j.vetpar.2010.06.036","10.1016/j.vetpar.2010.06.036")</f>
        <v>10.1016/j.vetpar.2010.06.036</v>
      </c>
      <c r="N190" s="40" t="s">
        <v>1037</v>
      </c>
      <c r="O190" s="40" t="s">
        <v>1741</v>
      </c>
      <c r="P190" s="40" t="s">
        <v>4871</v>
      </c>
      <c r="Q190" t="s">
        <v>316</v>
      </c>
    </row>
    <row r="191" spans="1:17" x14ac:dyDescent="0.25">
      <c r="A191" s="2" t="str">
        <f>HYPERLINK("https://www.ncbi.nlm.nih.gov/pubmed/19253654","19253654")</f>
        <v>19253654</v>
      </c>
      <c r="B191">
        <f t="shared" si="12"/>
        <v>10</v>
      </c>
      <c r="C191">
        <f t="shared" si="12"/>
        <v>0</v>
      </c>
      <c r="D191">
        <f t="shared" si="12"/>
        <v>0</v>
      </c>
      <c r="E191">
        <f t="shared" si="9"/>
        <v>10</v>
      </c>
      <c r="F191">
        <v>2009</v>
      </c>
      <c r="G191" t="s">
        <v>5160</v>
      </c>
      <c r="H191">
        <v>0</v>
      </c>
      <c r="I191" s="65">
        <v>0</v>
      </c>
      <c r="J191" t="s">
        <v>5162</v>
      </c>
      <c r="K191" s="35" t="s">
        <v>909</v>
      </c>
      <c r="L191" s="35" t="s">
        <v>5161</v>
      </c>
      <c r="M191" s="39" t="str">
        <f>HYPERLINK("http://dx.doi.org/10.1603/029.102.0145","10.1603/029.102.0145")</f>
        <v>10.1603/029.102.0145</v>
      </c>
      <c r="N191" s="40" t="s">
        <v>4983</v>
      </c>
      <c r="O191" s="40" t="s">
        <v>638</v>
      </c>
      <c r="P191" s="40" t="s">
        <v>5163</v>
      </c>
      <c r="Q191" t="s">
        <v>316</v>
      </c>
    </row>
    <row r="192" spans="1:17" x14ac:dyDescent="0.25">
      <c r="A192" s="2" t="str">
        <f>HYPERLINK("https://www.ncbi.nlm.nih.gov/pubmed/18613593","18613593")</f>
        <v>18613593</v>
      </c>
      <c r="B192">
        <f t="shared" si="12"/>
        <v>10</v>
      </c>
      <c r="C192">
        <f t="shared" si="12"/>
        <v>0</v>
      </c>
      <c r="D192">
        <f t="shared" si="12"/>
        <v>0</v>
      </c>
      <c r="E192">
        <f t="shared" si="9"/>
        <v>10</v>
      </c>
      <c r="F192">
        <v>2008</v>
      </c>
      <c r="G192" t="s">
        <v>5278</v>
      </c>
      <c r="H192">
        <v>0</v>
      </c>
      <c r="I192" s="65">
        <v>0</v>
      </c>
      <c r="J192" t="s">
        <v>5280</v>
      </c>
      <c r="K192" s="35" t="s">
        <v>909</v>
      </c>
      <c r="L192" s="35" t="s">
        <v>5279</v>
      </c>
      <c r="M192" s="39" t="str">
        <f>HYPERLINK("http://dx.doi.org/10.1603/0022-0493(2008)101[902:iotoro]2.0.co;2","10.1603/0022-0493(2008)101[902:iotoro]2.0.co;2")</f>
        <v>10.1603/0022-0493(2008)101[902:iotoro]2.0.co;2</v>
      </c>
      <c r="N192" s="40" t="s">
        <v>2872</v>
      </c>
      <c r="O192" s="40" t="s">
        <v>750</v>
      </c>
      <c r="P192" s="40" t="s">
        <v>5281</v>
      </c>
      <c r="Q192" t="s">
        <v>316</v>
      </c>
    </row>
    <row r="193" spans="1:17" x14ac:dyDescent="0.25">
      <c r="A193" s="2" t="str">
        <f>HYPERLINK("https://www.ncbi.nlm.nih.gov/pubmed/19073092","19073092")</f>
        <v>19073092</v>
      </c>
      <c r="B193">
        <f t="shared" si="12"/>
        <v>10</v>
      </c>
      <c r="C193">
        <f t="shared" si="12"/>
        <v>0</v>
      </c>
      <c r="D193">
        <f t="shared" si="12"/>
        <v>0</v>
      </c>
      <c r="E193">
        <f t="shared" si="9"/>
        <v>10</v>
      </c>
      <c r="F193">
        <v>2007</v>
      </c>
      <c r="G193" t="s">
        <v>5413</v>
      </c>
      <c r="H193">
        <v>0</v>
      </c>
      <c r="I193" s="65">
        <v>0</v>
      </c>
      <c r="J193" t="s">
        <v>5415</v>
      </c>
      <c r="K193" s="35" t="s">
        <v>1162</v>
      </c>
      <c r="L193" s="35" t="s">
        <v>5414</v>
      </c>
      <c r="M193" s="39" t="str">
        <f>HYPERLINK("http://dx.doi.org/10.1016/j.talanta.2007.04.061","10.1016/j.talanta.2007.04.061")</f>
        <v>10.1016/j.talanta.2007.04.061</v>
      </c>
      <c r="N193" s="40" t="s">
        <v>2599</v>
      </c>
      <c r="O193" s="40" t="s">
        <v>690</v>
      </c>
      <c r="P193" s="40" t="s">
        <v>5416</v>
      </c>
      <c r="Q193" t="s">
        <v>316</v>
      </c>
    </row>
    <row r="194" spans="1:17" x14ac:dyDescent="0.25">
      <c r="A194" s="2" t="str">
        <f>HYPERLINK("https://www.ncbi.nlm.nih.gov/pubmed/17162566","17162566")</f>
        <v>17162566</v>
      </c>
      <c r="B194">
        <f t="shared" si="12"/>
        <v>10</v>
      </c>
      <c r="C194">
        <f t="shared" si="12"/>
        <v>0</v>
      </c>
      <c r="D194">
        <f t="shared" si="12"/>
        <v>0</v>
      </c>
      <c r="E194">
        <f t="shared" si="9"/>
        <v>10</v>
      </c>
      <c r="F194">
        <v>2007</v>
      </c>
      <c r="G194" t="s">
        <v>5538</v>
      </c>
      <c r="H194">
        <v>0</v>
      </c>
      <c r="I194" s="65">
        <v>0</v>
      </c>
      <c r="J194" t="s">
        <v>5539</v>
      </c>
      <c r="K194" s="35" t="s">
        <v>1413</v>
      </c>
      <c r="L194" s="35" t="s">
        <v>7167</v>
      </c>
      <c r="M194" s="39" t="str">
        <f>HYPERLINK("http://dx.doi.org/10.1080/03601230601017981","10.1080/03601230601017981")</f>
        <v>10.1080/03601230601017981</v>
      </c>
      <c r="N194" s="40" t="s">
        <v>2803</v>
      </c>
      <c r="O194" s="40" t="s">
        <v>638</v>
      </c>
      <c r="P194" s="40" t="s">
        <v>762</v>
      </c>
      <c r="Q194" t="s">
        <v>316</v>
      </c>
    </row>
    <row r="195" spans="1:17" x14ac:dyDescent="0.25">
      <c r="A195" s="2" t="str">
        <f>HYPERLINK("https://www.ncbi.nlm.nih.gov/pubmed/16856730","16856730")</f>
        <v>16856730</v>
      </c>
      <c r="B195">
        <f t="shared" si="12"/>
        <v>10</v>
      </c>
      <c r="C195">
        <f t="shared" si="12"/>
        <v>0</v>
      </c>
      <c r="D195">
        <f t="shared" si="12"/>
        <v>0</v>
      </c>
      <c r="E195">
        <f t="shared" si="9"/>
        <v>10</v>
      </c>
      <c r="F195">
        <v>2006</v>
      </c>
      <c r="G195" t="s">
        <v>5606</v>
      </c>
      <c r="H195">
        <v>0</v>
      </c>
      <c r="I195" s="65">
        <v>0</v>
      </c>
      <c r="J195" t="s">
        <v>5607</v>
      </c>
      <c r="K195" s="35" t="s">
        <v>1058</v>
      </c>
      <c r="L195" s="35" t="s">
        <v>7174</v>
      </c>
      <c r="M195" s="39" t="str">
        <f>HYPERLINK("http://dx.doi.org/10.1021/es0523946","10.1021/es0523946")</f>
        <v>10.1021/es0523946</v>
      </c>
      <c r="N195" s="40" t="s">
        <v>1494</v>
      </c>
      <c r="O195" s="40" t="s">
        <v>742</v>
      </c>
      <c r="P195" s="40" t="s">
        <v>5608</v>
      </c>
      <c r="Q195" t="s">
        <v>316</v>
      </c>
    </row>
    <row r="196" spans="1:17" x14ac:dyDescent="0.25">
      <c r="A196" s="2" t="str">
        <f>HYPERLINK("https://www.ncbi.nlm.nih.gov/pubmed/16819916","16819916")</f>
        <v>16819916</v>
      </c>
      <c r="B196">
        <f t="shared" si="12"/>
        <v>10</v>
      </c>
      <c r="C196">
        <f t="shared" si="12"/>
        <v>0</v>
      </c>
      <c r="D196">
        <f t="shared" si="12"/>
        <v>0</v>
      </c>
      <c r="E196">
        <f t="shared" ref="E196:E259" si="13">SUM(B196:D196)</f>
        <v>10</v>
      </c>
      <c r="F196">
        <v>2006</v>
      </c>
      <c r="G196" t="s">
        <v>5612</v>
      </c>
      <c r="H196">
        <v>0</v>
      </c>
      <c r="I196" s="65">
        <v>0</v>
      </c>
      <c r="J196" t="s">
        <v>5614</v>
      </c>
      <c r="K196" s="35" t="s">
        <v>770</v>
      </c>
      <c r="L196" s="35" t="s">
        <v>5613</v>
      </c>
      <c r="M196" s="39" t="str">
        <f>HYPERLINK("http://dx.doi.org/10.1021/jf0604081","10.1021/jf0604081")</f>
        <v>10.1021/jf0604081</v>
      </c>
      <c r="N196" s="40" t="s">
        <v>2010</v>
      </c>
      <c r="O196" s="40" t="s">
        <v>871</v>
      </c>
      <c r="P196" s="40" t="s">
        <v>5615</v>
      </c>
      <c r="Q196" t="s">
        <v>316</v>
      </c>
    </row>
    <row r="197" spans="1:17" x14ac:dyDescent="0.25">
      <c r="A197" s="2" t="str">
        <f>HYPERLINK("https://www.ncbi.nlm.nih.gov/pubmed/15701711","15701711")</f>
        <v>15701711</v>
      </c>
      <c r="B197">
        <f t="shared" si="12"/>
        <v>10</v>
      </c>
      <c r="C197">
        <f t="shared" si="12"/>
        <v>0</v>
      </c>
      <c r="D197">
        <f t="shared" si="12"/>
        <v>0</v>
      </c>
      <c r="E197">
        <f t="shared" si="13"/>
        <v>10</v>
      </c>
      <c r="F197">
        <v>2005</v>
      </c>
      <c r="G197" t="s">
        <v>5833</v>
      </c>
      <c r="H197">
        <v>0</v>
      </c>
      <c r="I197" s="65">
        <v>0</v>
      </c>
      <c r="J197" t="s">
        <v>5834</v>
      </c>
      <c r="K197" s="35" t="s">
        <v>5835</v>
      </c>
      <c r="L197" s="35" t="s">
        <v>7203</v>
      </c>
      <c r="M197" s="39" t="str">
        <f>HYPERLINK("http://dx.doi.org/10.1124/jpet.104.077891","10.1124/jpet.104.077891")</f>
        <v>10.1124/jpet.104.077891</v>
      </c>
      <c r="N197" s="40" t="s">
        <v>3140</v>
      </c>
      <c r="O197" s="40" t="s">
        <v>638</v>
      </c>
      <c r="P197" s="40" t="s">
        <v>5836</v>
      </c>
      <c r="Q197" t="s">
        <v>316</v>
      </c>
    </row>
    <row r="198" spans="1:17" x14ac:dyDescent="0.25">
      <c r="A198" s="2" t="str">
        <f>HYPERLINK("https://www.ncbi.nlm.nih.gov/pubmed/15666763","15666763")</f>
        <v>15666763</v>
      </c>
      <c r="B198">
        <f t="shared" si="12"/>
        <v>10</v>
      </c>
      <c r="C198">
        <f t="shared" si="12"/>
        <v>0</v>
      </c>
      <c r="D198">
        <f t="shared" si="12"/>
        <v>0</v>
      </c>
      <c r="E198">
        <f t="shared" si="13"/>
        <v>10</v>
      </c>
      <c r="F198">
        <v>2004</v>
      </c>
      <c r="G198" t="s">
        <v>5843</v>
      </c>
      <c r="H198">
        <v>0</v>
      </c>
      <c r="I198" s="65">
        <v>0</v>
      </c>
      <c r="J198" t="s">
        <v>5590</v>
      </c>
      <c r="K198" s="35" t="s">
        <v>909</v>
      </c>
      <c r="L198" s="35" t="s">
        <v>7205</v>
      </c>
      <c r="M198" s="39" t="str">
        <f>HYPERLINK("http://dx.doi.org/10.1093/jee/97.6.2043","10.1093/jee/97.6.2043")</f>
        <v>10.1093/jee/97.6.2043</v>
      </c>
      <c r="N198" s="40" t="s">
        <v>749</v>
      </c>
      <c r="O198" s="40" t="s">
        <v>741</v>
      </c>
      <c r="P198" s="40" t="s">
        <v>5844</v>
      </c>
      <c r="Q198" t="s">
        <v>316</v>
      </c>
    </row>
    <row r="199" spans="1:17" x14ac:dyDescent="0.25">
      <c r="A199" s="2" t="str">
        <f>HYPERLINK("https://www.ncbi.nlm.nih.gov/pubmed/15482895","15482895")</f>
        <v>15482895</v>
      </c>
      <c r="B199">
        <f t="shared" si="12"/>
        <v>10</v>
      </c>
      <c r="C199">
        <f t="shared" si="12"/>
        <v>0</v>
      </c>
      <c r="D199">
        <f t="shared" si="12"/>
        <v>0</v>
      </c>
      <c r="E199">
        <f t="shared" si="13"/>
        <v>10</v>
      </c>
      <c r="F199">
        <v>2004</v>
      </c>
      <c r="G199" t="s">
        <v>5895</v>
      </c>
      <c r="H199">
        <v>0</v>
      </c>
      <c r="I199" s="65">
        <v>0</v>
      </c>
      <c r="J199" t="s">
        <v>5896</v>
      </c>
      <c r="K199" s="35" t="s">
        <v>1052</v>
      </c>
      <c r="L199" s="35" t="s">
        <v>7209</v>
      </c>
      <c r="M199" s="39" t="str">
        <f>HYPERLINK("http://dx.doi.org/10.1016/j.vetpar.2004.07.021","10.1016/j.vetpar.2004.07.021")</f>
        <v>10.1016/j.vetpar.2004.07.021</v>
      </c>
      <c r="N199" s="40" t="s">
        <v>5897</v>
      </c>
      <c r="O199" s="40" t="s">
        <v>1741</v>
      </c>
      <c r="P199" s="40" t="s">
        <v>5898</v>
      </c>
      <c r="Q199" t="s">
        <v>316</v>
      </c>
    </row>
    <row r="200" spans="1:17" x14ac:dyDescent="0.25">
      <c r="A200" s="2" t="str">
        <f>HYPERLINK("https://www.ncbi.nlm.nih.gov/pubmed/15154517","15154517")</f>
        <v>15154517</v>
      </c>
      <c r="B200">
        <f t="shared" si="12"/>
        <v>10</v>
      </c>
      <c r="C200">
        <f t="shared" si="12"/>
        <v>0</v>
      </c>
      <c r="D200">
        <f t="shared" si="12"/>
        <v>0</v>
      </c>
      <c r="E200">
        <f t="shared" si="13"/>
        <v>10</v>
      </c>
      <c r="F200">
        <v>2004</v>
      </c>
      <c r="G200" t="s">
        <v>5943</v>
      </c>
      <c r="H200">
        <v>0</v>
      </c>
      <c r="I200" s="65">
        <v>0</v>
      </c>
      <c r="J200" t="s">
        <v>5945</v>
      </c>
      <c r="K200" s="35" t="s">
        <v>968</v>
      </c>
      <c r="L200" s="35" t="s">
        <v>5944</v>
      </c>
      <c r="M200" s="39" t="str">
        <f>HYPERLINK("http://dx.doi.org/10.1002/ps.830","10.1002/ps.830")</f>
        <v>10.1002/ps.830</v>
      </c>
      <c r="N200" s="40" t="s">
        <v>1655</v>
      </c>
      <c r="O200" s="40" t="s">
        <v>746</v>
      </c>
      <c r="P200" s="40" t="s">
        <v>5946</v>
      </c>
      <c r="Q200" t="s">
        <v>316</v>
      </c>
    </row>
    <row r="201" spans="1:17" x14ac:dyDescent="0.25">
      <c r="A201" s="2" t="str">
        <f>HYPERLINK("https://www.ncbi.nlm.nih.gov/pubmed/11425023","11425023")</f>
        <v>11425023</v>
      </c>
      <c r="B201">
        <f t="shared" si="12"/>
        <v>10</v>
      </c>
      <c r="C201">
        <f t="shared" si="12"/>
        <v>1</v>
      </c>
      <c r="D201">
        <f t="shared" si="12"/>
        <v>0</v>
      </c>
      <c r="E201">
        <f t="shared" si="13"/>
        <v>11</v>
      </c>
      <c r="F201">
        <v>2001</v>
      </c>
      <c r="G201" t="s">
        <v>6255</v>
      </c>
      <c r="H201">
        <v>0</v>
      </c>
      <c r="I201" s="65">
        <v>0</v>
      </c>
      <c r="J201" t="s">
        <v>6256</v>
      </c>
      <c r="K201" s="35" t="s">
        <v>909</v>
      </c>
      <c r="L201" s="35" t="s">
        <v>7244</v>
      </c>
      <c r="M201" s="39" t="str">
        <f>HYPERLINK("http://dx.doi.org/10.1603/0022-0493-94.3.680","10.1603/0022-0493-94.3.680")</f>
        <v>10.1603/0022-0493-94.3.680</v>
      </c>
      <c r="N201" s="40" t="s">
        <v>1562</v>
      </c>
      <c r="O201" s="40" t="s">
        <v>750</v>
      </c>
      <c r="P201" s="40" t="s">
        <v>6257</v>
      </c>
      <c r="Q201" t="s">
        <v>316</v>
      </c>
    </row>
    <row r="202" spans="1:17" x14ac:dyDescent="0.25">
      <c r="A202" s="2" t="str">
        <f>HYPERLINK("https://www.ncbi.nlm.nih.gov/pubmed/10714463","10714463")</f>
        <v>10714463</v>
      </c>
      <c r="B202">
        <f t="shared" si="12"/>
        <v>10</v>
      </c>
      <c r="C202">
        <f t="shared" si="12"/>
        <v>0</v>
      </c>
      <c r="D202">
        <f t="shared" si="12"/>
        <v>0</v>
      </c>
      <c r="E202">
        <f t="shared" si="13"/>
        <v>10</v>
      </c>
      <c r="F202">
        <v>2000</v>
      </c>
      <c r="G202" t="s">
        <v>6370</v>
      </c>
      <c r="H202">
        <v>0</v>
      </c>
      <c r="I202" s="65">
        <v>0</v>
      </c>
      <c r="J202" t="s">
        <v>6372</v>
      </c>
      <c r="K202" s="35" t="s">
        <v>1052</v>
      </c>
      <c r="L202" s="35" t="s">
        <v>6371</v>
      </c>
      <c r="M202" s="39" t="str">
        <f>HYPERLINK("http://dx.doi.org/10.1016/s0304-4017(99)00223-x","10.1016/s0304-4017(99)00223-x")</f>
        <v>10.1016/s0304-4017(99)00223-x</v>
      </c>
      <c r="N202" s="40" t="s">
        <v>3549</v>
      </c>
      <c r="O202" s="40" t="s">
        <v>1741</v>
      </c>
      <c r="P202" s="40" t="s">
        <v>6373</v>
      </c>
      <c r="Q202" t="s">
        <v>316</v>
      </c>
    </row>
    <row r="203" spans="1:17" x14ac:dyDescent="0.25">
      <c r="A203" s="2" t="str">
        <f>HYPERLINK("https://www.ncbi.nlm.nih.gov/pubmed/34215295","34215295")</f>
        <v>34215295</v>
      </c>
      <c r="B203">
        <f t="shared" si="12"/>
        <v>9</v>
      </c>
      <c r="C203">
        <f t="shared" si="12"/>
        <v>2</v>
      </c>
      <c r="D203">
        <f t="shared" si="12"/>
        <v>0</v>
      </c>
      <c r="E203">
        <f t="shared" si="13"/>
        <v>11</v>
      </c>
      <c r="F203">
        <v>2021</v>
      </c>
      <c r="G203" t="s">
        <v>868</v>
      </c>
      <c r="H203">
        <v>0</v>
      </c>
      <c r="I203" s="64" t="str">
        <f>HYPERLINK("https://www.ncbi.nlm.nih.gov/research/pubtator/?view=docsum&amp;query=PMC8254271","1")</f>
        <v>1</v>
      </c>
      <c r="J203" t="s">
        <v>869</v>
      </c>
      <c r="K203" s="35" t="s">
        <v>870</v>
      </c>
      <c r="L203" s="35" t="s">
        <v>6538</v>
      </c>
      <c r="M203" s="39" t="str">
        <f>HYPERLINK("http://dx.doi.org/10.1186/s13071-021-04846-8","10.1186/s13071-021-04846-8")</f>
        <v>10.1186/s13071-021-04846-8</v>
      </c>
      <c r="N203" s="40" t="s">
        <v>871</v>
      </c>
      <c r="O203" s="40" t="s">
        <v>638</v>
      </c>
      <c r="P203" s="40" t="s">
        <v>872</v>
      </c>
      <c r="Q203" t="s">
        <v>316</v>
      </c>
    </row>
    <row r="204" spans="1:17" x14ac:dyDescent="0.25">
      <c r="A204" s="2" t="str">
        <f>HYPERLINK("https://www.ncbi.nlm.nih.gov/pubmed/33648556","33648556")</f>
        <v>33648556</v>
      </c>
      <c r="B204">
        <f t="shared" ref="B204:D223" si="14">IF(ISBLANK(B$3),0,(LEN($L204) - LEN(SUBSTITUTE(LOWER($L204),LOWER(B$3),"")))/LEN(B$3))</f>
        <v>9</v>
      </c>
      <c r="C204">
        <f t="shared" si="14"/>
        <v>1</v>
      </c>
      <c r="D204">
        <f t="shared" si="14"/>
        <v>0</v>
      </c>
      <c r="E204">
        <f t="shared" si="13"/>
        <v>10</v>
      </c>
      <c r="F204">
        <v>2021</v>
      </c>
      <c r="G204" t="s">
        <v>1061</v>
      </c>
      <c r="H204">
        <v>0</v>
      </c>
      <c r="I204" s="64" t="str">
        <f>HYPERLINK("https://www.ncbi.nlm.nih.gov/research/pubtator/?view=docsum&amp;query=PMC7923547","1")</f>
        <v>1</v>
      </c>
      <c r="J204" t="s">
        <v>1062</v>
      </c>
      <c r="K204" s="35" t="s">
        <v>870</v>
      </c>
      <c r="L204" s="35" t="s">
        <v>6556</v>
      </c>
      <c r="M204" s="39" t="str">
        <f>HYPERLINK("http://dx.doi.org/10.1186/s13071-021-04617-5","10.1186/s13071-021-04617-5")</f>
        <v>10.1186/s13071-021-04617-5</v>
      </c>
      <c r="N204" s="40" t="s">
        <v>871</v>
      </c>
      <c r="O204" s="40" t="s">
        <v>638</v>
      </c>
      <c r="P204" s="40" t="s">
        <v>1063</v>
      </c>
      <c r="Q204" t="s">
        <v>316</v>
      </c>
    </row>
    <row r="205" spans="1:17" x14ac:dyDescent="0.25">
      <c r="A205" s="2" t="str">
        <f>HYPERLINK("https://www.ncbi.nlm.nih.gov/pubmed/33481197","33481197")</f>
        <v>33481197</v>
      </c>
      <c r="B205">
        <f t="shared" si="14"/>
        <v>9</v>
      </c>
      <c r="C205">
        <f t="shared" si="14"/>
        <v>0</v>
      </c>
      <c r="D205">
        <f t="shared" si="14"/>
        <v>0</v>
      </c>
      <c r="E205">
        <f t="shared" si="13"/>
        <v>9</v>
      </c>
      <c r="F205">
        <v>2021</v>
      </c>
      <c r="G205" t="s">
        <v>1106</v>
      </c>
      <c r="H205">
        <v>0</v>
      </c>
      <c r="I205" s="65">
        <v>0</v>
      </c>
      <c r="J205" t="s">
        <v>1108</v>
      </c>
      <c r="K205" s="35" t="s">
        <v>810</v>
      </c>
      <c r="L205" s="35" t="s">
        <v>1107</v>
      </c>
      <c r="M205" s="39" t="str">
        <f>HYPERLINK("http://dx.doi.org/10.1007/s11356-020-12083-2","10.1007/s11356-020-12083-2")</f>
        <v>10.1007/s11356-020-12083-2</v>
      </c>
      <c r="N205" s="40" t="s">
        <v>731</v>
      </c>
      <c r="O205" s="40" t="s">
        <v>1109</v>
      </c>
      <c r="P205" s="40" t="s">
        <v>1110</v>
      </c>
      <c r="Q205" t="s">
        <v>316</v>
      </c>
    </row>
    <row r="206" spans="1:17" x14ac:dyDescent="0.25">
      <c r="A206" s="2" t="str">
        <f>HYPERLINK("https://www.ncbi.nlm.nih.gov/pubmed/33340833","33340833")</f>
        <v>33340833</v>
      </c>
      <c r="B206">
        <f t="shared" si="14"/>
        <v>9</v>
      </c>
      <c r="C206">
        <f t="shared" si="14"/>
        <v>0</v>
      </c>
      <c r="D206">
        <f t="shared" si="14"/>
        <v>0</v>
      </c>
      <c r="E206">
        <f t="shared" si="13"/>
        <v>9</v>
      </c>
      <c r="F206">
        <v>2021</v>
      </c>
      <c r="G206" t="s">
        <v>1171</v>
      </c>
      <c r="H206">
        <v>0</v>
      </c>
      <c r="I206" s="65">
        <v>0</v>
      </c>
      <c r="J206" t="s">
        <v>1172</v>
      </c>
      <c r="K206" s="35" t="s">
        <v>763</v>
      </c>
      <c r="L206" s="35" t="s">
        <v>6569</v>
      </c>
      <c r="M206" s="39" t="str">
        <f>HYPERLINK("http://dx.doi.org/10.1016/j.aquatox.2020.105712","10.1016/j.aquatox.2020.105712")</f>
        <v>10.1016/j.aquatox.2020.105712</v>
      </c>
      <c r="N206" s="40" t="s">
        <v>1173</v>
      </c>
      <c r="O206" s="40" t="s">
        <v>383</v>
      </c>
      <c r="P206" s="40" t="s">
        <v>1174</v>
      </c>
      <c r="Q206" t="s">
        <v>316</v>
      </c>
    </row>
    <row r="207" spans="1:17" x14ac:dyDescent="0.25">
      <c r="A207" s="2" t="str">
        <f>HYPERLINK("https://www.ncbi.nlm.nih.gov/pubmed/33199013","33199013")</f>
        <v>33199013</v>
      </c>
      <c r="B207">
        <f t="shared" si="14"/>
        <v>9</v>
      </c>
      <c r="C207">
        <f t="shared" si="14"/>
        <v>0</v>
      </c>
      <c r="D207">
        <f t="shared" si="14"/>
        <v>0</v>
      </c>
      <c r="E207">
        <f t="shared" si="13"/>
        <v>9</v>
      </c>
      <c r="F207">
        <v>2021</v>
      </c>
      <c r="G207" t="s">
        <v>1217</v>
      </c>
      <c r="H207">
        <v>0</v>
      </c>
      <c r="I207" s="65">
        <v>0</v>
      </c>
      <c r="J207" t="s">
        <v>1218</v>
      </c>
      <c r="K207" s="35" t="s">
        <v>670</v>
      </c>
      <c r="L207" s="35" t="s">
        <v>6576</v>
      </c>
      <c r="M207" s="39" t="str">
        <f>HYPERLINK("http://dx.doi.org/10.1016/j.scitotenv.2020.143560","10.1016/j.scitotenv.2020.143560")</f>
        <v>10.1016/j.scitotenv.2020.143560</v>
      </c>
      <c r="N207" s="40" t="s">
        <v>1219</v>
      </c>
      <c r="O207" s="40" t="s">
        <v>824</v>
      </c>
      <c r="P207" s="40" t="s">
        <v>1220</v>
      </c>
      <c r="Q207" t="s">
        <v>316</v>
      </c>
    </row>
    <row r="208" spans="1:17" x14ac:dyDescent="0.25">
      <c r="A208" s="2" t="str">
        <f>HYPERLINK("https://www.ncbi.nlm.nih.gov/pubmed/33134444","33134444")</f>
        <v>33134444</v>
      </c>
      <c r="B208">
        <f t="shared" si="14"/>
        <v>9</v>
      </c>
      <c r="C208">
        <f t="shared" si="14"/>
        <v>1</v>
      </c>
      <c r="D208">
        <f t="shared" si="14"/>
        <v>0</v>
      </c>
      <c r="E208">
        <f t="shared" si="13"/>
        <v>10</v>
      </c>
      <c r="F208">
        <v>2020</v>
      </c>
      <c r="G208" t="s">
        <v>1239</v>
      </c>
      <c r="H208">
        <v>0</v>
      </c>
      <c r="I208" s="64" t="str">
        <f>HYPERLINK("https://www.ncbi.nlm.nih.gov/research/pubtator/?view=docsum&amp;query=PMC7586098","1")</f>
        <v>1</v>
      </c>
      <c r="J208" t="s">
        <v>1241</v>
      </c>
      <c r="K208" s="35" t="s">
        <v>1242</v>
      </c>
      <c r="L208" s="35" t="s">
        <v>1240</v>
      </c>
      <c r="M208" s="39" t="str">
        <f>HYPERLINK("http://dx.doi.org/10.1016/j.dib.2020.106413","10.1016/j.dib.2020.106413")</f>
        <v>10.1016/j.dib.2020.106413</v>
      </c>
      <c r="N208" s="40" t="s">
        <v>877</v>
      </c>
      <c r="O208" s="40" t="s">
        <v>383</v>
      </c>
      <c r="P208" s="40" t="s">
        <v>1243</v>
      </c>
      <c r="Q208" t="s">
        <v>316</v>
      </c>
    </row>
    <row r="209" spans="1:17" x14ac:dyDescent="0.25">
      <c r="A209" s="2" t="str">
        <f>HYPERLINK("https://www.ncbi.nlm.nih.gov/pubmed/31817310","31817310")</f>
        <v>31817310</v>
      </c>
      <c r="B209">
        <f t="shared" si="14"/>
        <v>9</v>
      </c>
      <c r="C209">
        <f t="shared" si="14"/>
        <v>3</v>
      </c>
      <c r="D209">
        <f t="shared" si="14"/>
        <v>0</v>
      </c>
      <c r="E209">
        <f t="shared" si="13"/>
        <v>12</v>
      </c>
      <c r="F209">
        <v>2019</v>
      </c>
      <c r="G209" t="s">
        <v>1715</v>
      </c>
      <c r="H209">
        <v>0</v>
      </c>
      <c r="I209" s="64" t="str">
        <f>HYPERLINK("https://www.ncbi.nlm.nih.gov/research/pubtator/?view=docsum&amp;query=PMC6960814","1")</f>
        <v>1</v>
      </c>
      <c r="J209" t="s">
        <v>1717</v>
      </c>
      <c r="K209" s="35" t="s">
        <v>1718</v>
      </c>
      <c r="L209" s="35" t="s">
        <v>1716</v>
      </c>
      <c r="M209" s="39" t="str">
        <f>HYPERLINK("http://dx.doi.org/10.3390/s19245354","10.3390/s19245354")</f>
        <v>10.3390/s19245354</v>
      </c>
      <c r="N209" s="40" t="s">
        <v>1115</v>
      </c>
      <c r="O209" s="40" t="s">
        <v>1188</v>
      </c>
      <c r="P209" s="40" t="s">
        <v>383</v>
      </c>
      <c r="Q209" t="s">
        <v>316</v>
      </c>
    </row>
    <row r="210" spans="1:17" x14ac:dyDescent="0.25">
      <c r="A210" s="2" t="str">
        <f>HYPERLINK("https://www.ncbi.nlm.nih.gov/pubmed/31746117","31746117")</f>
        <v>31746117</v>
      </c>
      <c r="B210">
        <f t="shared" si="14"/>
        <v>9</v>
      </c>
      <c r="C210">
        <f t="shared" si="14"/>
        <v>0</v>
      </c>
      <c r="D210">
        <f t="shared" si="14"/>
        <v>0</v>
      </c>
      <c r="E210">
        <f t="shared" si="13"/>
        <v>9</v>
      </c>
      <c r="F210">
        <v>2020</v>
      </c>
      <c r="G210" t="s">
        <v>1759</v>
      </c>
      <c r="H210">
        <v>0</v>
      </c>
      <c r="I210" s="65">
        <v>0</v>
      </c>
      <c r="J210" t="s">
        <v>1760</v>
      </c>
      <c r="K210" s="35" t="s">
        <v>1761</v>
      </c>
      <c r="L210" s="35" t="s">
        <v>6651</v>
      </c>
      <c r="M210" s="39" t="str">
        <f>HYPERLINK("http://dx.doi.org/10.1111/tbed.13388","10.1111/tbed.13388")</f>
        <v>10.1111/tbed.13388</v>
      </c>
      <c r="N210" s="40" t="s">
        <v>1762</v>
      </c>
      <c r="O210" s="40" t="s">
        <v>383</v>
      </c>
      <c r="P210" s="40" t="s">
        <v>1763</v>
      </c>
      <c r="Q210" t="s">
        <v>316</v>
      </c>
    </row>
    <row r="211" spans="1:17" x14ac:dyDescent="0.25">
      <c r="A211" s="2" t="str">
        <f>HYPERLINK("https://www.ncbi.nlm.nih.gov/pubmed/31739499","31739499")</f>
        <v>31739499</v>
      </c>
      <c r="B211">
        <f t="shared" si="14"/>
        <v>9</v>
      </c>
      <c r="C211">
        <f t="shared" si="14"/>
        <v>0</v>
      </c>
      <c r="D211">
        <f t="shared" si="14"/>
        <v>0</v>
      </c>
      <c r="E211">
        <f t="shared" si="13"/>
        <v>9</v>
      </c>
      <c r="F211">
        <v>2019</v>
      </c>
      <c r="G211" t="s">
        <v>1769</v>
      </c>
      <c r="H211">
        <v>0</v>
      </c>
      <c r="I211" s="64" t="str">
        <f>HYPERLINK("https://www.ncbi.nlm.nih.gov/research/pubtator/?view=docsum&amp;query=PMC6891292","1")</f>
        <v>1</v>
      </c>
      <c r="J211" t="s">
        <v>1771</v>
      </c>
      <c r="K211" s="35" t="s">
        <v>736</v>
      </c>
      <c r="L211" s="35" t="s">
        <v>1770</v>
      </c>
      <c r="M211" s="39" t="str">
        <f>HYPERLINK("http://dx.doi.org/10.3390/molecules24224116","10.3390/molecules24224116")</f>
        <v>10.3390/molecules24224116</v>
      </c>
      <c r="N211" s="40" t="s">
        <v>1188</v>
      </c>
      <c r="O211" s="40" t="s">
        <v>1092</v>
      </c>
      <c r="P211" s="40" t="s">
        <v>383</v>
      </c>
      <c r="Q211" t="s">
        <v>316</v>
      </c>
    </row>
    <row r="212" spans="1:17" x14ac:dyDescent="0.25">
      <c r="A212" s="2" t="str">
        <f>HYPERLINK("https://www.ncbi.nlm.nih.gov/pubmed/31680128","31680128")</f>
        <v>31680128</v>
      </c>
      <c r="B212">
        <f t="shared" si="14"/>
        <v>9</v>
      </c>
      <c r="C212">
        <f t="shared" si="14"/>
        <v>0</v>
      </c>
      <c r="D212">
        <f t="shared" si="14"/>
        <v>0</v>
      </c>
      <c r="E212">
        <f t="shared" si="13"/>
        <v>9</v>
      </c>
      <c r="F212">
        <v>2020</v>
      </c>
      <c r="G212" t="s">
        <v>1803</v>
      </c>
      <c r="H212">
        <v>0</v>
      </c>
      <c r="I212" s="65">
        <v>0</v>
      </c>
      <c r="J212" t="s">
        <v>1805</v>
      </c>
      <c r="K212" s="35" t="s">
        <v>1806</v>
      </c>
      <c r="L212" s="35" t="s">
        <v>1804</v>
      </c>
      <c r="M212" s="39" t="str">
        <f>HYPERLINK("http://dx.doi.org/10.4193/Rhin19.172","10.4193/Rhin19.172")</f>
        <v>10.4193/Rhin19.172</v>
      </c>
      <c r="N212" s="40" t="s">
        <v>1028</v>
      </c>
      <c r="O212" s="40" t="s">
        <v>638</v>
      </c>
      <c r="P212" s="40" t="s">
        <v>1807</v>
      </c>
      <c r="Q212" t="s">
        <v>316</v>
      </c>
    </row>
    <row r="213" spans="1:17" x14ac:dyDescent="0.25">
      <c r="A213" s="2" t="str">
        <f>HYPERLINK("https://www.ncbi.nlm.nih.gov/pubmed/31600290","31600290")</f>
        <v>31600290</v>
      </c>
      <c r="B213">
        <f t="shared" si="14"/>
        <v>9</v>
      </c>
      <c r="C213">
        <f t="shared" si="14"/>
        <v>0</v>
      </c>
      <c r="D213">
        <f t="shared" si="14"/>
        <v>0</v>
      </c>
      <c r="E213">
        <f t="shared" si="13"/>
        <v>9</v>
      </c>
      <c r="F213">
        <v>2019</v>
      </c>
      <c r="G213" t="s">
        <v>1840</v>
      </c>
      <c r="H213">
        <v>0</v>
      </c>
      <c r="I213" s="64" t="str">
        <f>HYPERLINK("https://www.ncbi.nlm.nih.gov/research/pubtator/?view=docsum&amp;query=PMC6786580","1")</f>
        <v>1</v>
      </c>
      <c r="J213" t="s">
        <v>1841</v>
      </c>
      <c r="K213" s="35" t="s">
        <v>779</v>
      </c>
      <c r="L213" s="35" t="s">
        <v>6659</v>
      </c>
      <c r="M213" s="39" t="str">
        <f>HYPERLINK("http://dx.doi.org/10.1371/journal.pone.0223641","10.1371/journal.pone.0223641")</f>
        <v>10.1371/journal.pone.0223641</v>
      </c>
      <c r="N213" s="40" t="s">
        <v>871</v>
      </c>
      <c r="O213" s="40" t="s">
        <v>802</v>
      </c>
      <c r="P213" s="40" t="s">
        <v>1842</v>
      </c>
      <c r="Q213" t="s">
        <v>316</v>
      </c>
    </row>
    <row r="214" spans="1:17" x14ac:dyDescent="0.25">
      <c r="A214" s="2" t="str">
        <f>HYPERLINK("https://www.ncbi.nlm.nih.gov/pubmed/31497842","31497842")</f>
        <v>31497842</v>
      </c>
      <c r="B214">
        <f t="shared" si="14"/>
        <v>9</v>
      </c>
      <c r="C214">
        <f t="shared" si="14"/>
        <v>0</v>
      </c>
      <c r="D214">
        <f t="shared" si="14"/>
        <v>0</v>
      </c>
      <c r="E214">
        <f t="shared" si="13"/>
        <v>9</v>
      </c>
      <c r="F214">
        <v>2020</v>
      </c>
      <c r="G214" t="s">
        <v>1861</v>
      </c>
      <c r="H214">
        <v>0</v>
      </c>
      <c r="I214" s="65">
        <v>0</v>
      </c>
      <c r="J214" t="s">
        <v>1862</v>
      </c>
      <c r="K214" s="35" t="s">
        <v>909</v>
      </c>
      <c r="L214" s="35" t="s">
        <v>6662</v>
      </c>
      <c r="M214" s="39" t="str">
        <f>HYPERLINK("http://dx.doi.org/10.1093/jee/toz232","10.1093/jee/toz232")</f>
        <v>10.1093/jee/toz232</v>
      </c>
      <c r="N214" s="40" t="s">
        <v>1577</v>
      </c>
      <c r="O214" s="40" t="s">
        <v>638</v>
      </c>
      <c r="P214" s="40" t="s">
        <v>1863</v>
      </c>
      <c r="Q214" t="s">
        <v>316</v>
      </c>
    </row>
    <row r="215" spans="1:17" x14ac:dyDescent="0.25">
      <c r="A215" s="2" t="str">
        <f>HYPERLINK("https://www.ncbi.nlm.nih.gov/pubmed/31122282","31122282")</f>
        <v>31122282</v>
      </c>
      <c r="B215">
        <f t="shared" si="14"/>
        <v>9</v>
      </c>
      <c r="C215">
        <f t="shared" si="14"/>
        <v>2</v>
      </c>
      <c r="D215">
        <f t="shared" si="14"/>
        <v>0</v>
      </c>
      <c r="E215">
        <f t="shared" si="13"/>
        <v>11</v>
      </c>
      <c r="F215">
        <v>2019</v>
      </c>
      <c r="G215" t="s">
        <v>2021</v>
      </c>
      <c r="H215">
        <v>0</v>
      </c>
      <c r="I215" s="64" t="str">
        <f>HYPERLINK("https://www.ncbi.nlm.nih.gov/research/pubtator/?view=docsum&amp;query=PMC6533700","1")</f>
        <v>1</v>
      </c>
      <c r="J215" t="s">
        <v>2022</v>
      </c>
      <c r="K215" s="35" t="s">
        <v>870</v>
      </c>
      <c r="L215" s="35" t="s">
        <v>6682</v>
      </c>
      <c r="M215" s="39" t="str">
        <f>HYPERLINK("http://dx.doi.org/10.1186/s13071-019-3512-x","10.1186/s13071-019-3512-x")</f>
        <v>10.1186/s13071-019-3512-x</v>
      </c>
      <c r="N215" s="40" t="s">
        <v>915</v>
      </c>
      <c r="O215" s="40" t="s">
        <v>638</v>
      </c>
      <c r="P215" s="40" t="s">
        <v>2023</v>
      </c>
      <c r="Q215" t="s">
        <v>316</v>
      </c>
    </row>
    <row r="216" spans="1:17" x14ac:dyDescent="0.25">
      <c r="A216" s="2" t="str">
        <f>HYPERLINK("https://www.ncbi.nlm.nih.gov/pubmed/30939985","30939985")</f>
        <v>30939985</v>
      </c>
      <c r="B216">
        <f t="shared" si="14"/>
        <v>9</v>
      </c>
      <c r="C216">
        <f t="shared" si="14"/>
        <v>3</v>
      </c>
      <c r="D216">
        <f t="shared" si="14"/>
        <v>0</v>
      </c>
      <c r="E216">
        <f t="shared" si="13"/>
        <v>12</v>
      </c>
      <c r="F216">
        <v>2019</v>
      </c>
      <c r="G216" t="s">
        <v>2070</v>
      </c>
      <c r="H216">
        <v>0</v>
      </c>
      <c r="I216" s="65">
        <v>0</v>
      </c>
      <c r="J216" t="s">
        <v>2072</v>
      </c>
      <c r="K216" s="35" t="s">
        <v>1413</v>
      </c>
      <c r="L216" s="35" t="s">
        <v>2071</v>
      </c>
      <c r="M216" s="39" t="str">
        <f>HYPERLINK("http://dx.doi.org/10.1080/03601234.2019.1592639","10.1080/03601234.2019.1592639")</f>
        <v>10.1080/03601234.2019.1592639</v>
      </c>
      <c r="N216" s="40" t="s">
        <v>2010</v>
      </c>
      <c r="O216" s="40" t="s">
        <v>741</v>
      </c>
      <c r="P216" s="40" t="s">
        <v>2073</v>
      </c>
      <c r="Q216" t="s">
        <v>316</v>
      </c>
    </row>
    <row r="217" spans="1:17" x14ac:dyDescent="0.25">
      <c r="A217" s="2" t="str">
        <f>HYPERLINK("https://www.ncbi.nlm.nih.gov/pubmed/30909129","30909129")</f>
        <v>30909129</v>
      </c>
      <c r="B217">
        <f t="shared" si="14"/>
        <v>9</v>
      </c>
      <c r="C217">
        <f t="shared" si="14"/>
        <v>0</v>
      </c>
      <c r="D217">
        <f t="shared" si="14"/>
        <v>0</v>
      </c>
      <c r="E217">
        <f t="shared" si="13"/>
        <v>9</v>
      </c>
      <c r="F217">
        <v>2019</v>
      </c>
      <c r="G217" t="s">
        <v>2078</v>
      </c>
      <c r="H217">
        <v>0</v>
      </c>
      <c r="I217" s="65">
        <v>0</v>
      </c>
      <c r="J217" t="s">
        <v>2079</v>
      </c>
      <c r="K217" s="35" t="s">
        <v>707</v>
      </c>
      <c r="L217" s="35" t="s">
        <v>6692</v>
      </c>
      <c r="M217" s="39" t="str">
        <f>HYPERLINK("http://dx.doi.org/10.1016/j.envpol.2019.03.038","10.1016/j.envpol.2019.03.038")</f>
        <v>10.1016/j.envpol.2019.03.038</v>
      </c>
      <c r="N217" s="40" t="s">
        <v>2080</v>
      </c>
      <c r="O217" s="40" t="s">
        <v>383</v>
      </c>
      <c r="P217" s="40" t="s">
        <v>2081</v>
      </c>
      <c r="Q217" t="s">
        <v>316</v>
      </c>
    </row>
    <row r="218" spans="1:17" x14ac:dyDescent="0.25">
      <c r="A218" s="2" t="str">
        <f>HYPERLINK("https://www.ncbi.nlm.nih.gov/pubmed/30044788","30044788")</f>
        <v>30044788</v>
      </c>
      <c r="B218">
        <f t="shared" si="14"/>
        <v>9</v>
      </c>
      <c r="C218">
        <f t="shared" si="14"/>
        <v>1</v>
      </c>
      <c r="D218">
        <f t="shared" si="14"/>
        <v>0</v>
      </c>
      <c r="E218">
        <f t="shared" si="13"/>
        <v>10</v>
      </c>
      <c r="F218">
        <v>2018</v>
      </c>
      <c r="G218" t="s">
        <v>2384</v>
      </c>
      <c r="H218">
        <v>0</v>
      </c>
      <c r="I218" s="64" t="str">
        <f>HYPERLINK("https://www.ncbi.nlm.nih.gov/research/pubtator/?view=docsum&amp;query=PMC6059381","1")</f>
        <v>1</v>
      </c>
      <c r="J218" t="s">
        <v>2385</v>
      </c>
      <c r="K218" s="35" t="s">
        <v>1629</v>
      </c>
      <c r="L218" s="35" t="s">
        <v>6739</v>
      </c>
      <c r="M218" s="39" t="str">
        <f>HYPERLINK("http://dx.doi.org/10.1371/journal.pntd.0006630","10.1371/journal.pntd.0006630")</f>
        <v>10.1371/journal.pntd.0006630</v>
      </c>
      <c r="N218" s="40" t="s">
        <v>915</v>
      </c>
      <c r="O218" s="40" t="s">
        <v>748</v>
      </c>
      <c r="P218" s="40" t="s">
        <v>2386</v>
      </c>
      <c r="Q218" t="s">
        <v>316</v>
      </c>
    </row>
    <row r="219" spans="1:17" x14ac:dyDescent="0.25">
      <c r="A219" s="2" t="str">
        <f>HYPERLINK("https://www.ncbi.nlm.nih.gov/pubmed/29775427","29775427")</f>
        <v>29775427</v>
      </c>
      <c r="B219">
        <f t="shared" si="14"/>
        <v>9</v>
      </c>
      <c r="C219">
        <f t="shared" si="14"/>
        <v>0</v>
      </c>
      <c r="D219">
        <f t="shared" si="14"/>
        <v>0</v>
      </c>
      <c r="E219">
        <f t="shared" si="13"/>
        <v>9</v>
      </c>
      <c r="F219">
        <v>2018</v>
      </c>
      <c r="G219" t="s">
        <v>2465</v>
      </c>
      <c r="H219">
        <v>0</v>
      </c>
      <c r="I219" s="65">
        <v>0</v>
      </c>
      <c r="J219" t="s">
        <v>2467</v>
      </c>
      <c r="K219" s="35" t="s">
        <v>896</v>
      </c>
      <c r="L219" s="35" t="s">
        <v>2466</v>
      </c>
      <c r="M219" s="39" t="str">
        <f>HYPERLINK("http://dx.doi.org/10.1080/19440049.2018.1472395","10.1080/19440049.2018.1472395")</f>
        <v>10.1080/19440049.2018.1472395</v>
      </c>
      <c r="N219" s="40" t="s">
        <v>2274</v>
      </c>
      <c r="O219" s="40" t="s">
        <v>781</v>
      </c>
      <c r="P219" s="40" t="s">
        <v>2468</v>
      </c>
      <c r="Q219" t="s">
        <v>316</v>
      </c>
    </row>
    <row r="220" spans="1:17" x14ac:dyDescent="0.25">
      <c r="A220" s="2" t="str">
        <f>HYPERLINK("https://www.ncbi.nlm.nih.gov/pubmed/29380196","29380196")</f>
        <v>29380196</v>
      </c>
      <c r="B220">
        <f t="shared" si="14"/>
        <v>9</v>
      </c>
      <c r="C220">
        <f t="shared" si="14"/>
        <v>0</v>
      </c>
      <c r="D220">
        <f t="shared" si="14"/>
        <v>0</v>
      </c>
      <c r="E220">
        <f t="shared" si="13"/>
        <v>9</v>
      </c>
      <c r="F220">
        <v>2018</v>
      </c>
      <c r="G220" t="s">
        <v>2556</v>
      </c>
      <c r="H220">
        <v>0</v>
      </c>
      <c r="I220" s="65">
        <v>0</v>
      </c>
      <c r="J220" t="s">
        <v>2557</v>
      </c>
      <c r="K220" s="35" t="s">
        <v>810</v>
      </c>
      <c r="L220" s="35" t="s">
        <v>6768</v>
      </c>
      <c r="M220" s="39" t="str">
        <f>HYPERLINK("http://dx.doi.org/10.1007/s11356-018-1202-4","10.1007/s11356-018-1202-4")</f>
        <v>10.1007/s11356-018-1202-4</v>
      </c>
      <c r="N220" s="40" t="s">
        <v>1369</v>
      </c>
      <c r="O220" s="40" t="s">
        <v>802</v>
      </c>
      <c r="P220" s="40" t="s">
        <v>2558</v>
      </c>
      <c r="Q220" t="s">
        <v>316</v>
      </c>
    </row>
    <row r="221" spans="1:17" x14ac:dyDescent="0.25">
      <c r="A221" s="2" t="str">
        <f>HYPERLINK("https://www.ncbi.nlm.nih.gov/pubmed/28000946","28000946")</f>
        <v>28000946</v>
      </c>
      <c r="B221">
        <f t="shared" si="14"/>
        <v>9</v>
      </c>
      <c r="C221">
        <f t="shared" si="14"/>
        <v>0</v>
      </c>
      <c r="D221">
        <f t="shared" si="14"/>
        <v>0</v>
      </c>
      <c r="E221">
        <f t="shared" si="13"/>
        <v>9</v>
      </c>
      <c r="F221">
        <v>2017</v>
      </c>
      <c r="G221" t="s">
        <v>2915</v>
      </c>
      <c r="H221">
        <v>0</v>
      </c>
      <c r="I221" s="65">
        <v>0</v>
      </c>
      <c r="J221" t="s">
        <v>2917</v>
      </c>
      <c r="K221" s="35" t="s">
        <v>876</v>
      </c>
      <c r="L221" s="35" t="s">
        <v>2916</v>
      </c>
      <c r="M221" s="39" t="str">
        <f>HYPERLINK("http://dx.doi.org/10.1002/chir.22661","10.1002/chir.22661")</f>
        <v>10.1002/chir.22661</v>
      </c>
      <c r="N221" s="40" t="s">
        <v>858</v>
      </c>
      <c r="O221" s="40" t="s">
        <v>638</v>
      </c>
      <c r="P221" s="40" t="s">
        <v>2918</v>
      </c>
      <c r="Q221" t="s">
        <v>316</v>
      </c>
    </row>
    <row r="222" spans="1:17" x14ac:dyDescent="0.25">
      <c r="A222" s="2" t="str">
        <f>HYPERLINK("https://www.ncbi.nlm.nih.gov/pubmed/27870966","27870966")</f>
        <v>27870966</v>
      </c>
      <c r="B222">
        <f t="shared" si="14"/>
        <v>9</v>
      </c>
      <c r="C222">
        <f t="shared" si="14"/>
        <v>0</v>
      </c>
      <c r="D222">
        <f t="shared" si="14"/>
        <v>0</v>
      </c>
      <c r="E222">
        <f t="shared" si="13"/>
        <v>9</v>
      </c>
      <c r="F222">
        <v>2017</v>
      </c>
      <c r="G222" t="s">
        <v>2936</v>
      </c>
      <c r="H222">
        <v>0</v>
      </c>
      <c r="I222" s="65">
        <v>0</v>
      </c>
      <c r="J222" t="s">
        <v>2937</v>
      </c>
      <c r="K222" s="35" t="s">
        <v>714</v>
      </c>
      <c r="L222" s="35" t="s">
        <v>6839</v>
      </c>
      <c r="M222" s="39" t="str">
        <f>HYPERLINK("http://dx.doi.org/10.1016/j.ecoenv.2016.10.027","10.1016/j.ecoenv.2016.10.027")</f>
        <v>10.1016/j.ecoenv.2016.10.027</v>
      </c>
      <c r="N222" s="40" t="s">
        <v>2938</v>
      </c>
      <c r="O222" s="40" t="s">
        <v>383</v>
      </c>
      <c r="P222" s="40" t="s">
        <v>2939</v>
      </c>
      <c r="Q222" t="s">
        <v>316</v>
      </c>
    </row>
    <row r="223" spans="1:17" x14ac:dyDescent="0.25">
      <c r="A223" s="2" t="str">
        <f>HYPERLINK("https://www.ncbi.nlm.nih.gov/pubmed/27747219","27747219")</f>
        <v>27747219</v>
      </c>
      <c r="B223">
        <f t="shared" si="14"/>
        <v>9</v>
      </c>
      <c r="C223">
        <f t="shared" si="14"/>
        <v>0</v>
      </c>
      <c r="D223">
        <f t="shared" si="14"/>
        <v>0</v>
      </c>
      <c r="E223">
        <f t="shared" si="13"/>
        <v>9</v>
      </c>
      <c r="F223">
        <v>2016</v>
      </c>
      <c r="G223" t="s">
        <v>2975</v>
      </c>
      <c r="H223">
        <v>0</v>
      </c>
      <c r="I223" s="64" t="str">
        <f>HYPERLINK("https://www.ncbi.nlm.nih.gov/research/pubtator/?view=docsum&amp;query=PMC5043066","1")</f>
        <v>1</v>
      </c>
      <c r="J223" t="s">
        <v>2976</v>
      </c>
      <c r="K223" s="35" t="s">
        <v>2977</v>
      </c>
      <c r="L223" s="35" t="s">
        <v>6847</v>
      </c>
      <c r="M223" s="39" t="str">
        <f>HYPERLINK("http://dx.doi.org/10.3389/fvets.2016.00089","10.3389/fvets.2016.00089")</f>
        <v>10.3389/fvets.2016.00089</v>
      </c>
      <c r="N223" s="40" t="s">
        <v>750</v>
      </c>
      <c r="O223" s="40" t="s">
        <v>383</v>
      </c>
      <c r="P223" s="40" t="s">
        <v>2709</v>
      </c>
      <c r="Q223" t="s">
        <v>316</v>
      </c>
    </row>
    <row r="224" spans="1:17" x14ac:dyDescent="0.25">
      <c r="A224" s="2" t="str">
        <f>HYPERLINK("https://www.ncbi.nlm.nih.gov/pubmed/27198780","27198780")</f>
        <v>27198780</v>
      </c>
      <c r="B224">
        <f t="shared" ref="B224:D243" si="15">IF(ISBLANK(B$3),0,(LEN($L224) - LEN(SUBSTITUTE(LOWER($L224),LOWER(B$3),"")))/LEN(B$3))</f>
        <v>9</v>
      </c>
      <c r="C224">
        <f t="shared" si="15"/>
        <v>0</v>
      </c>
      <c r="D224">
        <f t="shared" si="15"/>
        <v>0</v>
      </c>
      <c r="E224">
        <f t="shared" si="13"/>
        <v>9</v>
      </c>
      <c r="F224">
        <v>2016</v>
      </c>
      <c r="G224" t="s">
        <v>3098</v>
      </c>
      <c r="H224">
        <v>0</v>
      </c>
      <c r="I224" s="65">
        <v>0</v>
      </c>
      <c r="J224" t="s">
        <v>3100</v>
      </c>
      <c r="K224" s="35" t="s">
        <v>1052</v>
      </c>
      <c r="L224" s="35" t="s">
        <v>3099</v>
      </c>
      <c r="M224" s="39" t="str">
        <f>HYPERLINK("http://dx.doi.org/10.1016/j.vetpar.2016.04.026","10.1016/j.vetpar.2016.04.026")</f>
        <v>10.1016/j.vetpar.2016.04.026</v>
      </c>
      <c r="N224" s="40" t="s">
        <v>1793</v>
      </c>
      <c r="O224" s="40" t="s">
        <v>383</v>
      </c>
      <c r="P224" s="40" t="s">
        <v>3101</v>
      </c>
      <c r="Q224" t="s">
        <v>316</v>
      </c>
    </row>
    <row r="225" spans="1:17" x14ac:dyDescent="0.25">
      <c r="A225" s="2" t="str">
        <f>HYPERLINK("https://www.ncbi.nlm.nih.gov/pubmed/27166213","27166213")</f>
        <v>27166213</v>
      </c>
      <c r="B225">
        <f t="shared" si="15"/>
        <v>9</v>
      </c>
      <c r="C225">
        <f t="shared" si="15"/>
        <v>1</v>
      </c>
      <c r="D225">
        <f t="shared" si="15"/>
        <v>0</v>
      </c>
      <c r="E225">
        <f t="shared" si="13"/>
        <v>10</v>
      </c>
      <c r="F225">
        <v>2017</v>
      </c>
      <c r="G225" t="s">
        <v>3116</v>
      </c>
      <c r="H225">
        <v>0</v>
      </c>
      <c r="I225" s="65">
        <v>0</v>
      </c>
      <c r="J225" t="s">
        <v>3117</v>
      </c>
      <c r="K225" s="35" t="s">
        <v>3118</v>
      </c>
      <c r="L225" s="35" t="s">
        <v>6865</v>
      </c>
      <c r="M225" s="39" t="str">
        <f>HYPERLINK("http://dx.doi.org/10.1071/RD15517","10.1071/RD15517")</f>
        <v>10.1071/RD15517</v>
      </c>
      <c r="N225" s="40" t="s">
        <v>858</v>
      </c>
      <c r="O225" s="40" t="s">
        <v>741</v>
      </c>
      <c r="P225" s="40" t="s">
        <v>3119</v>
      </c>
      <c r="Q225" t="s">
        <v>316</v>
      </c>
    </row>
    <row r="226" spans="1:17" x14ac:dyDescent="0.25">
      <c r="A226" s="2" t="str">
        <f>HYPERLINK("https://www.ncbi.nlm.nih.gov/pubmed/27074097","27074097")</f>
        <v>27074097</v>
      </c>
      <c r="B226">
        <f t="shared" si="15"/>
        <v>9</v>
      </c>
      <c r="C226">
        <f t="shared" si="15"/>
        <v>3</v>
      </c>
      <c r="D226">
        <f t="shared" si="15"/>
        <v>0</v>
      </c>
      <c r="E226">
        <f t="shared" si="13"/>
        <v>12</v>
      </c>
      <c r="F226">
        <v>2016</v>
      </c>
      <c r="G226" t="s">
        <v>3167</v>
      </c>
      <c r="H226">
        <v>0</v>
      </c>
      <c r="I226" s="65">
        <v>0</v>
      </c>
      <c r="J226" t="s">
        <v>3168</v>
      </c>
      <c r="K226" s="35" t="s">
        <v>3169</v>
      </c>
      <c r="L226" s="35" t="s">
        <v>6876</v>
      </c>
      <c r="M226" s="39" t="str">
        <f>HYPERLINK("http://dx.doi.org/10.1080/15287394.2016.1149132","10.1080/15287394.2016.1149132")</f>
        <v>10.1080/15287394.2016.1149132</v>
      </c>
      <c r="N226" s="40" t="s">
        <v>1396</v>
      </c>
      <c r="O226" s="40" t="s">
        <v>741</v>
      </c>
      <c r="P226" s="40" t="s">
        <v>3170</v>
      </c>
      <c r="Q226" t="s">
        <v>316</v>
      </c>
    </row>
    <row r="227" spans="1:17" x14ac:dyDescent="0.25">
      <c r="A227" s="2" t="str">
        <f>HYPERLINK("https://www.ncbi.nlm.nih.gov/pubmed/26511983","26511983")</f>
        <v>26511983</v>
      </c>
      <c r="B227">
        <f t="shared" si="15"/>
        <v>9</v>
      </c>
      <c r="C227">
        <f t="shared" si="15"/>
        <v>0</v>
      </c>
      <c r="D227">
        <f t="shared" si="15"/>
        <v>0</v>
      </c>
      <c r="E227">
        <f t="shared" si="13"/>
        <v>9</v>
      </c>
      <c r="F227">
        <v>2016</v>
      </c>
      <c r="G227" t="s">
        <v>3336</v>
      </c>
      <c r="H227">
        <v>0</v>
      </c>
      <c r="I227" s="65">
        <v>0</v>
      </c>
      <c r="J227" t="s">
        <v>3337</v>
      </c>
      <c r="K227" s="35" t="s">
        <v>909</v>
      </c>
      <c r="L227" s="35" t="s">
        <v>6900</v>
      </c>
      <c r="M227" s="39" t="str">
        <f>HYPERLINK("http://dx.doi.org/10.1093/jee/tov317","10.1093/jee/tov317")</f>
        <v>10.1093/jee/tov317</v>
      </c>
      <c r="N227" s="40" t="s">
        <v>3143</v>
      </c>
      <c r="O227" s="40" t="s">
        <v>638</v>
      </c>
      <c r="P227" s="40" t="s">
        <v>3338</v>
      </c>
      <c r="Q227" t="s">
        <v>316</v>
      </c>
    </row>
    <row r="228" spans="1:17" x14ac:dyDescent="0.25">
      <c r="A228" s="2" t="str">
        <f>HYPERLINK("https://www.ncbi.nlm.nih.gov/pubmed/26437105","26437105")</f>
        <v>26437105</v>
      </c>
      <c r="B228">
        <f t="shared" si="15"/>
        <v>9</v>
      </c>
      <c r="C228">
        <f t="shared" si="15"/>
        <v>0</v>
      </c>
      <c r="D228">
        <f t="shared" si="15"/>
        <v>0</v>
      </c>
      <c r="E228">
        <f t="shared" si="13"/>
        <v>9</v>
      </c>
      <c r="F228">
        <v>2015</v>
      </c>
      <c r="G228" t="s">
        <v>3377</v>
      </c>
      <c r="H228">
        <v>0</v>
      </c>
      <c r="I228" s="65">
        <v>0</v>
      </c>
      <c r="J228" t="s">
        <v>3379</v>
      </c>
      <c r="K228" s="35" t="s">
        <v>3380</v>
      </c>
      <c r="L228" s="35" t="s">
        <v>3378</v>
      </c>
      <c r="M228" s="39" t="str">
        <f>HYPERLINK("http://dx.doi.org/10.2134/jeq2015.01.0018","10.2134/jeq2015.01.0018")</f>
        <v>10.2134/jeq2015.01.0018</v>
      </c>
      <c r="N228" s="40" t="s">
        <v>2001</v>
      </c>
      <c r="O228" s="40" t="s">
        <v>690</v>
      </c>
      <c r="P228" s="40" t="s">
        <v>3381</v>
      </c>
      <c r="Q228" t="s">
        <v>316</v>
      </c>
    </row>
    <row r="229" spans="1:17" x14ac:dyDescent="0.25">
      <c r="A229" s="2" t="str">
        <f>HYPERLINK("https://www.ncbi.nlm.nih.gov/pubmed/26143514","26143514")</f>
        <v>26143514</v>
      </c>
      <c r="B229">
        <f t="shared" si="15"/>
        <v>9</v>
      </c>
      <c r="C229">
        <f t="shared" si="15"/>
        <v>0</v>
      </c>
      <c r="D229">
        <f t="shared" si="15"/>
        <v>0</v>
      </c>
      <c r="E229">
        <f t="shared" si="13"/>
        <v>9</v>
      </c>
      <c r="F229">
        <v>2015</v>
      </c>
      <c r="G229" t="s">
        <v>3447</v>
      </c>
      <c r="H229">
        <v>0</v>
      </c>
      <c r="I229" s="65">
        <v>0</v>
      </c>
      <c r="J229" t="s">
        <v>3449</v>
      </c>
      <c r="K229" s="35" t="s">
        <v>1530</v>
      </c>
      <c r="L229" s="35" t="s">
        <v>3448</v>
      </c>
      <c r="M229" s="39" t="str">
        <f>HYPERLINK("http://dx.doi.org/10.1016/j.etap.2015.06.013","10.1016/j.etap.2015.06.013")</f>
        <v>10.1016/j.etap.2015.06.013</v>
      </c>
      <c r="N229" s="40" t="s">
        <v>1494</v>
      </c>
      <c r="O229" s="40" t="s">
        <v>638</v>
      </c>
      <c r="P229" s="40" t="s">
        <v>3450</v>
      </c>
      <c r="Q229" t="s">
        <v>316</v>
      </c>
    </row>
    <row r="230" spans="1:17" x14ac:dyDescent="0.25">
      <c r="A230" s="2" t="str">
        <f>HYPERLINK("https://www.ncbi.nlm.nih.gov/pubmed/26142839","26142839")</f>
        <v>26142839</v>
      </c>
      <c r="B230">
        <f t="shared" si="15"/>
        <v>9</v>
      </c>
      <c r="C230">
        <f t="shared" si="15"/>
        <v>1</v>
      </c>
      <c r="D230">
        <f t="shared" si="15"/>
        <v>0</v>
      </c>
      <c r="E230">
        <f t="shared" si="13"/>
        <v>10</v>
      </c>
      <c r="F230">
        <v>2015</v>
      </c>
      <c r="G230" t="s">
        <v>3451</v>
      </c>
      <c r="H230">
        <v>0</v>
      </c>
      <c r="I230" s="65">
        <v>0</v>
      </c>
      <c r="J230" t="s">
        <v>3452</v>
      </c>
      <c r="K230" s="35" t="s">
        <v>695</v>
      </c>
      <c r="L230" s="35" t="s">
        <v>6916</v>
      </c>
      <c r="M230" s="39" t="str">
        <f>HYPERLINK("http://dx.doi.org/10.1016/j.fct.2015.06.019","10.1016/j.fct.2015.06.019")</f>
        <v>10.1016/j.fct.2015.06.019</v>
      </c>
      <c r="N230" s="40" t="s">
        <v>1169</v>
      </c>
      <c r="O230" s="40" t="s">
        <v>383</v>
      </c>
      <c r="P230" s="40" t="s">
        <v>3453</v>
      </c>
      <c r="Q230" t="s">
        <v>316</v>
      </c>
    </row>
    <row r="231" spans="1:17" x14ac:dyDescent="0.25">
      <c r="A231" s="2" t="str">
        <f>HYPERLINK("https://www.ncbi.nlm.nih.gov/pubmed/25868821","25868821")</f>
        <v>25868821</v>
      </c>
      <c r="B231">
        <f t="shared" si="15"/>
        <v>9</v>
      </c>
      <c r="C231">
        <f t="shared" si="15"/>
        <v>0</v>
      </c>
      <c r="D231">
        <f t="shared" si="15"/>
        <v>0</v>
      </c>
      <c r="E231">
        <f t="shared" si="13"/>
        <v>9</v>
      </c>
      <c r="F231">
        <v>2015</v>
      </c>
      <c r="G231" t="s">
        <v>3533</v>
      </c>
      <c r="H231">
        <v>0</v>
      </c>
      <c r="I231" s="65">
        <v>0</v>
      </c>
      <c r="J231" t="s">
        <v>3535</v>
      </c>
      <c r="K231" s="35" t="s">
        <v>831</v>
      </c>
      <c r="L231" s="35" t="s">
        <v>3534</v>
      </c>
      <c r="M231" s="39" t="str">
        <f>HYPERLINK("http://dx.doi.org/10.1016/j.pestbp.2015.01.019","10.1016/j.pestbp.2015.01.019")</f>
        <v>10.1016/j.pestbp.2015.01.019</v>
      </c>
      <c r="N231" s="40" t="s">
        <v>684</v>
      </c>
      <c r="O231" s="40" t="s">
        <v>383</v>
      </c>
      <c r="P231" s="40" t="s">
        <v>3536</v>
      </c>
      <c r="Q231" t="s">
        <v>316</v>
      </c>
    </row>
    <row r="232" spans="1:17" x14ac:dyDescent="0.25">
      <c r="A232" s="2" t="str">
        <f>HYPERLINK("https://www.ncbi.nlm.nih.gov/pubmed/25808850","25808850")</f>
        <v>25808850</v>
      </c>
      <c r="B232">
        <f t="shared" si="15"/>
        <v>9</v>
      </c>
      <c r="C232">
        <f t="shared" si="15"/>
        <v>0</v>
      </c>
      <c r="D232">
        <f t="shared" si="15"/>
        <v>0</v>
      </c>
      <c r="E232">
        <f t="shared" si="13"/>
        <v>9</v>
      </c>
      <c r="F232">
        <v>2015</v>
      </c>
      <c r="G232" t="s">
        <v>3547</v>
      </c>
      <c r="H232">
        <v>0</v>
      </c>
      <c r="I232" s="65">
        <v>0</v>
      </c>
      <c r="J232" t="s">
        <v>3548</v>
      </c>
      <c r="K232" s="35" t="s">
        <v>2220</v>
      </c>
      <c r="L232" s="35" t="s">
        <v>6931</v>
      </c>
      <c r="M232" s="39" t="str">
        <f>HYPERLINK("http://dx.doi.org/10.1002/arch.21232","10.1002/arch.21232")</f>
        <v>10.1002/arch.21232</v>
      </c>
      <c r="N232" s="40" t="s">
        <v>3549</v>
      </c>
      <c r="O232" s="40" t="s">
        <v>690</v>
      </c>
      <c r="P232" s="40" t="s">
        <v>3550</v>
      </c>
      <c r="Q232" t="s">
        <v>316</v>
      </c>
    </row>
    <row r="233" spans="1:17" x14ac:dyDescent="0.25">
      <c r="A233" s="2" t="str">
        <f>HYPERLINK("https://www.ncbi.nlm.nih.gov/pubmed/25722187","25722187")</f>
        <v>25722187</v>
      </c>
      <c r="B233">
        <f t="shared" si="15"/>
        <v>9</v>
      </c>
      <c r="C233">
        <f t="shared" si="15"/>
        <v>0</v>
      </c>
      <c r="D233">
        <f t="shared" si="15"/>
        <v>0</v>
      </c>
      <c r="E233">
        <f t="shared" si="13"/>
        <v>9</v>
      </c>
      <c r="F233">
        <v>2015</v>
      </c>
      <c r="G233" t="s">
        <v>3579</v>
      </c>
      <c r="H233">
        <v>0</v>
      </c>
      <c r="I233" s="65">
        <v>0</v>
      </c>
      <c r="J233" t="s">
        <v>3580</v>
      </c>
      <c r="K233" s="35" t="s">
        <v>3581</v>
      </c>
      <c r="L233" s="35" t="s">
        <v>6936</v>
      </c>
      <c r="M233" s="39" t="str">
        <f>HYPERLINK("http://dx.doi.org/10.1039/c5pp00011d","10.1039/c5pp00011d")</f>
        <v>10.1039/c5pp00011d</v>
      </c>
      <c r="N233" s="40" t="s">
        <v>871</v>
      </c>
      <c r="O233" s="40" t="s">
        <v>746</v>
      </c>
      <c r="P233" s="40" t="s">
        <v>3582</v>
      </c>
      <c r="Q233" t="s">
        <v>316</v>
      </c>
    </row>
    <row r="234" spans="1:17" x14ac:dyDescent="0.25">
      <c r="A234" s="2" t="str">
        <f>HYPERLINK("https://www.ncbi.nlm.nih.gov/pubmed/25307460","25307460")</f>
        <v>25307460</v>
      </c>
      <c r="B234">
        <f t="shared" si="15"/>
        <v>9</v>
      </c>
      <c r="C234">
        <f t="shared" si="15"/>
        <v>0</v>
      </c>
      <c r="D234">
        <f t="shared" si="15"/>
        <v>0</v>
      </c>
      <c r="E234">
        <f t="shared" si="13"/>
        <v>9</v>
      </c>
      <c r="F234">
        <v>2014</v>
      </c>
      <c r="G234" t="s">
        <v>3714</v>
      </c>
      <c r="H234">
        <v>0</v>
      </c>
      <c r="I234" s="65">
        <v>0</v>
      </c>
      <c r="J234" t="s">
        <v>3715</v>
      </c>
      <c r="K234" s="35" t="s">
        <v>831</v>
      </c>
      <c r="L234" s="35" t="s">
        <v>6958</v>
      </c>
      <c r="M234" s="39" t="str">
        <f>HYPERLINK("http://dx.doi.org/10.1016/j.pestbp.2014.07.010","10.1016/j.pestbp.2014.07.010")</f>
        <v>10.1016/j.pestbp.2014.07.010</v>
      </c>
      <c r="N234" s="40" t="s">
        <v>2118</v>
      </c>
      <c r="O234" s="40" t="s">
        <v>383</v>
      </c>
      <c r="P234" s="40" t="s">
        <v>3716</v>
      </c>
      <c r="Q234" t="s">
        <v>316</v>
      </c>
    </row>
    <row r="235" spans="1:17" x14ac:dyDescent="0.25">
      <c r="A235" s="2" t="str">
        <f>HYPERLINK("https://www.ncbi.nlm.nih.gov/pubmed/24978116","24978116")</f>
        <v>24978116</v>
      </c>
      <c r="B235">
        <f t="shared" si="15"/>
        <v>9</v>
      </c>
      <c r="C235">
        <f t="shared" si="15"/>
        <v>1</v>
      </c>
      <c r="D235">
        <f t="shared" si="15"/>
        <v>0</v>
      </c>
      <c r="E235">
        <f t="shared" si="13"/>
        <v>10</v>
      </c>
      <c r="F235">
        <v>2014</v>
      </c>
      <c r="G235" t="s">
        <v>3821</v>
      </c>
      <c r="H235">
        <v>0</v>
      </c>
      <c r="I235" s="65">
        <v>0</v>
      </c>
      <c r="J235" t="s">
        <v>3822</v>
      </c>
      <c r="K235" s="35" t="s">
        <v>701</v>
      </c>
      <c r="L235" s="35" t="s">
        <v>6970</v>
      </c>
      <c r="M235" s="39" t="str">
        <f>HYPERLINK("http://dx.doi.org/10.1016/j.ntt.2014.05.010","10.1016/j.ntt.2014.05.010")</f>
        <v>10.1016/j.ntt.2014.05.010</v>
      </c>
      <c r="N235" s="40" t="s">
        <v>765</v>
      </c>
      <c r="O235" s="40" t="s">
        <v>383</v>
      </c>
      <c r="P235" s="40" t="s">
        <v>3823</v>
      </c>
      <c r="Q235" t="s">
        <v>316</v>
      </c>
    </row>
    <row r="236" spans="1:17" x14ac:dyDescent="0.25">
      <c r="A236" s="2" t="str">
        <f>HYPERLINK("https://www.ncbi.nlm.nih.gov/pubmed/24897856","24897856")</f>
        <v>24897856</v>
      </c>
      <c r="B236">
        <f t="shared" si="15"/>
        <v>9</v>
      </c>
      <c r="C236">
        <f t="shared" si="15"/>
        <v>0</v>
      </c>
      <c r="D236">
        <f t="shared" si="15"/>
        <v>0</v>
      </c>
      <c r="E236">
        <f t="shared" si="13"/>
        <v>9</v>
      </c>
      <c r="F236">
        <v>2014</v>
      </c>
      <c r="G236" t="s">
        <v>3837</v>
      </c>
      <c r="H236">
        <v>0</v>
      </c>
      <c r="I236" s="65">
        <v>0</v>
      </c>
      <c r="J236" t="s">
        <v>3838</v>
      </c>
      <c r="K236" s="35" t="s">
        <v>1027</v>
      </c>
      <c r="L236" s="35" t="s">
        <v>6974</v>
      </c>
      <c r="M236" s="39" t="str">
        <f>HYPERLINK("http://dx.doi.org/10.1603/me13240","10.1603/me13240")</f>
        <v>10.1603/me13240</v>
      </c>
      <c r="N236" s="40" t="s">
        <v>1780</v>
      </c>
      <c r="O236" s="40" t="s">
        <v>750</v>
      </c>
      <c r="P236" s="40" t="s">
        <v>3839</v>
      </c>
      <c r="Q236" t="s">
        <v>316</v>
      </c>
    </row>
    <row r="237" spans="1:17" x14ac:dyDescent="0.25">
      <c r="A237" s="2" t="str">
        <f>HYPERLINK("https://www.ncbi.nlm.nih.gov/pubmed/24681222","24681222")</f>
        <v>24681222</v>
      </c>
      <c r="B237">
        <f t="shared" si="15"/>
        <v>9</v>
      </c>
      <c r="C237">
        <f t="shared" si="15"/>
        <v>0</v>
      </c>
      <c r="D237">
        <f t="shared" si="15"/>
        <v>0</v>
      </c>
      <c r="E237">
        <f t="shared" si="13"/>
        <v>9</v>
      </c>
      <c r="F237">
        <v>2014</v>
      </c>
      <c r="G237" t="s">
        <v>3917</v>
      </c>
      <c r="H237">
        <v>0</v>
      </c>
      <c r="I237" s="65">
        <v>0</v>
      </c>
      <c r="J237" t="s">
        <v>3918</v>
      </c>
      <c r="K237" s="35" t="s">
        <v>2720</v>
      </c>
      <c r="L237" s="35" t="s">
        <v>6989</v>
      </c>
      <c r="M237" s="39" t="str">
        <f>HYPERLINK("http://dx.doi.org/10.1016/j.actatropica.2014.03.013","10.1016/j.actatropica.2014.03.013")</f>
        <v>10.1016/j.actatropica.2014.03.013</v>
      </c>
      <c r="N237" s="40" t="s">
        <v>3415</v>
      </c>
      <c r="O237" s="40" t="s">
        <v>383</v>
      </c>
      <c r="P237" s="40" t="s">
        <v>3919</v>
      </c>
      <c r="Q237" t="s">
        <v>316</v>
      </c>
    </row>
    <row r="238" spans="1:17" x14ac:dyDescent="0.25">
      <c r="A238" s="2" t="str">
        <f>HYPERLINK("https://www.ncbi.nlm.nih.gov/pubmed/24593931","24593931")</f>
        <v>24593931</v>
      </c>
      <c r="B238">
        <f t="shared" si="15"/>
        <v>9</v>
      </c>
      <c r="C238">
        <f t="shared" si="15"/>
        <v>0</v>
      </c>
      <c r="D238">
        <f t="shared" si="15"/>
        <v>0</v>
      </c>
      <c r="E238">
        <f t="shared" si="13"/>
        <v>9</v>
      </c>
      <c r="F238">
        <v>2014</v>
      </c>
      <c r="G238" t="s">
        <v>3959</v>
      </c>
      <c r="H238">
        <v>0</v>
      </c>
      <c r="I238" s="64" t="str">
        <f>HYPERLINK("https://www.ncbi.nlm.nih.gov/research/pubtator/?view=docsum&amp;query=PMC3975895","1")</f>
        <v>1</v>
      </c>
      <c r="J238" t="s">
        <v>3960</v>
      </c>
      <c r="K238" s="35" t="s">
        <v>870</v>
      </c>
      <c r="L238" s="35" t="s">
        <v>6993</v>
      </c>
      <c r="M238" s="39" t="str">
        <f>HYPERLINK("http://dx.doi.org/10.1186/1756-3305-7-83","10.1186/1756-3305-7-83")</f>
        <v>10.1186/1756-3305-7-83</v>
      </c>
      <c r="N238" s="40" t="s">
        <v>748</v>
      </c>
      <c r="O238" s="40" t="s">
        <v>383</v>
      </c>
      <c r="P238" s="40" t="s">
        <v>1169</v>
      </c>
      <c r="Q238" t="s">
        <v>316</v>
      </c>
    </row>
    <row r="239" spans="1:17" x14ac:dyDescent="0.25">
      <c r="A239" s="2" t="str">
        <f>HYPERLINK("https://www.ncbi.nlm.nih.gov/pubmed/23238826","23238826")</f>
        <v>23238826</v>
      </c>
      <c r="B239">
        <f t="shared" si="15"/>
        <v>9</v>
      </c>
      <c r="C239">
        <f t="shared" si="15"/>
        <v>2</v>
      </c>
      <c r="D239">
        <f t="shared" si="15"/>
        <v>0</v>
      </c>
      <c r="E239">
        <f t="shared" si="13"/>
        <v>11</v>
      </c>
      <c r="F239">
        <v>2013</v>
      </c>
      <c r="G239" t="s">
        <v>4272</v>
      </c>
      <c r="H239">
        <v>0</v>
      </c>
      <c r="I239" s="65">
        <v>0</v>
      </c>
      <c r="J239" t="s">
        <v>4274</v>
      </c>
      <c r="K239" s="35" t="s">
        <v>3164</v>
      </c>
      <c r="L239" s="35" t="s">
        <v>4273</v>
      </c>
      <c r="M239" s="39" t="str">
        <f>HYPERLINK("http://dx.doi.org/10.1007/s00128-012-0926-y","10.1007/s00128-012-0926-y")</f>
        <v>10.1007/s00128-012-0926-y</v>
      </c>
      <c r="N239" s="40" t="s">
        <v>2505</v>
      </c>
      <c r="O239" s="40" t="s">
        <v>690</v>
      </c>
      <c r="P239" s="40" t="s">
        <v>4275</v>
      </c>
      <c r="Q239" t="s">
        <v>316</v>
      </c>
    </row>
    <row r="240" spans="1:17" x14ac:dyDescent="0.25">
      <c r="A240" s="2" t="str">
        <f>HYPERLINK("https://www.ncbi.nlm.nih.gov/pubmed/23224048","23224048")</f>
        <v>23224048</v>
      </c>
      <c r="B240">
        <f t="shared" si="15"/>
        <v>9</v>
      </c>
      <c r="C240">
        <f t="shared" si="15"/>
        <v>0</v>
      </c>
      <c r="D240">
        <f t="shared" si="15"/>
        <v>0</v>
      </c>
      <c r="E240">
        <f t="shared" si="13"/>
        <v>9</v>
      </c>
      <c r="F240">
        <v>2013</v>
      </c>
      <c r="G240" t="s">
        <v>4276</v>
      </c>
      <c r="H240">
        <v>0</v>
      </c>
      <c r="I240" s="65">
        <v>0</v>
      </c>
      <c r="J240" t="s">
        <v>4278</v>
      </c>
      <c r="K240" s="35" t="s">
        <v>1395</v>
      </c>
      <c r="L240" s="35" t="s">
        <v>4277</v>
      </c>
      <c r="M240" s="39" t="str">
        <f>HYPERLINK("http://dx.doi.org/10.1007/s00244-012-9849-1","10.1007/s00244-012-9849-1")</f>
        <v>10.1007/s00244-012-9849-1</v>
      </c>
      <c r="N240" s="40" t="s">
        <v>2243</v>
      </c>
      <c r="O240" s="40" t="s">
        <v>750</v>
      </c>
      <c r="P240" s="40" t="s">
        <v>4279</v>
      </c>
      <c r="Q240" t="s">
        <v>316</v>
      </c>
    </row>
    <row r="241" spans="1:17" x14ac:dyDescent="0.25">
      <c r="A241" s="2" t="str">
        <f>HYPERLINK("https://www.ncbi.nlm.nih.gov/pubmed/23156177","23156177")</f>
        <v>23156177</v>
      </c>
      <c r="B241">
        <f t="shared" si="15"/>
        <v>9</v>
      </c>
      <c r="C241">
        <f t="shared" si="15"/>
        <v>0</v>
      </c>
      <c r="D241">
        <f t="shared" si="15"/>
        <v>0</v>
      </c>
      <c r="E241">
        <f t="shared" si="13"/>
        <v>9</v>
      </c>
      <c r="F241">
        <v>2012</v>
      </c>
      <c r="G241" t="s">
        <v>4298</v>
      </c>
      <c r="H241">
        <v>0</v>
      </c>
      <c r="I241" s="65">
        <v>0</v>
      </c>
      <c r="J241" t="s">
        <v>4300</v>
      </c>
      <c r="K241" s="35" t="s">
        <v>909</v>
      </c>
      <c r="L241" s="35" t="s">
        <v>4299</v>
      </c>
      <c r="M241" s="39" t="str">
        <f>HYPERLINK("http://dx.doi.org/10.1603/ec12073","10.1603/ec12073")</f>
        <v>10.1603/ec12073</v>
      </c>
      <c r="N241" s="40" t="s">
        <v>3018</v>
      </c>
      <c r="O241" s="40" t="s">
        <v>746</v>
      </c>
      <c r="P241" s="40" t="s">
        <v>4301</v>
      </c>
      <c r="Q241" t="s">
        <v>316</v>
      </c>
    </row>
    <row r="242" spans="1:17" x14ac:dyDescent="0.25">
      <c r="A242" s="2" t="str">
        <f>HYPERLINK("https://www.ncbi.nlm.nih.gov/pubmed/22035056","22035056")</f>
        <v>22035056</v>
      </c>
      <c r="B242">
        <f t="shared" si="15"/>
        <v>9</v>
      </c>
      <c r="C242">
        <f t="shared" si="15"/>
        <v>0</v>
      </c>
      <c r="D242">
        <f t="shared" si="15"/>
        <v>0</v>
      </c>
      <c r="E242">
        <f t="shared" si="13"/>
        <v>9</v>
      </c>
      <c r="F242">
        <v>2012</v>
      </c>
      <c r="G242" t="s">
        <v>4541</v>
      </c>
      <c r="H242">
        <v>0</v>
      </c>
      <c r="I242" s="64" t="str">
        <f>HYPERLINK("https://www.ncbi.nlm.nih.gov/research/pubtator/?view=docsum&amp;query=PMC3423232","1")</f>
        <v>1</v>
      </c>
      <c r="J242" t="s">
        <v>4542</v>
      </c>
      <c r="K242" s="35" t="s">
        <v>1873</v>
      </c>
      <c r="L242" s="35" t="s">
        <v>7061</v>
      </c>
      <c r="M242" s="39" t="str">
        <f>HYPERLINK("http://dx.doi.org/10.1111/j.1476-5381.2011.01722.x","10.1111/j.1476-5381.2011.01722.x")</f>
        <v>10.1111/j.1476-5381.2011.01722.x</v>
      </c>
      <c r="N242" s="40" t="s">
        <v>3005</v>
      </c>
      <c r="O242" s="40" t="s">
        <v>781</v>
      </c>
      <c r="P242" s="40" t="s">
        <v>4543</v>
      </c>
      <c r="Q242" t="s">
        <v>316</v>
      </c>
    </row>
    <row r="243" spans="1:17" x14ac:dyDescent="0.25">
      <c r="A243" s="2" t="str">
        <f>HYPERLINK("https://www.ncbi.nlm.nih.gov/pubmed/21520763","21520763")</f>
        <v>21520763</v>
      </c>
      <c r="B243">
        <f t="shared" si="15"/>
        <v>9</v>
      </c>
      <c r="C243">
        <f t="shared" si="15"/>
        <v>0</v>
      </c>
      <c r="D243">
        <f t="shared" si="15"/>
        <v>0</v>
      </c>
      <c r="E243">
        <f t="shared" si="13"/>
        <v>9</v>
      </c>
      <c r="F243">
        <v>2011</v>
      </c>
      <c r="G243" t="s">
        <v>4662</v>
      </c>
      <c r="H243">
        <v>0</v>
      </c>
      <c r="I243" s="65">
        <v>0</v>
      </c>
      <c r="J243" t="s">
        <v>4664</v>
      </c>
      <c r="K243" s="35" t="s">
        <v>3380</v>
      </c>
      <c r="L243" s="35" t="s">
        <v>4663</v>
      </c>
      <c r="M243" s="39" t="str">
        <f>HYPERLINK("http://dx.doi.org/10.2134/jeq2010.0173","10.2134/jeq2010.0173")</f>
        <v>10.2134/jeq2010.0173</v>
      </c>
      <c r="N243" s="40" t="s">
        <v>1494</v>
      </c>
      <c r="O243" s="40" t="s">
        <v>744</v>
      </c>
      <c r="P243" s="40" t="s">
        <v>4665</v>
      </c>
      <c r="Q243" t="s">
        <v>316</v>
      </c>
    </row>
    <row r="244" spans="1:17" x14ac:dyDescent="0.25">
      <c r="A244" s="2" t="str">
        <f>HYPERLINK("https://www.ncbi.nlm.nih.gov/pubmed/21087594","21087594")</f>
        <v>21087594</v>
      </c>
      <c r="B244">
        <f t="shared" ref="B244:D263" si="16">IF(ISBLANK(B$3),0,(LEN($L244) - LEN(SUBSTITUTE(LOWER($L244),LOWER(B$3),"")))/LEN(B$3))</f>
        <v>9</v>
      </c>
      <c r="C244">
        <f t="shared" si="16"/>
        <v>0</v>
      </c>
      <c r="D244">
        <f t="shared" si="16"/>
        <v>0</v>
      </c>
      <c r="E244">
        <f t="shared" si="13"/>
        <v>9</v>
      </c>
      <c r="F244">
        <v>2011</v>
      </c>
      <c r="G244" t="s">
        <v>4794</v>
      </c>
      <c r="H244">
        <v>0</v>
      </c>
      <c r="I244" s="65">
        <v>0</v>
      </c>
      <c r="J244" t="s">
        <v>4795</v>
      </c>
      <c r="K244" s="35" t="s">
        <v>2720</v>
      </c>
      <c r="L244" s="35" t="s">
        <v>7098</v>
      </c>
      <c r="M244" s="39" t="str">
        <f>HYPERLINK("http://dx.doi.org/10.1016/j.actatropica.2010.11.002","10.1016/j.actatropica.2010.11.002")</f>
        <v>10.1016/j.actatropica.2010.11.002</v>
      </c>
      <c r="N244" s="40" t="s">
        <v>3647</v>
      </c>
      <c r="O244" s="40" t="s">
        <v>744</v>
      </c>
      <c r="P244" s="40" t="s">
        <v>4796</v>
      </c>
      <c r="Q244" t="s">
        <v>316</v>
      </c>
    </row>
    <row r="245" spans="1:17" x14ac:dyDescent="0.25">
      <c r="A245" s="2" t="str">
        <f>HYPERLINK("https://www.ncbi.nlm.nih.gov/pubmed/21062143","21062143")</f>
        <v>21062143</v>
      </c>
      <c r="B245">
        <f t="shared" si="16"/>
        <v>9</v>
      </c>
      <c r="C245">
        <f t="shared" si="16"/>
        <v>0</v>
      </c>
      <c r="D245">
        <f t="shared" si="16"/>
        <v>0</v>
      </c>
      <c r="E245">
        <f t="shared" si="13"/>
        <v>9</v>
      </c>
      <c r="F245">
        <v>2010</v>
      </c>
      <c r="G245" t="s">
        <v>4797</v>
      </c>
      <c r="H245">
        <v>0</v>
      </c>
      <c r="I245" s="64" t="str">
        <f>HYPERLINK("https://www.ncbi.nlm.nih.gov/research/pubtator/?view=docsum&amp;query=PMC3016986","1")</f>
        <v>1</v>
      </c>
      <c r="J245" t="s">
        <v>4799</v>
      </c>
      <c r="K245" s="35" t="s">
        <v>2672</v>
      </c>
      <c r="L245" s="35" t="s">
        <v>4798</v>
      </c>
      <c r="M245" s="39" t="str">
        <f>HYPERLINK("http://dx.doi.org/10.1673/031.010.14142","10.1673/031.010.14142")</f>
        <v>10.1673/031.010.14142</v>
      </c>
      <c r="N245" s="40" t="s">
        <v>802</v>
      </c>
      <c r="O245" s="40" t="s">
        <v>383</v>
      </c>
      <c r="P245" s="40" t="s">
        <v>2791</v>
      </c>
      <c r="Q245" t="s">
        <v>316</v>
      </c>
    </row>
    <row r="246" spans="1:17" x14ac:dyDescent="0.25">
      <c r="A246" s="2" t="str">
        <f>HYPERLINK("https://www.ncbi.nlm.nih.gov/pubmed/19943032","19943032")</f>
        <v>19943032</v>
      </c>
      <c r="B246">
        <f t="shared" si="16"/>
        <v>9</v>
      </c>
      <c r="C246">
        <f t="shared" si="16"/>
        <v>1</v>
      </c>
      <c r="D246">
        <f t="shared" si="16"/>
        <v>0</v>
      </c>
      <c r="E246">
        <f t="shared" si="13"/>
        <v>10</v>
      </c>
      <c r="F246">
        <v>2010</v>
      </c>
      <c r="G246" t="s">
        <v>5015</v>
      </c>
      <c r="H246">
        <v>0</v>
      </c>
      <c r="I246" s="65">
        <v>0</v>
      </c>
      <c r="J246" t="s">
        <v>5017</v>
      </c>
      <c r="K246" s="35" t="s">
        <v>3164</v>
      </c>
      <c r="L246" s="35" t="s">
        <v>5016</v>
      </c>
      <c r="M246" s="39" t="str">
        <f>HYPERLINK("http://dx.doi.org/10.1007/s00128-009-9915-1","10.1007/s00128-009-9915-1")</f>
        <v>10.1007/s00128-009-9915-1</v>
      </c>
      <c r="N246" s="40" t="s">
        <v>4936</v>
      </c>
      <c r="O246" s="40" t="s">
        <v>744</v>
      </c>
      <c r="P246" s="40" t="s">
        <v>5018</v>
      </c>
      <c r="Q246" t="s">
        <v>316</v>
      </c>
    </row>
    <row r="247" spans="1:17" x14ac:dyDescent="0.25">
      <c r="A247" s="2" t="str">
        <f>HYPERLINK("https://www.ncbi.nlm.nih.gov/pubmed/19886684","19886684")</f>
        <v>19886684</v>
      </c>
      <c r="B247">
        <f t="shared" si="16"/>
        <v>9</v>
      </c>
      <c r="C247">
        <f t="shared" si="16"/>
        <v>0</v>
      </c>
      <c r="D247">
        <f t="shared" si="16"/>
        <v>0</v>
      </c>
      <c r="E247">
        <f t="shared" si="13"/>
        <v>9</v>
      </c>
      <c r="F247">
        <v>2009</v>
      </c>
      <c r="G247" t="s">
        <v>5033</v>
      </c>
      <c r="H247">
        <v>0</v>
      </c>
      <c r="I247" s="65">
        <v>0</v>
      </c>
      <c r="J247" t="s">
        <v>5035</v>
      </c>
      <c r="K247" s="35" t="s">
        <v>770</v>
      </c>
      <c r="L247" s="35" t="s">
        <v>5034</v>
      </c>
      <c r="M247" s="39" t="str">
        <f>HYPERLINK("http://dx.doi.org/10.1021/jf902644x","10.1021/jf902644x")</f>
        <v>10.1021/jf902644x</v>
      </c>
      <c r="N247" s="40" t="s">
        <v>764</v>
      </c>
      <c r="O247" s="40" t="s">
        <v>1364</v>
      </c>
      <c r="P247" s="40" t="s">
        <v>5036</v>
      </c>
      <c r="Q247" t="s">
        <v>316</v>
      </c>
    </row>
    <row r="248" spans="1:17" x14ac:dyDescent="0.25">
      <c r="A248" s="2" t="str">
        <f>HYPERLINK("https://www.ncbi.nlm.nih.gov/pubmed/19572480","19572480")</f>
        <v>19572480</v>
      </c>
      <c r="B248">
        <f t="shared" si="16"/>
        <v>9</v>
      </c>
      <c r="C248">
        <f t="shared" si="16"/>
        <v>0</v>
      </c>
      <c r="D248">
        <f t="shared" si="16"/>
        <v>0</v>
      </c>
      <c r="E248">
        <f t="shared" si="13"/>
        <v>9</v>
      </c>
      <c r="F248">
        <v>2009</v>
      </c>
      <c r="G248" t="s">
        <v>5095</v>
      </c>
      <c r="H248">
        <v>0</v>
      </c>
      <c r="I248" s="65">
        <v>0</v>
      </c>
      <c r="J248" t="s">
        <v>5097</v>
      </c>
      <c r="K248" s="35" t="s">
        <v>4026</v>
      </c>
      <c r="L248" s="35" t="s">
        <v>5096</v>
      </c>
      <c r="M248" s="39" t="str">
        <f>HYPERLINK("http://dx.doi.org/","")</f>
        <v/>
      </c>
      <c r="N248" s="40" t="s">
        <v>780</v>
      </c>
      <c r="O248" s="40" t="s">
        <v>638</v>
      </c>
      <c r="P248" s="40" t="s">
        <v>4200</v>
      </c>
      <c r="Q248" t="s">
        <v>316</v>
      </c>
    </row>
    <row r="249" spans="1:17" x14ac:dyDescent="0.25">
      <c r="A249" s="2" t="str">
        <f>HYPERLINK("https://www.ncbi.nlm.nih.gov/pubmed/19362209","19362209")</f>
        <v>19362209</v>
      </c>
      <c r="B249">
        <f t="shared" si="16"/>
        <v>9</v>
      </c>
      <c r="C249">
        <f t="shared" si="16"/>
        <v>0</v>
      </c>
      <c r="D249">
        <f t="shared" si="16"/>
        <v>0</v>
      </c>
      <c r="E249">
        <f t="shared" si="13"/>
        <v>9</v>
      </c>
      <c r="F249">
        <v>2009</v>
      </c>
      <c r="G249" t="s">
        <v>5142</v>
      </c>
      <c r="H249">
        <v>0</v>
      </c>
      <c r="I249" s="65">
        <v>0</v>
      </c>
      <c r="J249" t="s">
        <v>5144</v>
      </c>
      <c r="K249" s="35" t="s">
        <v>1162</v>
      </c>
      <c r="L249" s="35" t="s">
        <v>5143</v>
      </c>
      <c r="M249" s="39" t="str">
        <f>HYPERLINK("http://dx.doi.org/10.1016/j.talanta.2009.02.034","10.1016/j.talanta.2009.02.034")</f>
        <v>10.1016/j.talanta.2009.02.034</v>
      </c>
      <c r="N249" s="40" t="s">
        <v>3375</v>
      </c>
      <c r="O249" s="40" t="s">
        <v>5145</v>
      </c>
      <c r="P249" s="40" t="s">
        <v>5146</v>
      </c>
      <c r="Q249" t="s">
        <v>316</v>
      </c>
    </row>
    <row r="250" spans="1:17" x14ac:dyDescent="0.25">
      <c r="A250" s="2" t="str">
        <f>HYPERLINK("https://www.ncbi.nlm.nih.gov/pubmed/17503207","17503207")</f>
        <v>17503207</v>
      </c>
      <c r="B250">
        <f t="shared" si="16"/>
        <v>9</v>
      </c>
      <c r="C250">
        <f t="shared" si="16"/>
        <v>0</v>
      </c>
      <c r="D250">
        <f t="shared" si="16"/>
        <v>0</v>
      </c>
      <c r="E250">
        <f t="shared" si="13"/>
        <v>9</v>
      </c>
      <c r="F250">
        <v>2008</v>
      </c>
      <c r="G250" t="s">
        <v>5474</v>
      </c>
      <c r="H250">
        <v>0</v>
      </c>
      <c r="I250" s="65">
        <v>0</v>
      </c>
      <c r="J250" t="s">
        <v>5476</v>
      </c>
      <c r="K250" s="35" t="s">
        <v>1013</v>
      </c>
      <c r="L250" s="35" t="s">
        <v>5475</v>
      </c>
      <c r="M250" s="39" t="str">
        <f>HYPERLINK("http://dx.doi.org/10.1007/s10661-007-9738-7","10.1007/s10661-007-9738-7")</f>
        <v>10.1007/s10661-007-9738-7</v>
      </c>
      <c r="N250" s="40" t="s">
        <v>5477</v>
      </c>
      <c r="O250" s="40" t="s">
        <v>2110</v>
      </c>
      <c r="P250" s="40" t="s">
        <v>5478</v>
      </c>
      <c r="Q250" t="s">
        <v>316</v>
      </c>
    </row>
    <row r="251" spans="1:17" x14ac:dyDescent="0.25">
      <c r="A251" s="2" t="str">
        <f>HYPERLINK("https://www.ncbi.nlm.nih.gov/pubmed/16916023","16916023")</f>
        <v>16916023</v>
      </c>
      <c r="B251">
        <f t="shared" si="16"/>
        <v>9</v>
      </c>
      <c r="C251">
        <f t="shared" si="16"/>
        <v>2</v>
      </c>
      <c r="D251">
        <f t="shared" si="16"/>
        <v>0</v>
      </c>
      <c r="E251">
        <f t="shared" si="13"/>
        <v>11</v>
      </c>
      <c r="F251">
        <v>2006</v>
      </c>
      <c r="G251" t="s">
        <v>5586</v>
      </c>
      <c r="H251">
        <v>0</v>
      </c>
      <c r="I251" s="65">
        <v>0</v>
      </c>
      <c r="J251" t="s">
        <v>5587</v>
      </c>
      <c r="K251" s="35" t="s">
        <v>755</v>
      </c>
      <c r="L251" s="35" t="s">
        <v>7171</v>
      </c>
      <c r="M251" s="39" t="str">
        <f>HYPERLINK("http://dx.doi.org/10.1897/05-652r.1","10.1897/05-652r.1")</f>
        <v>10.1897/05-652r.1</v>
      </c>
      <c r="N251" s="40" t="s">
        <v>1369</v>
      </c>
      <c r="O251" s="40" t="s">
        <v>781</v>
      </c>
      <c r="P251" s="40" t="s">
        <v>5588</v>
      </c>
      <c r="Q251" t="s">
        <v>316</v>
      </c>
    </row>
    <row r="252" spans="1:17" x14ac:dyDescent="0.25">
      <c r="A252" s="2" t="str">
        <f>HYPERLINK("https://www.ncbi.nlm.nih.gov/pubmed/16836887","16836887")</f>
        <v>16836887</v>
      </c>
      <c r="B252">
        <f t="shared" si="16"/>
        <v>9</v>
      </c>
      <c r="C252">
        <f t="shared" si="16"/>
        <v>1</v>
      </c>
      <c r="D252">
        <f t="shared" si="16"/>
        <v>0</v>
      </c>
      <c r="E252">
        <f t="shared" si="13"/>
        <v>10</v>
      </c>
      <c r="F252">
        <v>2006</v>
      </c>
      <c r="G252" t="s">
        <v>5609</v>
      </c>
      <c r="H252">
        <v>0</v>
      </c>
      <c r="I252" s="65">
        <v>0</v>
      </c>
      <c r="J252" t="s">
        <v>5610</v>
      </c>
      <c r="K252" s="35" t="s">
        <v>1729</v>
      </c>
      <c r="L252" s="35" t="s">
        <v>7175</v>
      </c>
      <c r="M252" s="39" t="str">
        <f>HYPERLINK("http://dx.doi.org/","")</f>
        <v/>
      </c>
      <c r="N252" s="40" t="s">
        <v>1494</v>
      </c>
      <c r="O252" s="40" t="s">
        <v>750</v>
      </c>
      <c r="P252" s="40" t="s">
        <v>5611</v>
      </c>
      <c r="Q252" t="s">
        <v>316</v>
      </c>
    </row>
    <row r="253" spans="1:17" x14ac:dyDescent="0.25">
      <c r="A253" s="2" t="str">
        <f>HYPERLINK("https://www.ncbi.nlm.nih.gov/pubmed/16813330","16813330")</f>
        <v>16813330</v>
      </c>
      <c r="B253">
        <f t="shared" si="16"/>
        <v>9</v>
      </c>
      <c r="C253">
        <f t="shared" si="16"/>
        <v>1</v>
      </c>
      <c r="D253">
        <f t="shared" si="16"/>
        <v>0</v>
      </c>
      <c r="E253">
        <f t="shared" si="13"/>
        <v>10</v>
      </c>
      <c r="F253">
        <v>2006</v>
      </c>
      <c r="G253" t="s">
        <v>5616</v>
      </c>
      <c r="H253">
        <v>0</v>
      </c>
      <c r="I253" s="65">
        <v>0</v>
      </c>
      <c r="J253" t="s">
        <v>5617</v>
      </c>
      <c r="K253" s="35" t="s">
        <v>909</v>
      </c>
      <c r="L253" s="35" t="s">
        <v>7176</v>
      </c>
      <c r="M253" s="39" t="str">
        <f>HYPERLINK("http://dx.doi.org/10.1603/0022-0493-99.3.914","10.1603/0022-0493-99.3.914")</f>
        <v>10.1603/0022-0493-99.3.914</v>
      </c>
      <c r="N253" s="40" t="s">
        <v>3055</v>
      </c>
      <c r="O253" s="40" t="s">
        <v>750</v>
      </c>
      <c r="P253" s="40" t="s">
        <v>5618</v>
      </c>
      <c r="Q253" t="s">
        <v>316</v>
      </c>
    </row>
    <row r="254" spans="1:17" x14ac:dyDescent="0.25">
      <c r="A254" s="2" t="str">
        <f>HYPERLINK("https://www.ncbi.nlm.nih.gov/pubmed/16719093","16719093")</f>
        <v>16719093</v>
      </c>
      <c r="B254">
        <f t="shared" si="16"/>
        <v>9</v>
      </c>
      <c r="C254">
        <f t="shared" si="16"/>
        <v>0</v>
      </c>
      <c r="D254">
        <f t="shared" si="16"/>
        <v>0</v>
      </c>
      <c r="E254">
        <f t="shared" si="13"/>
        <v>9</v>
      </c>
      <c r="F254">
        <v>2006</v>
      </c>
      <c r="G254" t="s">
        <v>5636</v>
      </c>
      <c r="H254">
        <v>0</v>
      </c>
      <c r="I254" s="65">
        <v>0</v>
      </c>
      <c r="J254" t="s">
        <v>5637</v>
      </c>
      <c r="K254" s="35" t="s">
        <v>1058</v>
      </c>
      <c r="L254" s="35" t="s">
        <v>7180</v>
      </c>
      <c r="M254" s="39" t="str">
        <f>HYPERLINK("http://dx.doi.org/10.1021/es0600678","10.1021/es0600678")</f>
        <v>10.1021/es0600678</v>
      </c>
      <c r="N254" s="40" t="s">
        <v>1494</v>
      </c>
      <c r="O254" s="40" t="s">
        <v>660</v>
      </c>
      <c r="P254" s="40" t="s">
        <v>5638</v>
      </c>
      <c r="Q254" t="s">
        <v>316</v>
      </c>
    </row>
    <row r="255" spans="1:17" x14ac:dyDescent="0.25">
      <c r="A255" s="2" t="str">
        <f>HYPERLINK("https://www.ncbi.nlm.nih.gov/pubmed/16334323","16334323")</f>
        <v>16334323</v>
      </c>
      <c r="B255">
        <f t="shared" si="16"/>
        <v>9</v>
      </c>
      <c r="C255">
        <f t="shared" si="16"/>
        <v>0</v>
      </c>
      <c r="D255">
        <f t="shared" si="16"/>
        <v>0</v>
      </c>
      <c r="E255">
        <f t="shared" si="13"/>
        <v>9</v>
      </c>
      <c r="F255">
        <v>2005</v>
      </c>
      <c r="G255" t="s">
        <v>5700</v>
      </c>
      <c r="H255">
        <v>0</v>
      </c>
      <c r="I255" s="65">
        <v>0</v>
      </c>
      <c r="J255" t="s">
        <v>5701</v>
      </c>
      <c r="K255" s="35" t="s">
        <v>909</v>
      </c>
      <c r="L255" s="35" t="s">
        <v>7190</v>
      </c>
      <c r="M255" s="39" t="str">
        <f>HYPERLINK("http://dx.doi.org/10.1603/0022-0493-98.5.1551","10.1603/0022-0493-98.5.1551")</f>
        <v>10.1603/0022-0493-98.5.1551</v>
      </c>
      <c r="N255" s="40" t="s">
        <v>3516</v>
      </c>
      <c r="O255" s="40" t="s">
        <v>746</v>
      </c>
      <c r="P255" s="40" t="s">
        <v>5702</v>
      </c>
      <c r="Q255" t="s">
        <v>316</v>
      </c>
    </row>
    <row r="256" spans="1:17" x14ac:dyDescent="0.25">
      <c r="A256" s="2" t="str">
        <f>HYPERLINK("https://www.ncbi.nlm.nih.gov/pubmed/15978286","15978286")</f>
        <v>15978286</v>
      </c>
      <c r="B256">
        <f t="shared" si="16"/>
        <v>9</v>
      </c>
      <c r="C256">
        <f t="shared" si="16"/>
        <v>7</v>
      </c>
      <c r="D256">
        <f t="shared" si="16"/>
        <v>0</v>
      </c>
      <c r="E256">
        <f t="shared" si="13"/>
        <v>16</v>
      </c>
      <c r="F256">
        <v>2005</v>
      </c>
      <c r="G256" t="s">
        <v>5790</v>
      </c>
      <c r="H256">
        <v>0</v>
      </c>
      <c r="I256" s="65">
        <v>0</v>
      </c>
      <c r="J256" t="s">
        <v>5791</v>
      </c>
      <c r="K256" s="35" t="s">
        <v>714</v>
      </c>
      <c r="L256" s="35" t="s">
        <v>7197</v>
      </c>
      <c r="M256" s="39" t="str">
        <f>HYPERLINK("http://dx.doi.org/10.1016/j.ecoenv.2005.02.011","10.1016/j.ecoenv.2005.02.011")</f>
        <v>10.1016/j.ecoenv.2005.02.011</v>
      </c>
      <c r="N256" s="40" t="s">
        <v>2372</v>
      </c>
      <c r="O256" s="40" t="s">
        <v>638</v>
      </c>
      <c r="P256" s="40" t="s">
        <v>3388</v>
      </c>
      <c r="Q256" t="s">
        <v>316</v>
      </c>
    </row>
    <row r="257" spans="1:17" x14ac:dyDescent="0.25">
      <c r="A257" s="2" t="str">
        <f>HYPERLINK("https://www.ncbi.nlm.nih.gov/pubmed/15641641","15641641")</f>
        <v>15641641</v>
      </c>
      <c r="B257">
        <f t="shared" si="16"/>
        <v>9</v>
      </c>
      <c r="C257">
        <f t="shared" si="16"/>
        <v>0</v>
      </c>
      <c r="D257">
        <f t="shared" si="16"/>
        <v>0</v>
      </c>
      <c r="E257">
        <f t="shared" si="13"/>
        <v>9</v>
      </c>
      <c r="F257">
        <v>2004</v>
      </c>
      <c r="G257" t="s">
        <v>5853</v>
      </c>
      <c r="H257">
        <v>0</v>
      </c>
      <c r="I257" s="64" t="str">
        <f>HYPERLINK("https://www.ncbi.nlm.nih.gov/research/pubtator/?view=docsum&amp;query=PMC1351141","1")</f>
        <v>1</v>
      </c>
      <c r="J257" t="s">
        <v>5854</v>
      </c>
      <c r="K257" s="35" t="s">
        <v>5855</v>
      </c>
      <c r="L257" s="35" t="s">
        <v>7206</v>
      </c>
      <c r="M257" s="39" t="str">
        <f>HYPERLINK("http://dx.doi.org/10.1081/clt-200041784","10.1081/clt-200041784")</f>
        <v>10.1081/clt-200041784</v>
      </c>
      <c r="N257" s="40" t="s">
        <v>2803</v>
      </c>
      <c r="O257" s="40" t="s">
        <v>748</v>
      </c>
      <c r="P257" s="40" t="s">
        <v>5856</v>
      </c>
      <c r="Q257" t="s">
        <v>316</v>
      </c>
    </row>
    <row r="258" spans="1:17" x14ac:dyDescent="0.25">
      <c r="A258" s="2" t="str">
        <f>HYPERLINK("https://www.ncbi.nlm.nih.gov/pubmed/14519326","14519326")</f>
        <v>14519326</v>
      </c>
      <c r="B258">
        <f t="shared" si="16"/>
        <v>9</v>
      </c>
      <c r="C258">
        <f t="shared" si="16"/>
        <v>2</v>
      </c>
      <c r="D258">
        <f t="shared" si="16"/>
        <v>0</v>
      </c>
      <c r="E258">
        <f t="shared" si="13"/>
        <v>11</v>
      </c>
      <c r="F258">
        <v>2003</v>
      </c>
      <c r="G258" t="s">
        <v>6019</v>
      </c>
      <c r="H258">
        <v>0</v>
      </c>
      <c r="I258" s="65">
        <v>0</v>
      </c>
      <c r="J258" t="s">
        <v>6020</v>
      </c>
      <c r="K258" s="35" t="s">
        <v>1052</v>
      </c>
      <c r="L258" s="35" t="s">
        <v>7224</v>
      </c>
      <c r="M258" s="39" t="str">
        <f>HYPERLINK("http://dx.doi.org/10.1016/s0304-4017(03)00163-8","10.1016/s0304-4017(03)00163-8")</f>
        <v>10.1016/s0304-4017(03)00163-8</v>
      </c>
      <c r="N258" s="40" t="s">
        <v>1948</v>
      </c>
      <c r="O258" s="40" t="s">
        <v>638</v>
      </c>
      <c r="P258" s="40" t="s">
        <v>6021</v>
      </c>
      <c r="Q258" t="s">
        <v>316</v>
      </c>
    </row>
    <row r="259" spans="1:17" x14ac:dyDescent="0.25">
      <c r="A259" s="2" t="str">
        <f>HYPERLINK("https://www.ncbi.nlm.nih.gov/pubmed/12590480","12590480")</f>
        <v>12590480</v>
      </c>
      <c r="B259">
        <f t="shared" si="16"/>
        <v>9</v>
      </c>
      <c r="C259">
        <f t="shared" si="16"/>
        <v>0</v>
      </c>
      <c r="D259">
        <f t="shared" si="16"/>
        <v>0</v>
      </c>
      <c r="E259">
        <f t="shared" si="13"/>
        <v>9</v>
      </c>
      <c r="F259">
        <v>2003</v>
      </c>
      <c r="G259" t="s">
        <v>6098</v>
      </c>
      <c r="H259">
        <v>0</v>
      </c>
      <c r="I259" s="65">
        <v>0</v>
      </c>
      <c r="J259" t="s">
        <v>6100</v>
      </c>
      <c r="K259" s="35" t="s">
        <v>770</v>
      </c>
      <c r="L259" s="35" t="s">
        <v>6099</v>
      </c>
      <c r="M259" s="39" t="str">
        <f>HYPERLINK("http://dx.doi.org/10.1021/jf025843j","10.1021/jf025843j")</f>
        <v>10.1021/jf025843j</v>
      </c>
      <c r="N259" s="40" t="s">
        <v>1780</v>
      </c>
      <c r="O259" s="40" t="s">
        <v>746</v>
      </c>
      <c r="P259" s="40" t="s">
        <v>6101</v>
      </c>
      <c r="Q259" t="s">
        <v>316</v>
      </c>
    </row>
    <row r="260" spans="1:17" x14ac:dyDescent="0.25">
      <c r="A260" s="2" t="str">
        <f>HYPERLINK("https://www.ncbi.nlm.nih.gov/pubmed/11731076","11731076")</f>
        <v>11731076</v>
      </c>
      <c r="B260">
        <f t="shared" si="16"/>
        <v>9</v>
      </c>
      <c r="C260">
        <f t="shared" si="16"/>
        <v>1</v>
      </c>
      <c r="D260">
        <f t="shared" si="16"/>
        <v>0</v>
      </c>
      <c r="E260">
        <f t="shared" ref="E260:E323" si="17">SUM(B260:D260)</f>
        <v>10</v>
      </c>
      <c r="F260">
        <v>2001</v>
      </c>
      <c r="G260" t="s">
        <v>6196</v>
      </c>
      <c r="H260">
        <v>0</v>
      </c>
      <c r="I260" s="65">
        <v>0</v>
      </c>
      <c r="J260" t="s">
        <v>6197</v>
      </c>
      <c r="K260" s="35" t="s">
        <v>1052</v>
      </c>
      <c r="L260" s="35" t="s">
        <v>7239</v>
      </c>
      <c r="M260" s="39" t="str">
        <f>HYPERLINK("http://dx.doi.org/10.1016/s0304-4017(01)00537-4","10.1016/s0304-4017(01)00537-4")</f>
        <v>10.1016/s0304-4017(01)00537-4</v>
      </c>
      <c r="N260" s="40" t="s">
        <v>4983</v>
      </c>
      <c r="O260" s="40" t="s">
        <v>690</v>
      </c>
      <c r="P260" s="40" t="s">
        <v>6198</v>
      </c>
      <c r="Q260" t="s">
        <v>316</v>
      </c>
    </row>
    <row r="261" spans="1:17" x14ac:dyDescent="0.25">
      <c r="A261" s="2" t="str">
        <f>HYPERLINK("https://www.ncbi.nlm.nih.gov/pubmed/11599719","11599719")</f>
        <v>11599719</v>
      </c>
      <c r="B261">
        <f t="shared" si="16"/>
        <v>9</v>
      </c>
      <c r="C261">
        <f t="shared" si="16"/>
        <v>0</v>
      </c>
      <c r="D261">
        <f t="shared" si="16"/>
        <v>0</v>
      </c>
      <c r="E261">
        <f t="shared" si="17"/>
        <v>9</v>
      </c>
      <c r="F261">
        <v>2001</v>
      </c>
      <c r="G261" t="s">
        <v>6220</v>
      </c>
      <c r="H261">
        <v>0</v>
      </c>
      <c r="I261" s="65">
        <v>0</v>
      </c>
      <c r="J261" t="s">
        <v>5587</v>
      </c>
      <c r="K261" s="35" t="s">
        <v>1413</v>
      </c>
      <c r="L261" s="35" t="s">
        <v>6221</v>
      </c>
      <c r="M261" s="39" t="str">
        <f>HYPERLINK("http://dx.doi.org/10.1081/PFC-100106184","10.1081/PFC-100106184")</f>
        <v>10.1081/PFC-100106184</v>
      </c>
      <c r="N261" s="40" t="s">
        <v>639</v>
      </c>
      <c r="O261" s="40" t="s">
        <v>746</v>
      </c>
      <c r="P261" s="40" t="s">
        <v>6222</v>
      </c>
      <c r="Q261" t="s">
        <v>316</v>
      </c>
    </row>
    <row r="262" spans="1:17" x14ac:dyDescent="0.25">
      <c r="A262" s="2" t="str">
        <f>HYPERLINK("https://www.ncbi.nlm.nih.gov/pubmed/33836353","33836353")</f>
        <v>33836353</v>
      </c>
      <c r="B262">
        <f t="shared" si="16"/>
        <v>8</v>
      </c>
      <c r="C262">
        <f t="shared" si="16"/>
        <v>0</v>
      </c>
      <c r="D262">
        <f t="shared" si="16"/>
        <v>0</v>
      </c>
      <c r="E262">
        <f t="shared" si="17"/>
        <v>8</v>
      </c>
      <c r="F262">
        <v>2021</v>
      </c>
      <c r="G262" t="s">
        <v>1020</v>
      </c>
      <c r="H262">
        <v>0</v>
      </c>
      <c r="I262" s="65">
        <v>0</v>
      </c>
      <c r="J262" t="s">
        <v>1022</v>
      </c>
      <c r="K262" s="35" t="s">
        <v>786</v>
      </c>
      <c r="L262" s="35" t="s">
        <v>1021</v>
      </c>
      <c r="M262" s="39" t="str">
        <f>HYPERLINK("http://dx.doi.org/10.1016/j.foodchem.2021.129710","10.1016/j.foodchem.2021.129710")</f>
        <v>10.1016/j.foodchem.2021.129710</v>
      </c>
      <c r="N262" s="40" t="s">
        <v>1023</v>
      </c>
      <c r="O262" s="40" t="s">
        <v>383</v>
      </c>
      <c r="P262" s="40" t="s">
        <v>1024</v>
      </c>
      <c r="Q262" t="s">
        <v>316</v>
      </c>
    </row>
    <row r="263" spans="1:17" x14ac:dyDescent="0.25">
      <c r="A263" s="2" t="str">
        <f>HYPERLINK("https://www.ncbi.nlm.nih.gov/pubmed/33691265","33691265")</f>
        <v>33691265</v>
      </c>
      <c r="B263">
        <f t="shared" si="16"/>
        <v>8</v>
      </c>
      <c r="C263">
        <f t="shared" si="16"/>
        <v>0</v>
      </c>
      <c r="D263">
        <f t="shared" si="16"/>
        <v>0</v>
      </c>
      <c r="E263">
        <f t="shared" si="17"/>
        <v>8</v>
      </c>
      <c r="F263">
        <v>2021</v>
      </c>
      <c r="G263" t="s">
        <v>1050</v>
      </c>
      <c r="H263">
        <v>0</v>
      </c>
      <c r="I263" s="65">
        <v>0</v>
      </c>
      <c r="J263" t="s">
        <v>1051</v>
      </c>
      <c r="K263" s="35" t="s">
        <v>1052</v>
      </c>
      <c r="L263" s="35" t="s">
        <v>6555</v>
      </c>
      <c r="M263" s="39" t="str">
        <f>HYPERLINK("http://dx.doi.org/10.1016/j.vetpar.2021.109397","10.1016/j.vetpar.2021.109397")</f>
        <v>10.1016/j.vetpar.2021.109397</v>
      </c>
      <c r="N263" s="40" t="s">
        <v>1053</v>
      </c>
      <c r="O263" s="40" t="s">
        <v>383</v>
      </c>
      <c r="P263" s="40" t="s">
        <v>1054</v>
      </c>
      <c r="Q263" t="s">
        <v>316</v>
      </c>
    </row>
    <row r="264" spans="1:17" x14ac:dyDescent="0.25">
      <c r="A264" s="2" t="str">
        <f>HYPERLINK("https://www.ncbi.nlm.nih.gov/pubmed/33515409","33515409")</f>
        <v>33515409</v>
      </c>
      <c r="B264">
        <f t="shared" ref="B264:D283" si="18">IF(ISBLANK(B$3),0,(LEN($L264) - LEN(SUBSTITUTE(LOWER($L264),LOWER(B$3),"")))/LEN(B$3))</f>
        <v>8</v>
      </c>
      <c r="C264">
        <f t="shared" si="18"/>
        <v>3</v>
      </c>
      <c r="D264">
        <f t="shared" si="18"/>
        <v>0</v>
      </c>
      <c r="E264">
        <f t="shared" si="17"/>
        <v>11</v>
      </c>
      <c r="F264">
        <v>2021</v>
      </c>
      <c r="G264" t="s">
        <v>1090</v>
      </c>
      <c r="H264">
        <v>0</v>
      </c>
      <c r="I264" s="65">
        <v>0</v>
      </c>
      <c r="J264" t="s">
        <v>1091</v>
      </c>
      <c r="K264" s="35" t="s">
        <v>810</v>
      </c>
      <c r="L264" s="35" t="s">
        <v>6559</v>
      </c>
      <c r="M264" s="39" t="str">
        <f>HYPERLINK("http://dx.doi.org/10.1007/s11356-021-12573-x","10.1007/s11356-021-12573-x")</f>
        <v>10.1007/s11356-021-12573-x</v>
      </c>
      <c r="N264" s="40" t="s">
        <v>731</v>
      </c>
      <c r="O264" s="40" t="s">
        <v>1092</v>
      </c>
      <c r="P264" s="40" t="s">
        <v>1093</v>
      </c>
      <c r="Q264" t="s">
        <v>316</v>
      </c>
    </row>
    <row r="265" spans="1:17" x14ac:dyDescent="0.25">
      <c r="A265" s="2" t="str">
        <f>HYPERLINK("https://www.ncbi.nlm.nih.gov/pubmed/33468141","33468141")</f>
        <v>33468141</v>
      </c>
      <c r="B265">
        <f t="shared" si="18"/>
        <v>8</v>
      </c>
      <c r="C265">
        <f t="shared" si="18"/>
        <v>0</v>
      </c>
      <c r="D265">
        <f t="shared" si="18"/>
        <v>1</v>
      </c>
      <c r="E265">
        <f t="shared" si="17"/>
        <v>9</v>
      </c>
      <c r="F265">
        <v>2021</v>
      </c>
      <c r="G265" t="s">
        <v>1111</v>
      </c>
      <c r="H265">
        <v>0</v>
      </c>
      <c r="I265" s="64" t="str">
        <f>HYPERLINK("https://www.ncbi.nlm.nih.gov/research/pubtator/?view=docsum&amp;query=PMC7816308","1")</f>
        <v>1</v>
      </c>
      <c r="J265" t="s">
        <v>1113</v>
      </c>
      <c r="K265" s="35" t="s">
        <v>1114</v>
      </c>
      <c r="L265" s="35" t="s">
        <v>1112</v>
      </c>
      <c r="M265" s="39" t="str">
        <f>HYPERLINK("http://dx.doi.org/10.1186/s12951-021-00773-z","10.1186/s12951-021-00773-z")</f>
        <v>10.1186/s12951-021-00773-z</v>
      </c>
      <c r="N265" s="40" t="s">
        <v>1115</v>
      </c>
      <c r="O265" s="40" t="s">
        <v>638</v>
      </c>
      <c r="P265" s="40" t="s">
        <v>1116</v>
      </c>
      <c r="Q265" t="s">
        <v>316</v>
      </c>
    </row>
    <row r="266" spans="1:17" x14ac:dyDescent="0.25">
      <c r="A266" s="2" t="str">
        <f>HYPERLINK("https://www.ncbi.nlm.nih.gov/pubmed/33423002","33423002")</f>
        <v>33423002</v>
      </c>
      <c r="B266">
        <f t="shared" si="18"/>
        <v>8</v>
      </c>
      <c r="C266">
        <f t="shared" si="18"/>
        <v>4</v>
      </c>
      <c r="D266">
        <f t="shared" si="18"/>
        <v>0</v>
      </c>
      <c r="E266">
        <f t="shared" si="17"/>
        <v>12</v>
      </c>
      <c r="F266">
        <v>2021</v>
      </c>
      <c r="G266" t="s">
        <v>1139</v>
      </c>
      <c r="H266">
        <v>0</v>
      </c>
      <c r="I266" s="65">
        <v>0</v>
      </c>
      <c r="J266" t="s">
        <v>1140</v>
      </c>
      <c r="K266" s="35" t="s">
        <v>822</v>
      </c>
      <c r="L266" s="35" t="s">
        <v>6562</v>
      </c>
      <c r="M266" s="39" t="str">
        <f>HYPERLINK("http://dx.doi.org/10.1016/j.chemosphere.2020.129418","10.1016/j.chemosphere.2020.129418")</f>
        <v>10.1016/j.chemosphere.2020.129418</v>
      </c>
      <c r="N266" s="40" t="s">
        <v>1141</v>
      </c>
      <c r="O266" s="40" t="s">
        <v>383</v>
      </c>
      <c r="P266" s="40" t="s">
        <v>1142</v>
      </c>
      <c r="Q266" t="s">
        <v>316</v>
      </c>
    </row>
    <row r="267" spans="1:17" x14ac:dyDescent="0.25">
      <c r="A267" s="2" t="str">
        <f>HYPERLINK("https://www.ncbi.nlm.nih.gov/pubmed/33399203","33399203")</f>
        <v>33399203</v>
      </c>
      <c r="B267">
        <f t="shared" si="18"/>
        <v>8</v>
      </c>
      <c r="C267">
        <f t="shared" si="18"/>
        <v>0</v>
      </c>
      <c r="D267">
        <f t="shared" si="18"/>
        <v>0</v>
      </c>
      <c r="E267">
        <f t="shared" si="17"/>
        <v>8</v>
      </c>
      <c r="F267">
        <v>2021</v>
      </c>
      <c r="G267" t="s">
        <v>1146</v>
      </c>
      <c r="H267">
        <v>0</v>
      </c>
      <c r="I267" s="65">
        <v>0</v>
      </c>
      <c r="J267" t="s">
        <v>1147</v>
      </c>
      <c r="K267" s="35" t="s">
        <v>909</v>
      </c>
      <c r="L267" s="35" t="s">
        <v>6564</v>
      </c>
      <c r="M267" s="39" t="str">
        <f>HYPERLINK("http://dx.doi.org/10.1093/jee/toaa293","10.1093/jee/toaa293")</f>
        <v>10.1093/jee/toaa293</v>
      </c>
      <c r="N267" s="40" t="s">
        <v>910</v>
      </c>
      <c r="O267" s="40" t="s">
        <v>638</v>
      </c>
      <c r="P267" s="40" t="s">
        <v>1148</v>
      </c>
      <c r="Q267" t="s">
        <v>316</v>
      </c>
    </row>
    <row r="268" spans="1:17" x14ac:dyDescent="0.25">
      <c r="A268" s="2" t="str">
        <f>HYPERLINK("https://www.ncbi.nlm.nih.gov/pubmed/33228802","33228802")</f>
        <v>33228802</v>
      </c>
      <c r="B268">
        <f t="shared" si="18"/>
        <v>8</v>
      </c>
      <c r="C268">
        <f t="shared" si="18"/>
        <v>0</v>
      </c>
      <c r="D268">
        <f t="shared" si="18"/>
        <v>0</v>
      </c>
      <c r="E268">
        <f t="shared" si="17"/>
        <v>8</v>
      </c>
      <c r="F268">
        <v>2020</v>
      </c>
      <c r="G268" t="s">
        <v>1205</v>
      </c>
      <c r="H268">
        <v>0</v>
      </c>
      <c r="I268" s="64" t="str">
        <f>HYPERLINK("https://www.ncbi.nlm.nih.gov/research/pubtator/?view=docsum&amp;query=PMC7686768","1")</f>
        <v>1</v>
      </c>
      <c r="J268" t="s">
        <v>1206</v>
      </c>
      <c r="K268" s="35" t="s">
        <v>870</v>
      </c>
      <c r="L268" s="35" t="s">
        <v>6574</v>
      </c>
      <c r="M268" s="39" t="str">
        <f>HYPERLINK("http://dx.doi.org/10.1186/s13071-020-04458-8","10.1186/s13071-020-04458-8")</f>
        <v>10.1186/s13071-020-04458-8</v>
      </c>
      <c r="N268" s="40" t="s">
        <v>742</v>
      </c>
      <c r="O268" s="40" t="s">
        <v>638</v>
      </c>
      <c r="P268" s="40" t="s">
        <v>1207</v>
      </c>
      <c r="Q268" t="s">
        <v>316</v>
      </c>
    </row>
    <row r="269" spans="1:17" x14ac:dyDescent="0.25">
      <c r="A269" s="2" t="str">
        <f>HYPERLINK("https://www.ncbi.nlm.nih.gov/pubmed/33165450","33165450")</f>
        <v>33165450</v>
      </c>
      <c r="B269">
        <f t="shared" si="18"/>
        <v>8</v>
      </c>
      <c r="C269">
        <f t="shared" si="18"/>
        <v>0</v>
      </c>
      <c r="D269">
        <f t="shared" si="18"/>
        <v>0</v>
      </c>
      <c r="E269">
        <f t="shared" si="17"/>
        <v>8</v>
      </c>
      <c r="F269">
        <v>2020</v>
      </c>
      <c r="G269" t="s">
        <v>1226</v>
      </c>
      <c r="H269">
        <v>0</v>
      </c>
      <c r="I269" s="65">
        <v>0</v>
      </c>
      <c r="J269" t="s">
        <v>1228</v>
      </c>
      <c r="K269" s="35" t="s">
        <v>857</v>
      </c>
      <c r="L269" s="35" t="s">
        <v>1227</v>
      </c>
      <c r="M269" s="39" t="str">
        <f>HYPERLINK("http://dx.doi.org/10.1039/d0ay01558j","10.1039/d0ay01558j")</f>
        <v>10.1039/d0ay01558j</v>
      </c>
      <c r="N269" s="40" t="s">
        <v>915</v>
      </c>
      <c r="O269" s="40" t="s">
        <v>1229</v>
      </c>
      <c r="P269" s="40" t="s">
        <v>1230</v>
      </c>
      <c r="Q269" t="s">
        <v>316</v>
      </c>
    </row>
    <row r="270" spans="1:17" x14ac:dyDescent="0.25">
      <c r="A270" s="2" t="str">
        <f>HYPERLINK("https://www.ncbi.nlm.nih.gov/pubmed/32527422","32527422")</f>
        <v>32527422</v>
      </c>
      <c r="B270">
        <f t="shared" si="18"/>
        <v>8</v>
      </c>
      <c r="C270">
        <f t="shared" si="18"/>
        <v>0</v>
      </c>
      <c r="D270">
        <f t="shared" si="18"/>
        <v>0</v>
      </c>
      <c r="E270">
        <f t="shared" si="17"/>
        <v>8</v>
      </c>
      <c r="F270">
        <v>2020</v>
      </c>
      <c r="G270" t="s">
        <v>1496</v>
      </c>
      <c r="H270">
        <v>0</v>
      </c>
      <c r="I270" s="65">
        <v>0</v>
      </c>
      <c r="J270" t="s">
        <v>1497</v>
      </c>
      <c r="K270" s="35" t="s">
        <v>831</v>
      </c>
      <c r="L270" s="35" t="s">
        <v>6618</v>
      </c>
      <c r="M270" s="39" t="str">
        <f>HYPERLINK("http://dx.doi.org/10.1016/j.pestbp.2020.104607","10.1016/j.pestbp.2020.104607")</f>
        <v>10.1016/j.pestbp.2020.104607</v>
      </c>
      <c r="N270" s="40" t="s">
        <v>1498</v>
      </c>
      <c r="O270" s="40" t="s">
        <v>383</v>
      </c>
      <c r="P270" s="40" t="s">
        <v>1499</v>
      </c>
      <c r="Q270" t="s">
        <v>316</v>
      </c>
    </row>
    <row r="271" spans="1:17" x14ac:dyDescent="0.25">
      <c r="A271" s="2" t="str">
        <f>HYPERLINK("https://www.ncbi.nlm.nih.gov/pubmed/32069283","32069283")</f>
        <v>32069283</v>
      </c>
      <c r="B271">
        <f t="shared" si="18"/>
        <v>8</v>
      </c>
      <c r="C271">
        <f t="shared" si="18"/>
        <v>0</v>
      </c>
      <c r="D271">
        <f t="shared" si="18"/>
        <v>0</v>
      </c>
      <c r="E271">
        <f t="shared" si="17"/>
        <v>8</v>
      </c>
      <c r="F271">
        <v>2020</v>
      </c>
      <c r="G271" t="s">
        <v>1627</v>
      </c>
      <c r="H271">
        <v>0</v>
      </c>
      <c r="I271" s="64" t="str">
        <f>HYPERLINK("https://www.ncbi.nlm.nih.gov/research/pubtator/?view=docsum&amp;query=PMC7048295","1")</f>
        <v>1</v>
      </c>
      <c r="J271" t="s">
        <v>1628</v>
      </c>
      <c r="K271" s="35" t="s">
        <v>1629</v>
      </c>
      <c r="L271" s="35" t="s">
        <v>6634</v>
      </c>
      <c r="M271" s="39" t="str">
        <f>HYPERLINK("http://dx.doi.org/10.1371/journal.pntd.0008011","10.1371/journal.pntd.0008011")</f>
        <v>10.1371/journal.pntd.0008011</v>
      </c>
      <c r="N271" s="40" t="s">
        <v>871</v>
      </c>
      <c r="O271" s="40" t="s">
        <v>744</v>
      </c>
      <c r="P271" s="40" t="s">
        <v>1630</v>
      </c>
      <c r="Q271" t="s">
        <v>316</v>
      </c>
    </row>
    <row r="272" spans="1:17" x14ac:dyDescent="0.25">
      <c r="A272" s="2" t="str">
        <f>HYPERLINK("https://www.ncbi.nlm.nih.gov/pubmed/31802244","31802244")</f>
        <v>31802244</v>
      </c>
      <c r="B272">
        <f t="shared" si="18"/>
        <v>8</v>
      </c>
      <c r="C272">
        <f t="shared" si="18"/>
        <v>0</v>
      </c>
      <c r="D272">
        <f t="shared" si="18"/>
        <v>0</v>
      </c>
      <c r="E272">
        <f t="shared" si="17"/>
        <v>8</v>
      </c>
      <c r="F272">
        <v>2019</v>
      </c>
      <c r="G272" t="s">
        <v>1719</v>
      </c>
      <c r="H272">
        <v>0</v>
      </c>
      <c r="I272" s="65">
        <v>0</v>
      </c>
      <c r="J272" t="s">
        <v>1721</v>
      </c>
      <c r="K272" s="35" t="s">
        <v>1722</v>
      </c>
      <c r="L272" s="35" t="s">
        <v>1720</v>
      </c>
      <c r="M272" s="39" t="str">
        <f>HYPERLINK("http://dx.doi.org/10.1007/s00604-019-4005-5","10.1007/s00604-019-4005-5")</f>
        <v>10.1007/s00604-019-4005-5</v>
      </c>
      <c r="N272" s="40" t="s">
        <v>1516</v>
      </c>
      <c r="O272" s="40" t="s">
        <v>638</v>
      </c>
      <c r="P272" s="40" t="s">
        <v>915</v>
      </c>
      <c r="Q272" t="s">
        <v>316</v>
      </c>
    </row>
    <row r="273" spans="1:17" x14ac:dyDescent="0.25">
      <c r="A273" s="2" t="str">
        <f>HYPERLINK("https://www.ncbi.nlm.nih.gov/pubmed/31594576","31594576")</f>
        <v>31594576</v>
      </c>
      <c r="B273">
        <f t="shared" si="18"/>
        <v>8</v>
      </c>
      <c r="C273">
        <f t="shared" si="18"/>
        <v>0</v>
      </c>
      <c r="D273">
        <f t="shared" si="18"/>
        <v>0</v>
      </c>
      <c r="E273">
        <f t="shared" si="17"/>
        <v>8</v>
      </c>
      <c r="F273">
        <v>2020</v>
      </c>
      <c r="G273" t="s">
        <v>1843</v>
      </c>
      <c r="H273">
        <v>0</v>
      </c>
      <c r="I273" s="65">
        <v>0</v>
      </c>
      <c r="J273" t="s">
        <v>1845</v>
      </c>
      <c r="K273" s="35" t="s">
        <v>1162</v>
      </c>
      <c r="L273" s="35" t="s">
        <v>1844</v>
      </c>
      <c r="M273" s="39" t="str">
        <f>HYPERLINK("http://dx.doi.org/10.1016/j.talanta.2019.120324","10.1016/j.talanta.2019.120324")</f>
        <v>10.1016/j.talanta.2019.120324</v>
      </c>
      <c r="N273" s="40" t="s">
        <v>1846</v>
      </c>
      <c r="O273" s="40" t="s">
        <v>383</v>
      </c>
      <c r="P273" s="40" t="s">
        <v>1847</v>
      </c>
      <c r="Q273" t="s">
        <v>316</v>
      </c>
    </row>
    <row r="274" spans="1:17" x14ac:dyDescent="0.25">
      <c r="A274" s="2" t="str">
        <f>HYPERLINK("https://www.ncbi.nlm.nih.gov/pubmed/31464619","31464619")</f>
        <v>31464619</v>
      </c>
      <c r="B274">
        <f t="shared" si="18"/>
        <v>8</v>
      </c>
      <c r="C274">
        <f t="shared" si="18"/>
        <v>0</v>
      </c>
      <c r="D274">
        <f t="shared" si="18"/>
        <v>0</v>
      </c>
      <c r="E274">
        <f t="shared" si="17"/>
        <v>8</v>
      </c>
      <c r="F274">
        <v>2019</v>
      </c>
      <c r="G274" t="s">
        <v>1879</v>
      </c>
      <c r="H274">
        <v>0</v>
      </c>
      <c r="I274" s="64" t="str">
        <f>HYPERLINK("https://www.ncbi.nlm.nih.gov/research/pubtator/?view=docsum&amp;query=PMC6716933","1")</f>
        <v>1</v>
      </c>
      <c r="J274" t="s">
        <v>1880</v>
      </c>
      <c r="K274" s="35" t="s">
        <v>1881</v>
      </c>
      <c r="L274" s="35" t="s">
        <v>6666</v>
      </c>
      <c r="M274" s="39" t="str">
        <f>HYPERLINK("http://dx.doi.org/10.1186/s12936-019-2932-6","10.1186/s12936-019-2932-6")</f>
        <v>10.1186/s12936-019-2932-6</v>
      </c>
      <c r="N274" s="40" t="s">
        <v>659</v>
      </c>
      <c r="O274" s="40" t="s">
        <v>638</v>
      </c>
      <c r="P274" s="40" t="s">
        <v>1882</v>
      </c>
      <c r="Q274" t="s">
        <v>316</v>
      </c>
    </row>
    <row r="275" spans="1:17" x14ac:dyDescent="0.25">
      <c r="A275" s="2" t="str">
        <f>HYPERLINK("https://www.ncbi.nlm.nih.gov/pubmed/31302463","31302463")</f>
        <v>31302463</v>
      </c>
      <c r="B275">
        <f t="shared" si="18"/>
        <v>8</v>
      </c>
      <c r="C275">
        <f t="shared" si="18"/>
        <v>2</v>
      </c>
      <c r="D275">
        <f t="shared" si="18"/>
        <v>0</v>
      </c>
      <c r="E275">
        <f t="shared" si="17"/>
        <v>10</v>
      </c>
      <c r="F275">
        <v>2019</v>
      </c>
      <c r="G275" t="s">
        <v>1928</v>
      </c>
      <c r="H275">
        <v>0</v>
      </c>
      <c r="I275" s="65">
        <v>0</v>
      </c>
      <c r="J275" t="s">
        <v>1930</v>
      </c>
      <c r="K275" s="35" t="s">
        <v>1931</v>
      </c>
      <c r="L275" s="35" t="s">
        <v>1929</v>
      </c>
      <c r="M275" s="39" t="str">
        <f>HYPERLINK("http://dx.doi.org/10.1016/j.biortech.2019.121723","10.1016/j.biortech.2019.121723")</f>
        <v>10.1016/j.biortech.2019.121723</v>
      </c>
      <c r="N275" s="40" t="s">
        <v>1932</v>
      </c>
      <c r="O275" s="40" t="s">
        <v>383</v>
      </c>
      <c r="P275" s="40" t="s">
        <v>1933</v>
      </c>
      <c r="Q275" t="s">
        <v>316</v>
      </c>
    </row>
    <row r="276" spans="1:17" x14ac:dyDescent="0.25">
      <c r="A276" s="2" t="str">
        <f>HYPERLINK("https://www.ncbi.nlm.nih.gov/pubmed/31152858","31152858")</f>
        <v>31152858</v>
      </c>
      <c r="B276">
        <f t="shared" si="18"/>
        <v>8</v>
      </c>
      <c r="C276">
        <f t="shared" si="18"/>
        <v>3</v>
      </c>
      <c r="D276">
        <f t="shared" si="18"/>
        <v>0</v>
      </c>
      <c r="E276">
        <f t="shared" si="17"/>
        <v>11</v>
      </c>
      <c r="F276">
        <v>2019</v>
      </c>
      <c r="G276" t="s">
        <v>1988</v>
      </c>
      <c r="H276">
        <v>0</v>
      </c>
      <c r="I276" s="65">
        <v>0</v>
      </c>
      <c r="J276" t="s">
        <v>1989</v>
      </c>
      <c r="K276" s="35" t="s">
        <v>683</v>
      </c>
      <c r="L276" s="35" t="s">
        <v>6679</v>
      </c>
      <c r="M276" s="39" t="str">
        <f>HYPERLINK("http://dx.doi.org/10.1016/j.yrtph.2019.05.025","10.1016/j.yrtph.2019.05.025")</f>
        <v>10.1016/j.yrtph.2019.05.025</v>
      </c>
      <c r="N276" s="40" t="s">
        <v>1990</v>
      </c>
      <c r="O276" s="40" t="s">
        <v>383</v>
      </c>
      <c r="P276" s="40" t="s">
        <v>1991</v>
      </c>
      <c r="Q276" t="s">
        <v>316</v>
      </c>
    </row>
    <row r="277" spans="1:17" x14ac:dyDescent="0.25">
      <c r="A277" s="2" t="str">
        <f>HYPERLINK("https://www.ncbi.nlm.nih.gov/pubmed/31151059","31151059")</f>
        <v>31151059</v>
      </c>
      <c r="B277">
        <f t="shared" si="18"/>
        <v>8</v>
      </c>
      <c r="C277">
        <f t="shared" si="18"/>
        <v>0</v>
      </c>
      <c r="D277">
        <f t="shared" si="18"/>
        <v>0</v>
      </c>
      <c r="E277">
        <f t="shared" si="17"/>
        <v>8</v>
      </c>
      <c r="F277">
        <v>2019</v>
      </c>
      <c r="G277" t="s">
        <v>1992</v>
      </c>
      <c r="H277">
        <v>0</v>
      </c>
      <c r="I277" s="65">
        <v>0</v>
      </c>
      <c r="J277" t="s">
        <v>1993</v>
      </c>
      <c r="K277" s="35" t="s">
        <v>707</v>
      </c>
      <c r="L277" s="35" t="s">
        <v>6680</v>
      </c>
      <c r="M277" s="39" t="str">
        <f>HYPERLINK("http://dx.doi.org/10.1016/j.envpol.2019.05.067","10.1016/j.envpol.2019.05.067")</f>
        <v>10.1016/j.envpol.2019.05.067</v>
      </c>
      <c r="N277" s="40" t="s">
        <v>1573</v>
      </c>
      <c r="O277" s="40" t="s">
        <v>709</v>
      </c>
      <c r="P277" s="40" t="s">
        <v>1994</v>
      </c>
      <c r="Q277" t="s">
        <v>316</v>
      </c>
    </row>
    <row r="278" spans="1:17" x14ac:dyDescent="0.25">
      <c r="A278" s="2" t="str">
        <f>HYPERLINK("https://www.ncbi.nlm.nih.gov/pubmed/31009319","31009319")</f>
        <v>31009319</v>
      </c>
      <c r="B278">
        <f t="shared" si="18"/>
        <v>8</v>
      </c>
      <c r="C278">
        <f t="shared" si="18"/>
        <v>0</v>
      </c>
      <c r="D278">
        <f t="shared" si="18"/>
        <v>0</v>
      </c>
      <c r="E278">
        <f t="shared" si="17"/>
        <v>8</v>
      </c>
      <c r="F278">
        <v>2019</v>
      </c>
      <c r="G278" t="s">
        <v>2050</v>
      </c>
      <c r="H278">
        <v>0</v>
      </c>
      <c r="I278" s="65">
        <v>0</v>
      </c>
      <c r="J278" t="s">
        <v>2052</v>
      </c>
      <c r="K278" s="35" t="s">
        <v>896</v>
      </c>
      <c r="L278" s="35" t="s">
        <v>2051</v>
      </c>
      <c r="M278" s="39" t="str">
        <f>HYPERLINK("http://dx.doi.org/10.1080/19440049.2019.1602885","10.1080/19440049.2019.1602885")</f>
        <v>10.1080/19440049.2019.1602885</v>
      </c>
      <c r="N278" s="40" t="s">
        <v>639</v>
      </c>
      <c r="O278" s="40" t="s">
        <v>741</v>
      </c>
      <c r="P278" s="40" t="s">
        <v>2053</v>
      </c>
      <c r="Q278" t="s">
        <v>316</v>
      </c>
    </row>
    <row r="279" spans="1:17" x14ac:dyDescent="0.25">
      <c r="A279" s="2" t="str">
        <f>HYPERLINK("https://www.ncbi.nlm.nih.gov/pubmed/30620249","30620249")</f>
        <v>30620249</v>
      </c>
      <c r="B279">
        <f t="shared" si="18"/>
        <v>8</v>
      </c>
      <c r="C279">
        <f t="shared" si="18"/>
        <v>0</v>
      </c>
      <c r="D279">
        <f t="shared" si="18"/>
        <v>0</v>
      </c>
      <c r="E279">
        <f t="shared" si="17"/>
        <v>8</v>
      </c>
      <c r="F279">
        <v>2019</v>
      </c>
      <c r="G279" t="s">
        <v>2190</v>
      </c>
      <c r="H279">
        <v>0</v>
      </c>
      <c r="I279" s="65">
        <v>0</v>
      </c>
      <c r="J279" t="s">
        <v>2191</v>
      </c>
      <c r="K279" s="35" t="s">
        <v>2192</v>
      </c>
      <c r="L279" s="35" t="s">
        <v>6709</v>
      </c>
      <c r="M279" s="39" t="str">
        <f>HYPERLINK("http://dx.doi.org/10.1089/vbz.2018.2339","10.1089/vbz.2018.2339")</f>
        <v>10.1089/vbz.2018.2339</v>
      </c>
      <c r="N279" s="40" t="s">
        <v>1115</v>
      </c>
      <c r="O279" s="40" t="s">
        <v>741</v>
      </c>
      <c r="P279" s="40" t="s">
        <v>2193</v>
      </c>
      <c r="Q279" t="s">
        <v>316</v>
      </c>
    </row>
    <row r="280" spans="1:17" x14ac:dyDescent="0.25">
      <c r="A280" s="2" t="str">
        <f>HYPERLINK("https://www.ncbi.nlm.nih.gov/pubmed/30269016","30269016")</f>
        <v>30269016</v>
      </c>
      <c r="B280">
        <f t="shared" si="18"/>
        <v>8</v>
      </c>
      <c r="C280">
        <f t="shared" si="18"/>
        <v>6</v>
      </c>
      <c r="D280">
        <f t="shared" si="18"/>
        <v>0</v>
      </c>
      <c r="E280">
        <f t="shared" si="17"/>
        <v>14</v>
      </c>
      <c r="F280">
        <v>2018</v>
      </c>
      <c r="G280" t="s">
        <v>2303</v>
      </c>
      <c r="H280">
        <v>0</v>
      </c>
      <c r="I280" s="65">
        <v>0</v>
      </c>
      <c r="J280" t="s">
        <v>2304</v>
      </c>
      <c r="K280" s="35" t="s">
        <v>714</v>
      </c>
      <c r="L280" s="35" t="s">
        <v>6727</v>
      </c>
      <c r="M280" s="39" t="str">
        <f>HYPERLINK("http://dx.doi.org/10.1016/j.ecoenv.2018.09.061","10.1016/j.ecoenv.2018.09.061")</f>
        <v>10.1016/j.ecoenv.2018.09.061</v>
      </c>
      <c r="N280" s="40" t="s">
        <v>2180</v>
      </c>
      <c r="O280" s="40" t="s">
        <v>383</v>
      </c>
      <c r="P280" s="40" t="s">
        <v>2305</v>
      </c>
      <c r="Q280" t="s">
        <v>316</v>
      </c>
    </row>
    <row r="281" spans="1:17" x14ac:dyDescent="0.25">
      <c r="A281" s="2" t="str">
        <f>HYPERLINK("https://www.ncbi.nlm.nih.gov/pubmed/30215082","30215082")</f>
        <v>30215082</v>
      </c>
      <c r="B281">
        <f t="shared" si="18"/>
        <v>8</v>
      </c>
      <c r="C281">
        <f t="shared" si="18"/>
        <v>0</v>
      </c>
      <c r="D281">
        <f t="shared" si="18"/>
        <v>0</v>
      </c>
      <c r="E281">
        <f t="shared" si="17"/>
        <v>8</v>
      </c>
      <c r="F281">
        <v>2018</v>
      </c>
      <c r="G281" t="s">
        <v>2318</v>
      </c>
      <c r="H281">
        <v>0</v>
      </c>
      <c r="I281" s="65">
        <v>0</v>
      </c>
      <c r="J281" t="s">
        <v>2320</v>
      </c>
      <c r="K281" s="35" t="s">
        <v>890</v>
      </c>
      <c r="L281" s="35" t="s">
        <v>2319</v>
      </c>
      <c r="M281" s="39" t="str">
        <f>HYPERLINK("http://dx.doi.org/10.1039/c8an00701b","10.1039/c8an00701b")</f>
        <v>10.1039/c8an00701b</v>
      </c>
      <c r="N281" s="40" t="s">
        <v>2321</v>
      </c>
      <c r="O281" s="40" t="s">
        <v>1109</v>
      </c>
      <c r="P281" s="40" t="s">
        <v>2322</v>
      </c>
      <c r="Q281" t="s">
        <v>316</v>
      </c>
    </row>
    <row r="282" spans="1:17" x14ac:dyDescent="0.25">
      <c r="A282" s="2" t="str">
        <f>HYPERLINK("https://www.ncbi.nlm.nih.gov/pubmed/30130558","30130558")</f>
        <v>30130558</v>
      </c>
      <c r="B282">
        <f t="shared" si="18"/>
        <v>8</v>
      </c>
      <c r="C282">
        <f t="shared" si="18"/>
        <v>0</v>
      </c>
      <c r="D282">
        <f t="shared" si="18"/>
        <v>0</v>
      </c>
      <c r="E282">
        <f t="shared" si="17"/>
        <v>8</v>
      </c>
      <c r="F282">
        <v>2018</v>
      </c>
      <c r="G282" t="s">
        <v>2349</v>
      </c>
      <c r="H282">
        <v>0</v>
      </c>
      <c r="I282" s="65">
        <v>0</v>
      </c>
      <c r="J282" t="s">
        <v>2350</v>
      </c>
      <c r="K282" s="35" t="s">
        <v>2351</v>
      </c>
      <c r="L282" s="35" t="s">
        <v>6732</v>
      </c>
      <c r="M282" s="39" t="str">
        <f>HYPERLINK("http://dx.doi.org/10.1016/j.tox.2018.08.008","10.1016/j.tox.2018.08.008")</f>
        <v>10.1016/j.tox.2018.08.008</v>
      </c>
      <c r="N282" s="40" t="s">
        <v>2352</v>
      </c>
      <c r="O282" s="40" t="s">
        <v>383</v>
      </c>
      <c r="P282" s="40" t="s">
        <v>2353</v>
      </c>
      <c r="Q282" t="s">
        <v>316</v>
      </c>
    </row>
    <row r="283" spans="1:17" x14ac:dyDescent="0.25">
      <c r="A283" s="2" t="str">
        <f>HYPERLINK("https://www.ncbi.nlm.nih.gov/pubmed/30064465","30064465")</f>
        <v>30064465</v>
      </c>
      <c r="B283">
        <f t="shared" si="18"/>
        <v>8</v>
      </c>
      <c r="C283">
        <f t="shared" si="18"/>
        <v>0</v>
      </c>
      <c r="D283">
        <f t="shared" si="18"/>
        <v>0</v>
      </c>
      <c r="E283">
        <f t="shared" si="17"/>
        <v>8</v>
      </c>
      <c r="F283">
        <v>2018</v>
      </c>
      <c r="G283" t="s">
        <v>2377</v>
      </c>
      <c r="H283">
        <v>0</v>
      </c>
      <c r="I283" s="64" t="str">
        <f>HYPERLINK("https://www.ncbi.nlm.nih.gov/research/pubtator/?view=docsum&amp;query=PMC6069974","1")</f>
        <v>1</v>
      </c>
      <c r="J283" t="s">
        <v>2378</v>
      </c>
      <c r="K283" s="35" t="s">
        <v>870</v>
      </c>
      <c r="L283" s="35" t="s">
        <v>6737</v>
      </c>
      <c r="M283" s="39" t="str">
        <f>HYPERLINK("http://dx.doi.org/10.1186/s13071-018-3020-4","10.1186/s13071-018-3020-4")</f>
        <v>10.1186/s13071-018-3020-4</v>
      </c>
      <c r="N283" s="40" t="s">
        <v>678</v>
      </c>
      <c r="O283" s="40" t="s">
        <v>638</v>
      </c>
      <c r="P283" s="40" t="s">
        <v>2379</v>
      </c>
      <c r="Q283" t="s">
        <v>316</v>
      </c>
    </row>
    <row r="284" spans="1:17" x14ac:dyDescent="0.25">
      <c r="A284" s="2" t="str">
        <f>HYPERLINK("https://www.ncbi.nlm.nih.gov/pubmed/30001744","30001744")</f>
        <v>30001744</v>
      </c>
      <c r="B284">
        <f t="shared" ref="B284:D303" si="19">IF(ISBLANK(B$3),0,(LEN($L284) - LEN(SUBSTITUTE(LOWER($L284),LOWER(B$3),"")))/LEN(B$3))</f>
        <v>8</v>
      </c>
      <c r="C284">
        <f t="shared" si="19"/>
        <v>1</v>
      </c>
      <c r="D284">
        <f t="shared" si="19"/>
        <v>0</v>
      </c>
      <c r="E284">
        <f t="shared" si="17"/>
        <v>9</v>
      </c>
      <c r="F284">
        <v>2018</v>
      </c>
      <c r="G284" t="s">
        <v>2402</v>
      </c>
      <c r="H284">
        <v>0</v>
      </c>
      <c r="I284" s="64" t="str">
        <f>HYPERLINK("https://www.ncbi.nlm.nih.gov/research/pubtator/?view=docsum&amp;query=PMC6044040","1")</f>
        <v>1</v>
      </c>
      <c r="J284" t="s">
        <v>2400</v>
      </c>
      <c r="K284" s="35" t="s">
        <v>870</v>
      </c>
      <c r="L284" s="35" t="s">
        <v>6744</v>
      </c>
      <c r="M284" s="39" t="str">
        <f>HYPERLINK("http://dx.doi.org/10.1186/s13071-018-2971-9","10.1186/s13071-018-2971-9")</f>
        <v>10.1186/s13071-018-2971-9</v>
      </c>
      <c r="N284" s="40" t="s">
        <v>678</v>
      </c>
      <c r="O284" s="40" t="s">
        <v>638</v>
      </c>
      <c r="P284" s="40" t="s">
        <v>2352</v>
      </c>
      <c r="Q284" t="s">
        <v>316</v>
      </c>
    </row>
    <row r="285" spans="1:17" x14ac:dyDescent="0.25">
      <c r="A285" s="2" t="str">
        <f>HYPERLINK("https://www.ncbi.nlm.nih.gov/pubmed/29597301","29597301")</f>
        <v>29597301</v>
      </c>
      <c r="B285">
        <f t="shared" si="19"/>
        <v>8</v>
      </c>
      <c r="C285">
        <f t="shared" si="19"/>
        <v>0</v>
      </c>
      <c r="D285">
        <f t="shared" si="19"/>
        <v>0</v>
      </c>
      <c r="E285">
        <f t="shared" si="17"/>
        <v>8</v>
      </c>
      <c r="F285">
        <v>2018</v>
      </c>
      <c r="G285" t="s">
        <v>2513</v>
      </c>
      <c r="H285">
        <v>0</v>
      </c>
      <c r="I285" s="64" t="str">
        <f>HYPERLINK("https://www.ncbi.nlm.nih.gov/research/pubtator/?view=docsum&amp;query=PMC6017586","1")</f>
        <v>1</v>
      </c>
      <c r="J285" t="s">
        <v>2515</v>
      </c>
      <c r="K285" s="35" t="s">
        <v>736</v>
      </c>
      <c r="L285" s="35" t="s">
        <v>2514</v>
      </c>
      <c r="M285" s="39" t="str">
        <f>HYPERLINK("http://dx.doi.org/10.3390/molecules23040778","10.3390/molecules23040778")</f>
        <v>10.3390/molecules23040778</v>
      </c>
      <c r="N285" s="40" t="s">
        <v>737</v>
      </c>
      <c r="O285" s="40" t="s">
        <v>690</v>
      </c>
      <c r="P285" s="40" t="s">
        <v>383</v>
      </c>
      <c r="Q285" t="s">
        <v>316</v>
      </c>
    </row>
    <row r="286" spans="1:17" x14ac:dyDescent="0.25">
      <c r="A286" s="2" t="str">
        <f>HYPERLINK("https://www.ncbi.nlm.nih.gov/pubmed/29372769","29372769")</f>
        <v>29372769</v>
      </c>
      <c r="B286">
        <f t="shared" si="19"/>
        <v>8</v>
      </c>
      <c r="C286">
        <f t="shared" si="19"/>
        <v>0</v>
      </c>
      <c r="D286">
        <f t="shared" si="19"/>
        <v>0</v>
      </c>
      <c r="E286">
        <f t="shared" si="17"/>
        <v>8</v>
      </c>
      <c r="F286">
        <v>2017</v>
      </c>
      <c r="G286" t="s">
        <v>2567</v>
      </c>
      <c r="H286">
        <v>0</v>
      </c>
      <c r="I286" s="65">
        <v>0</v>
      </c>
      <c r="J286" t="s">
        <v>2569</v>
      </c>
      <c r="K286" s="35" t="s">
        <v>851</v>
      </c>
      <c r="L286" s="35" t="s">
        <v>2568</v>
      </c>
      <c r="M286" s="39" t="str">
        <f>HYPERLINK("http://dx.doi.org/10.3724/SP.J.1123.2017.08018","10.3724/SP.J.1123.2017.08018")</f>
        <v>10.3724/SP.J.1123.2017.08018</v>
      </c>
      <c r="N286" s="40" t="s">
        <v>2274</v>
      </c>
      <c r="O286" s="40" t="s">
        <v>915</v>
      </c>
      <c r="P286" s="40" t="s">
        <v>2570</v>
      </c>
      <c r="Q286" t="s">
        <v>316</v>
      </c>
    </row>
    <row r="287" spans="1:17" x14ac:dyDescent="0.25">
      <c r="A287" s="2" t="str">
        <f>HYPERLINK("https://www.ncbi.nlm.nih.gov/pubmed/29089065","29089065")</f>
        <v>29089065</v>
      </c>
      <c r="B287">
        <f t="shared" si="19"/>
        <v>8</v>
      </c>
      <c r="C287">
        <f t="shared" si="19"/>
        <v>1</v>
      </c>
      <c r="D287">
        <f t="shared" si="19"/>
        <v>0</v>
      </c>
      <c r="E287">
        <f t="shared" si="17"/>
        <v>9</v>
      </c>
      <c r="F287">
        <v>2017</v>
      </c>
      <c r="G287" t="s">
        <v>2642</v>
      </c>
      <c r="H287">
        <v>0</v>
      </c>
      <c r="I287" s="64" t="str">
        <f>HYPERLINK("https://www.ncbi.nlm.nih.gov/research/pubtator/?view=docsum&amp;query=PMC5664837","1")</f>
        <v>1</v>
      </c>
      <c r="J287" t="s">
        <v>2643</v>
      </c>
      <c r="K287" s="35" t="s">
        <v>870</v>
      </c>
      <c r="L287" s="35" t="s">
        <v>6781</v>
      </c>
      <c r="M287" s="39" t="str">
        <f>HYPERLINK("http://dx.doi.org/10.1186/s13071-017-2479-8","10.1186/s13071-017-2479-8")</f>
        <v>10.1186/s13071-017-2479-8</v>
      </c>
      <c r="N287" s="40" t="s">
        <v>802</v>
      </c>
      <c r="O287" s="40" t="s">
        <v>638</v>
      </c>
      <c r="P287" s="40" t="s">
        <v>2644</v>
      </c>
      <c r="Q287" t="s">
        <v>316</v>
      </c>
    </row>
    <row r="288" spans="1:17" x14ac:dyDescent="0.25">
      <c r="A288" s="2" t="str">
        <f>HYPERLINK("https://www.ncbi.nlm.nih.gov/pubmed/29040708","29040708")</f>
        <v>29040708</v>
      </c>
      <c r="B288">
        <f t="shared" si="19"/>
        <v>8</v>
      </c>
      <c r="C288">
        <f t="shared" si="19"/>
        <v>0</v>
      </c>
      <c r="D288">
        <f t="shared" si="19"/>
        <v>0</v>
      </c>
      <c r="E288">
        <f t="shared" si="17"/>
        <v>8</v>
      </c>
      <c r="F288">
        <v>2017</v>
      </c>
      <c r="G288" t="s">
        <v>2651</v>
      </c>
      <c r="H288">
        <v>0</v>
      </c>
      <c r="I288" s="65">
        <v>0</v>
      </c>
      <c r="J288" t="s">
        <v>2652</v>
      </c>
      <c r="K288" s="35" t="s">
        <v>909</v>
      </c>
      <c r="L288" s="35" t="s">
        <v>6785</v>
      </c>
      <c r="M288" s="39" t="str">
        <f>HYPERLINK("http://dx.doi.org/10.1093/jee/tox249","10.1093/jee/tox249")</f>
        <v>10.1093/jee/tox249</v>
      </c>
      <c r="N288" s="40" t="s">
        <v>766</v>
      </c>
      <c r="O288" s="40" t="s">
        <v>741</v>
      </c>
      <c r="P288" s="40" t="s">
        <v>2653</v>
      </c>
      <c r="Q288" t="s">
        <v>316</v>
      </c>
    </row>
    <row r="289" spans="1:17" x14ac:dyDescent="0.25">
      <c r="A289" s="2" t="str">
        <f>HYPERLINK("https://www.ncbi.nlm.nih.gov/pubmed/28959659","28959659")</f>
        <v>28959659</v>
      </c>
      <c r="B289">
        <f t="shared" si="19"/>
        <v>8</v>
      </c>
      <c r="C289">
        <f t="shared" si="19"/>
        <v>3</v>
      </c>
      <c r="D289">
        <f t="shared" si="19"/>
        <v>0</v>
      </c>
      <c r="E289">
        <f t="shared" si="17"/>
        <v>11</v>
      </c>
      <c r="F289">
        <v>2017</v>
      </c>
      <c r="G289" t="s">
        <v>2673</v>
      </c>
      <c r="H289">
        <v>0</v>
      </c>
      <c r="I289" s="64" t="str">
        <f>HYPERLINK("https://www.ncbi.nlm.nih.gov/research/pubtator/?view=docsum&amp;query=PMC5615146","1")</f>
        <v>1</v>
      </c>
      <c r="J289" t="s">
        <v>2451</v>
      </c>
      <c r="K289" s="35" t="s">
        <v>2448</v>
      </c>
      <c r="L289" s="35" t="s">
        <v>6791</v>
      </c>
      <c r="M289" s="39" t="str">
        <f>HYPERLINK("http://dx.doi.org/10.1016/j.toxrep.2017.06.010","10.1016/j.toxrep.2017.06.010")</f>
        <v>10.1016/j.toxrep.2017.06.010</v>
      </c>
      <c r="N289" s="40" t="s">
        <v>690</v>
      </c>
      <c r="O289" s="40" t="s">
        <v>383</v>
      </c>
      <c r="P289" s="40" t="s">
        <v>2674</v>
      </c>
      <c r="Q289" t="s">
        <v>316</v>
      </c>
    </row>
    <row r="290" spans="1:17" x14ac:dyDescent="0.25">
      <c r="A290" s="2" t="str">
        <f>HYPERLINK("https://www.ncbi.nlm.nih.gov/pubmed/28932909","28932909")</f>
        <v>28932909</v>
      </c>
      <c r="B290">
        <f t="shared" si="19"/>
        <v>8</v>
      </c>
      <c r="C290">
        <f t="shared" si="19"/>
        <v>0</v>
      </c>
      <c r="D290">
        <f t="shared" si="19"/>
        <v>0</v>
      </c>
      <c r="E290">
        <f t="shared" si="17"/>
        <v>8</v>
      </c>
      <c r="F290">
        <v>2017</v>
      </c>
      <c r="G290" t="s">
        <v>2678</v>
      </c>
      <c r="H290">
        <v>0</v>
      </c>
      <c r="I290" s="64" t="str">
        <f>HYPERLINK("https://www.ncbi.nlm.nih.gov/research/pubtator/?view=docsum&amp;query=PMC5660144","1")</f>
        <v>1</v>
      </c>
      <c r="J290" t="s">
        <v>2680</v>
      </c>
      <c r="K290" s="35" t="s">
        <v>1210</v>
      </c>
      <c r="L290" s="35" t="s">
        <v>2679</v>
      </c>
      <c r="M290" s="39" t="str">
        <f>HYPERLINK("http://dx.doi.org/10.1007/s00436-017-5599-3","10.1007/s00436-017-5599-3")</f>
        <v>10.1007/s00436-017-5599-3</v>
      </c>
      <c r="N290" s="40" t="s">
        <v>1948</v>
      </c>
      <c r="O290" s="40" t="s">
        <v>678</v>
      </c>
      <c r="P290" s="40" t="s">
        <v>2681</v>
      </c>
      <c r="Q290" t="s">
        <v>316</v>
      </c>
    </row>
    <row r="291" spans="1:17" x14ac:dyDescent="0.25">
      <c r="A291" s="2" t="str">
        <f>HYPERLINK("https://www.ncbi.nlm.nih.gov/pubmed/28527785","28527785")</f>
        <v>28527785</v>
      </c>
      <c r="B291">
        <f t="shared" si="19"/>
        <v>8</v>
      </c>
      <c r="C291">
        <f t="shared" si="19"/>
        <v>6</v>
      </c>
      <c r="D291">
        <f t="shared" si="19"/>
        <v>0</v>
      </c>
      <c r="E291">
        <f t="shared" si="17"/>
        <v>14</v>
      </c>
      <c r="F291">
        <v>2017</v>
      </c>
      <c r="G291" t="s">
        <v>2793</v>
      </c>
      <c r="H291">
        <v>0</v>
      </c>
      <c r="I291" s="65">
        <v>0</v>
      </c>
      <c r="J291" t="s">
        <v>2794</v>
      </c>
      <c r="K291" s="35" t="s">
        <v>2795</v>
      </c>
      <c r="L291" s="35" t="s">
        <v>6812</v>
      </c>
      <c r="M291" s="39" t="str">
        <f>HYPERLINK("http://dx.doi.org/10.1016/j.parint.2017.05.005","10.1016/j.parint.2017.05.005")</f>
        <v>10.1016/j.parint.2017.05.005</v>
      </c>
      <c r="N291" s="40" t="s">
        <v>2424</v>
      </c>
      <c r="O291" s="40" t="s">
        <v>746</v>
      </c>
      <c r="P291" s="40" t="s">
        <v>2796</v>
      </c>
      <c r="Q291" t="s">
        <v>316</v>
      </c>
    </row>
    <row r="292" spans="1:17" x14ac:dyDescent="0.25">
      <c r="A292" s="2" t="str">
        <f>HYPERLINK("https://www.ncbi.nlm.nih.gov/pubmed/27808432","27808432")</f>
        <v>27808432</v>
      </c>
      <c r="B292">
        <f t="shared" si="19"/>
        <v>8</v>
      </c>
      <c r="C292">
        <f t="shared" si="19"/>
        <v>0</v>
      </c>
      <c r="D292">
        <f t="shared" si="19"/>
        <v>0</v>
      </c>
      <c r="E292">
        <f t="shared" si="17"/>
        <v>8</v>
      </c>
      <c r="F292">
        <v>2017</v>
      </c>
      <c r="G292" t="s">
        <v>2947</v>
      </c>
      <c r="H292">
        <v>0</v>
      </c>
      <c r="I292" s="65">
        <v>0</v>
      </c>
      <c r="J292" t="s">
        <v>2948</v>
      </c>
      <c r="K292" s="35" t="s">
        <v>755</v>
      </c>
      <c r="L292" s="35" t="s">
        <v>6842</v>
      </c>
      <c r="M292" s="39" t="str">
        <f>HYPERLINK("http://dx.doi.org/10.1002/etc.3673","10.1002/etc.3673")</f>
        <v>10.1002/etc.3673</v>
      </c>
      <c r="N292" s="40" t="s">
        <v>639</v>
      </c>
      <c r="O292" s="40" t="s">
        <v>741</v>
      </c>
      <c r="P292" s="40" t="s">
        <v>2949</v>
      </c>
      <c r="Q292" t="s">
        <v>316</v>
      </c>
    </row>
    <row r="293" spans="1:17" x14ac:dyDescent="0.25">
      <c r="A293" s="2" t="str">
        <f>HYPERLINK("https://www.ncbi.nlm.nih.gov/pubmed/27710886","27710886")</f>
        <v>27710886</v>
      </c>
      <c r="B293">
        <f t="shared" si="19"/>
        <v>8</v>
      </c>
      <c r="C293">
        <f t="shared" si="19"/>
        <v>0</v>
      </c>
      <c r="D293">
        <f t="shared" si="19"/>
        <v>0</v>
      </c>
      <c r="E293">
        <f t="shared" si="17"/>
        <v>8</v>
      </c>
      <c r="F293">
        <v>2017</v>
      </c>
      <c r="G293" t="s">
        <v>2993</v>
      </c>
      <c r="H293">
        <v>0</v>
      </c>
      <c r="I293" s="64" t="str">
        <f>HYPERLINK("https://www.ncbi.nlm.nih.gov/research/pubtator/?view=docsum&amp;query=PMC5560107","1")</f>
        <v>1</v>
      </c>
      <c r="J293" t="s">
        <v>2994</v>
      </c>
      <c r="K293" s="35" t="s">
        <v>822</v>
      </c>
      <c r="L293" s="35" t="s">
        <v>6850</v>
      </c>
      <c r="M293" s="39" t="str">
        <f>HYPERLINK("http://dx.doi.org/10.1016/j.chemosphere.2016.09.069","10.1016/j.chemosphere.2016.09.069")</f>
        <v>10.1016/j.chemosphere.2016.09.069</v>
      </c>
      <c r="N293" s="40" t="s">
        <v>2180</v>
      </c>
      <c r="O293" s="40" t="s">
        <v>383</v>
      </c>
      <c r="P293" s="40" t="s">
        <v>2995</v>
      </c>
      <c r="Q293" t="s">
        <v>316</v>
      </c>
    </row>
    <row r="294" spans="1:17" x14ac:dyDescent="0.25">
      <c r="A294" s="2" t="str">
        <f>HYPERLINK("https://www.ncbi.nlm.nih.gov/pubmed/27280701","27280701")</f>
        <v>27280701</v>
      </c>
      <c r="B294">
        <f t="shared" si="19"/>
        <v>8</v>
      </c>
      <c r="C294">
        <f t="shared" si="19"/>
        <v>0</v>
      </c>
      <c r="D294">
        <f t="shared" si="19"/>
        <v>0</v>
      </c>
      <c r="E294">
        <f t="shared" si="17"/>
        <v>8</v>
      </c>
      <c r="F294">
        <v>2016</v>
      </c>
      <c r="G294" t="s">
        <v>3091</v>
      </c>
      <c r="H294">
        <v>0</v>
      </c>
      <c r="I294" s="65">
        <v>0</v>
      </c>
      <c r="J294" t="s">
        <v>3093</v>
      </c>
      <c r="K294" s="35" t="s">
        <v>2574</v>
      </c>
      <c r="L294" s="35" t="s">
        <v>3092</v>
      </c>
      <c r="M294" s="39" t="str">
        <f>HYPERLINK("http://dx.doi.org/10.1002/jssc.201501250","10.1002/jssc.201501250")</f>
        <v>10.1002/jssc.201501250</v>
      </c>
      <c r="N294" s="40" t="s">
        <v>852</v>
      </c>
      <c r="O294" s="40" t="s">
        <v>678</v>
      </c>
      <c r="P294" s="40" t="s">
        <v>3094</v>
      </c>
      <c r="Q294" t="s">
        <v>316</v>
      </c>
    </row>
    <row r="295" spans="1:17" x14ac:dyDescent="0.25">
      <c r="A295" s="2" t="str">
        <f>HYPERLINK("https://www.ncbi.nlm.nih.gov/pubmed/27267425","27267425")</f>
        <v>27267425</v>
      </c>
      <c r="B295">
        <f t="shared" si="19"/>
        <v>8</v>
      </c>
      <c r="C295">
        <f t="shared" si="19"/>
        <v>0</v>
      </c>
      <c r="D295">
        <f t="shared" si="19"/>
        <v>0</v>
      </c>
      <c r="E295">
        <f t="shared" si="17"/>
        <v>8</v>
      </c>
      <c r="F295">
        <v>2016</v>
      </c>
      <c r="G295" t="s">
        <v>3095</v>
      </c>
      <c r="H295">
        <v>0</v>
      </c>
      <c r="I295" s="65">
        <v>0</v>
      </c>
      <c r="J295" t="s">
        <v>3096</v>
      </c>
      <c r="K295" s="35" t="s">
        <v>1530</v>
      </c>
      <c r="L295" s="35" t="s">
        <v>6861</v>
      </c>
      <c r="M295" s="39" t="str">
        <f>HYPERLINK("http://dx.doi.org/10.1016/j.etap.2016.05.019","10.1016/j.etap.2016.05.019")</f>
        <v>10.1016/j.etap.2016.05.019</v>
      </c>
      <c r="N295" s="40" t="s">
        <v>765</v>
      </c>
      <c r="O295" s="40" t="s">
        <v>383</v>
      </c>
      <c r="P295" s="40" t="s">
        <v>3097</v>
      </c>
      <c r="Q295" t="s">
        <v>316</v>
      </c>
    </row>
    <row r="296" spans="1:17" x14ac:dyDescent="0.25">
      <c r="A296" s="2" t="str">
        <f>HYPERLINK("https://www.ncbi.nlm.nih.gov/pubmed/27126439","27126439")</f>
        <v>27126439</v>
      </c>
      <c r="B296">
        <f t="shared" si="19"/>
        <v>8</v>
      </c>
      <c r="C296">
        <f t="shared" si="19"/>
        <v>0</v>
      </c>
      <c r="D296">
        <f t="shared" si="19"/>
        <v>0</v>
      </c>
      <c r="E296">
        <f t="shared" si="17"/>
        <v>8</v>
      </c>
      <c r="F296">
        <v>2016</v>
      </c>
      <c r="G296" t="s">
        <v>3137</v>
      </c>
      <c r="H296">
        <v>0</v>
      </c>
      <c r="I296" s="65">
        <v>0</v>
      </c>
      <c r="J296" t="s">
        <v>3139</v>
      </c>
      <c r="K296" s="35" t="s">
        <v>1013</v>
      </c>
      <c r="L296" s="35" t="s">
        <v>3138</v>
      </c>
      <c r="M296" s="39" t="str">
        <f>HYPERLINK("http://dx.doi.org/10.1007/s10661-016-5304-5","10.1007/s10661-016-5304-5")</f>
        <v>10.1007/s10661-016-5304-5</v>
      </c>
      <c r="N296" s="40" t="s">
        <v>1290</v>
      </c>
      <c r="O296" s="40" t="s">
        <v>746</v>
      </c>
      <c r="P296" s="40" t="s">
        <v>3140</v>
      </c>
      <c r="Q296" t="s">
        <v>316</v>
      </c>
    </row>
    <row r="297" spans="1:17" x14ac:dyDescent="0.25">
      <c r="A297" s="2" t="str">
        <f>HYPERLINK("https://www.ncbi.nlm.nih.gov/pubmed/27103584","27103584")</f>
        <v>27103584</v>
      </c>
      <c r="B297">
        <f t="shared" si="19"/>
        <v>8</v>
      </c>
      <c r="C297">
        <f t="shared" si="19"/>
        <v>0</v>
      </c>
      <c r="D297">
        <f t="shared" si="19"/>
        <v>0</v>
      </c>
      <c r="E297">
        <f t="shared" si="17"/>
        <v>8</v>
      </c>
      <c r="F297">
        <v>2016</v>
      </c>
      <c r="G297" t="s">
        <v>3149</v>
      </c>
      <c r="H297">
        <v>0</v>
      </c>
      <c r="I297" s="65">
        <v>0</v>
      </c>
      <c r="J297" t="s">
        <v>3150</v>
      </c>
      <c r="K297" s="35" t="s">
        <v>695</v>
      </c>
      <c r="L297" s="35" t="s">
        <v>6872</v>
      </c>
      <c r="M297" s="39" t="str">
        <f>HYPERLINK("http://dx.doi.org/10.1016/j.fct.2016.04.011","10.1016/j.fct.2016.04.011")</f>
        <v>10.1016/j.fct.2016.04.011</v>
      </c>
      <c r="N297" s="40" t="s">
        <v>2825</v>
      </c>
      <c r="O297" s="40" t="s">
        <v>383</v>
      </c>
      <c r="P297" s="40" t="s">
        <v>3151</v>
      </c>
      <c r="Q297" t="s">
        <v>316</v>
      </c>
    </row>
    <row r="298" spans="1:17" x14ac:dyDescent="0.25">
      <c r="A298" s="2" t="str">
        <f>HYPERLINK("https://www.ncbi.nlm.nih.gov/pubmed/27017400","27017400")</f>
        <v>27017400</v>
      </c>
      <c r="B298">
        <f t="shared" si="19"/>
        <v>8</v>
      </c>
      <c r="C298">
        <f t="shared" si="19"/>
        <v>0</v>
      </c>
      <c r="D298">
        <f t="shared" si="19"/>
        <v>0</v>
      </c>
      <c r="E298">
        <f t="shared" si="17"/>
        <v>8</v>
      </c>
      <c r="F298">
        <v>2016</v>
      </c>
      <c r="G298" t="s">
        <v>3186</v>
      </c>
      <c r="H298">
        <v>0</v>
      </c>
      <c r="I298" s="65">
        <v>0</v>
      </c>
      <c r="J298" t="s">
        <v>3188</v>
      </c>
      <c r="K298" s="35" t="s">
        <v>768</v>
      </c>
      <c r="L298" s="35" t="s">
        <v>3187</v>
      </c>
      <c r="M298" s="39" t="str">
        <f>HYPERLINK("http://dx.doi.org/10.1016/j.jhazmat.2016.03.053","10.1016/j.jhazmat.2016.03.053")</f>
        <v>10.1016/j.jhazmat.2016.03.053</v>
      </c>
      <c r="N298" s="40" t="s">
        <v>3181</v>
      </c>
      <c r="O298" s="40" t="s">
        <v>383</v>
      </c>
      <c r="P298" s="40" t="s">
        <v>3189</v>
      </c>
      <c r="Q298" t="s">
        <v>316</v>
      </c>
    </row>
    <row r="299" spans="1:17" x14ac:dyDescent="0.25">
      <c r="A299" s="2" t="str">
        <f>HYPERLINK("https://www.ncbi.nlm.nih.gov/pubmed/26409903","26409903")</f>
        <v>26409903</v>
      </c>
      <c r="B299">
        <f t="shared" si="19"/>
        <v>8</v>
      </c>
      <c r="C299">
        <f t="shared" si="19"/>
        <v>1</v>
      </c>
      <c r="D299">
        <f t="shared" si="19"/>
        <v>0</v>
      </c>
      <c r="E299">
        <f t="shared" si="17"/>
        <v>9</v>
      </c>
      <c r="F299">
        <v>2015</v>
      </c>
      <c r="G299" t="s">
        <v>3385</v>
      </c>
      <c r="H299">
        <v>0</v>
      </c>
      <c r="I299" s="65">
        <v>0</v>
      </c>
      <c r="J299" t="s">
        <v>3387</v>
      </c>
      <c r="K299" s="35" t="s">
        <v>701</v>
      </c>
      <c r="L299" s="35" t="s">
        <v>3386</v>
      </c>
      <c r="M299" s="39" t="str">
        <f>HYPERLINK("http://dx.doi.org/10.1016/j.ntt.2015.09.007","10.1016/j.ntt.2015.09.007")</f>
        <v>10.1016/j.ntt.2015.09.007</v>
      </c>
      <c r="N299" s="40" t="s">
        <v>756</v>
      </c>
      <c r="O299" s="40" t="s">
        <v>709</v>
      </c>
      <c r="P299" s="40" t="s">
        <v>3388</v>
      </c>
      <c r="Q299" t="s">
        <v>316</v>
      </c>
    </row>
    <row r="300" spans="1:17" x14ac:dyDescent="0.25">
      <c r="A300" s="2" t="str">
        <f>HYPERLINK("https://www.ncbi.nlm.nih.gov/pubmed/26334817","26334817")</f>
        <v>26334817</v>
      </c>
      <c r="B300">
        <f t="shared" si="19"/>
        <v>8</v>
      </c>
      <c r="C300">
        <f t="shared" si="19"/>
        <v>0</v>
      </c>
      <c r="D300">
        <f t="shared" si="19"/>
        <v>0</v>
      </c>
      <c r="E300">
        <f t="shared" si="17"/>
        <v>8</v>
      </c>
      <c r="F300">
        <v>2015</v>
      </c>
      <c r="G300" t="s">
        <v>3401</v>
      </c>
      <c r="H300">
        <v>0</v>
      </c>
      <c r="I300" s="65">
        <v>0</v>
      </c>
      <c r="J300" t="s">
        <v>3403</v>
      </c>
      <c r="K300" s="35" t="s">
        <v>1027</v>
      </c>
      <c r="L300" s="35" t="s">
        <v>3402</v>
      </c>
      <c r="M300" s="39" t="str">
        <f>HYPERLINK("http://dx.doi.org/10.1093/jme/tjv005","10.1093/jme/tjv005")</f>
        <v>10.1093/jme/tjv005</v>
      </c>
      <c r="N300" s="40" t="s">
        <v>756</v>
      </c>
      <c r="O300" s="40" t="s">
        <v>750</v>
      </c>
      <c r="P300" s="40" t="s">
        <v>3404</v>
      </c>
      <c r="Q300" t="s">
        <v>316</v>
      </c>
    </row>
    <row r="301" spans="1:17" x14ac:dyDescent="0.25">
      <c r="A301" s="2" t="str">
        <f>HYPERLINK("https://www.ncbi.nlm.nih.gov/pubmed/25956145","25956145")</f>
        <v>25956145</v>
      </c>
      <c r="B301">
        <f t="shared" si="19"/>
        <v>8</v>
      </c>
      <c r="C301">
        <f t="shared" si="19"/>
        <v>0</v>
      </c>
      <c r="D301">
        <f t="shared" si="19"/>
        <v>0</v>
      </c>
      <c r="E301">
        <f t="shared" si="17"/>
        <v>8</v>
      </c>
      <c r="F301">
        <v>2015</v>
      </c>
      <c r="G301" t="s">
        <v>3497</v>
      </c>
      <c r="H301">
        <v>0</v>
      </c>
      <c r="I301" s="65">
        <v>0</v>
      </c>
      <c r="J301" t="s">
        <v>3498</v>
      </c>
      <c r="K301" s="35" t="s">
        <v>670</v>
      </c>
      <c r="L301" s="35" t="s">
        <v>6923</v>
      </c>
      <c r="M301" s="39" t="str">
        <f>HYPERLINK("http://dx.doi.org/10.1016/j.scitotenv.2015.04.095","10.1016/j.scitotenv.2015.04.095")</f>
        <v>10.1016/j.scitotenv.2015.04.095</v>
      </c>
      <c r="N301" s="40" t="s">
        <v>3499</v>
      </c>
      <c r="O301" s="40" t="s">
        <v>383</v>
      </c>
      <c r="P301" s="40" t="s">
        <v>3500</v>
      </c>
      <c r="Q301" t="s">
        <v>316</v>
      </c>
    </row>
    <row r="302" spans="1:17" x14ac:dyDescent="0.25">
      <c r="A302" s="2" t="str">
        <f>HYPERLINK("https://www.ncbi.nlm.nih.gov/pubmed/25664639","25664639")</f>
        <v>25664639</v>
      </c>
      <c r="B302">
        <f t="shared" si="19"/>
        <v>8</v>
      </c>
      <c r="C302">
        <f t="shared" si="19"/>
        <v>3</v>
      </c>
      <c r="D302">
        <f t="shared" si="19"/>
        <v>0</v>
      </c>
      <c r="E302">
        <f t="shared" si="17"/>
        <v>11</v>
      </c>
      <c r="F302">
        <v>2015</v>
      </c>
      <c r="G302" t="s">
        <v>3610</v>
      </c>
      <c r="H302">
        <v>0</v>
      </c>
      <c r="I302" s="65">
        <v>0</v>
      </c>
      <c r="J302" t="s">
        <v>3612</v>
      </c>
      <c r="K302" s="35" t="s">
        <v>770</v>
      </c>
      <c r="L302" s="35" t="s">
        <v>3611</v>
      </c>
      <c r="M302" s="39" t="str">
        <f>HYPERLINK("http://dx.doi.org/10.1021/jf5054589","10.1021/jf5054589")</f>
        <v>10.1021/jf5054589</v>
      </c>
      <c r="N302" s="40" t="s">
        <v>3613</v>
      </c>
      <c r="O302" s="40" t="s">
        <v>659</v>
      </c>
      <c r="P302" s="40" t="s">
        <v>3614</v>
      </c>
      <c r="Q302" t="s">
        <v>316</v>
      </c>
    </row>
    <row r="303" spans="1:17" x14ac:dyDescent="0.25">
      <c r="A303" s="2" t="str">
        <f>HYPERLINK("https://www.ncbi.nlm.nih.gov/pubmed/25601908","25601908")</f>
        <v>25601908</v>
      </c>
      <c r="B303">
        <f t="shared" si="19"/>
        <v>8</v>
      </c>
      <c r="C303">
        <f t="shared" si="19"/>
        <v>0</v>
      </c>
      <c r="D303">
        <f t="shared" si="19"/>
        <v>0</v>
      </c>
      <c r="E303">
        <f t="shared" si="17"/>
        <v>8</v>
      </c>
      <c r="F303">
        <v>2016</v>
      </c>
      <c r="G303" t="s">
        <v>3649</v>
      </c>
      <c r="H303">
        <v>0</v>
      </c>
      <c r="I303" s="65">
        <v>0</v>
      </c>
      <c r="J303" t="s">
        <v>3651</v>
      </c>
      <c r="K303" s="35" t="s">
        <v>3652</v>
      </c>
      <c r="L303" s="35" t="s">
        <v>3650</v>
      </c>
      <c r="M303" s="39" t="str">
        <f>HYPERLINK("http://dx.doi.org/10.1177/0748233714564416","10.1177/0748233714564416")</f>
        <v>10.1177/0748233714564416</v>
      </c>
      <c r="N303" s="40" t="s">
        <v>1018</v>
      </c>
      <c r="O303" s="40" t="s">
        <v>781</v>
      </c>
      <c r="P303" s="40" t="s">
        <v>3653</v>
      </c>
      <c r="Q303" t="s">
        <v>316</v>
      </c>
    </row>
    <row r="304" spans="1:17" x14ac:dyDescent="0.25">
      <c r="A304" s="2" t="str">
        <f>HYPERLINK("https://www.ncbi.nlm.nih.gov/pubmed/25260064","25260064")</f>
        <v>25260064</v>
      </c>
      <c r="B304">
        <f t="shared" ref="B304:D323" si="20">IF(ISBLANK(B$3),0,(LEN($L304) - LEN(SUBSTITUTE(LOWER($L304),LOWER(B$3),"")))/LEN(B$3))</f>
        <v>8</v>
      </c>
      <c r="C304">
        <f t="shared" si="20"/>
        <v>0</v>
      </c>
      <c r="D304">
        <f t="shared" si="20"/>
        <v>0</v>
      </c>
      <c r="E304">
        <f t="shared" si="17"/>
        <v>8</v>
      </c>
      <c r="F304">
        <v>2014</v>
      </c>
      <c r="G304" t="s">
        <v>3733</v>
      </c>
      <c r="H304">
        <v>0</v>
      </c>
      <c r="I304" s="65">
        <v>0</v>
      </c>
      <c r="J304" t="s">
        <v>3734</v>
      </c>
      <c r="K304" s="35" t="s">
        <v>770</v>
      </c>
      <c r="L304" s="35" t="s">
        <v>6959</v>
      </c>
      <c r="M304" s="39" t="str">
        <f>HYPERLINK("http://dx.doi.org/10.1021/jf502537x","10.1021/jf502537x")</f>
        <v>10.1021/jf502537x</v>
      </c>
      <c r="N304" s="40" t="s">
        <v>2372</v>
      </c>
      <c r="O304" s="40" t="s">
        <v>2001</v>
      </c>
      <c r="P304" s="40" t="s">
        <v>3735</v>
      </c>
      <c r="Q304" t="s">
        <v>316</v>
      </c>
    </row>
    <row r="305" spans="1:17" x14ac:dyDescent="0.25">
      <c r="A305" s="2" t="str">
        <f>HYPERLINK("https://www.ncbi.nlm.nih.gov/pubmed/25233913","25233913")</f>
        <v>25233913</v>
      </c>
      <c r="B305">
        <f t="shared" si="20"/>
        <v>8</v>
      </c>
      <c r="C305">
        <f t="shared" si="20"/>
        <v>0</v>
      </c>
      <c r="D305">
        <f t="shared" si="20"/>
        <v>0</v>
      </c>
      <c r="E305">
        <f t="shared" si="17"/>
        <v>8</v>
      </c>
      <c r="F305">
        <v>2015</v>
      </c>
      <c r="G305" t="s">
        <v>3740</v>
      </c>
      <c r="H305">
        <v>1</v>
      </c>
      <c r="I305" s="64" t="str">
        <f>HYPERLINK("https://www.ncbi.nlm.nih.gov/research/pubtator/?view=docsum&amp;query=PMC4284386","1")</f>
        <v>1</v>
      </c>
      <c r="J305" t="s">
        <v>3741</v>
      </c>
      <c r="K305" s="35" t="s">
        <v>810</v>
      </c>
      <c r="L305" s="35" t="s">
        <v>6960</v>
      </c>
      <c r="M305" s="39" t="str">
        <f>HYPERLINK("http://dx.doi.org/10.1007/s11356-014-3470-y","10.1007/s11356-014-3470-y")</f>
        <v>10.1007/s11356-014-3470-y</v>
      </c>
      <c r="N305" s="40" t="s">
        <v>1092</v>
      </c>
      <c r="O305" s="40" t="s">
        <v>638</v>
      </c>
      <c r="P305" s="40" t="s">
        <v>3742</v>
      </c>
      <c r="Q305" t="s">
        <v>316</v>
      </c>
    </row>
    <row r="306" spans="1:17" x14ac:dyDescent="0.25">
      <c r="A306" s="2" t="str">
        <f>HYPERLINK("https://www.ncbi.nlm.nih.gov/pubmed/25139030","25139030")</f>
        <v>25139030</v>
      </c>
      <c r="B306">
        <f t="shared" si="20"/>
        <v>8</v>
      </c>
      <c r="C306">
        <f t="shared" si="20"/>
        <v>0</v>
      </c>
      <c r="D306">
        <f t="shared" si="20"/>
        <v>0</v>
      </c>
      <c r="E306">
        <f t="shared" si="17"/>
        <v>8</v>
      </c>
      <c r="F306">
        <v>2014</v>
      </c>
      <c r="G306" t="s">
        <v>3772</v>
      </c>
      <c r="H306">
        <v>0</v>
      </c>
      <c r="I306" s="65">
        <v>0</v>
      </c>
      <c r="J306" t="s">
        <v>3774</v>
      </c>
      <c r="K306" s="35" t="s">
        <v>730</v>
      </c>
      <c r="L306" s="35" t="s">
        <v>3773</v>
      </c>
      <c r="M306" s="39" t="str">
        <f>HYPERLINK("http://dx.doi.org/10.1007/s10646-014-1305-8","10.1007/s10646-014-1305-8")</f>
        <v>10.1007/s10646-014-1305-8</v>
      </c>
      <c r="N306" s="40" t="s">
        <v>737</v>
      </c>
      <c r="O306" s="40" t="s">
        <v>660</v>
      </c>
      <c r="P306" s="40" t="s">
        <v>3775</v>
      </c>
      <c r="Q306" t="s">
        <v>316</v>
      </c>
    </row>
    <row r="307" spans="1:17" x14ac:dyDescent="0.25">
      <c r="A307" s="2" t="str">
        <f>HYPERLINK("https://www.ncbi.nlm.nih.gov/pubmed/25131894","25131894")</f>
        <v>25131894</v>
      </c>
      <c r="B307">
        <f t="shared" si="20"/>
        <v>8</v>
      </c>
      <c r="C307">
        <f t="shared" si="20"/>
        <v>0</v>
      </c>
      <c r="D307">
        <f t="shared" si="20"/>
        <v>0</v>
      </c>
      <c r="E307">
        <f t="shared" si="17"/>
        <v>8</v>
      </c>
      <c r="F307">
        <v>2014</v>
      </c>
      <c r="G307" t="s">
        <v>3783</v>
      </c>
      <c r="H307">
        <v>0</v>
      </c>
      <c r="I307" s="65">
        <v>0</v>
      </c>
      <c r="J307" t="s">
        <v>3784</v>
      </c>
      <c r="K307" s="35" t="s">
        <v>755</v>
      </c>
      <c r="L307" s="35" t="s">
        <v>6967</v>
      </c>
      <c r="M307" s="39" t="str">
        <f>HYPERLINK("http://dx.doi.org/10.1002/etc.2655","10.1002/etc.2655")</f>
        <v>10.1002/etc.2655</v>
      </c>
      <c r="N307" s="40" t="s">
        <v>877</v>
      </c>
      <c r="O307" s="40" t="s">
        <v>660</v>
      </c>
      <c r="P307" s="40" t="s">
        <v>3785</v>
      </c>
      <c r="Q307" t="s">
        <v>316</v>
      </c>
    </row>
    <row r="308" spans="1:17" x14ac:dyDescent="0.25">
      <c r="A308" s="2" t="str">
        <f>HYPERLINK("https://www.ncbi.nlm.nih.gov/pubmed/24938819","24938819")</f>
        <v>24938819</v>
      </c>
      <c r="B308">
        <f t="shared" si="20"/>
        <v>8</v>
      </c>
      <c r="C308">
        <f t="shared" si="20"/>
        <v>0</v>
      </c>
      <c r="D308">
        <f t="shared" si="20"/>
        <v>0</v>
      </c>
      <c r="E308">
        <f t="shared" si="17"/>
        <v>8</v>
      </c>
      <c r="F308">
        <v>2015</v>
      </c>
      <c r="G308" t="s">
        <v>3828</v>
      </c>
      <c r="H308">
        <v>1</v>
      </c>
      <c r="I308" s="64" t="str">
        <f>HYPERLINK("https://www.ncbi.nlm.nih.gov/research/pubtator/?view=docsum&amp;query=PMC4284370","1")</f>
        <v>1</v>
      </c>
      <c r="J308" t="s">
        <v>3327</v>
      </c>
      <c r="K308" s="35" t="s">
        <v>810</v>
      </c>
      <c r="L308" s="35" t="s">
        <v>6972</v>
      </c>
      <c r="M308" s="39" t="str">
        <f>HYPERLINK("http://dx.doi.org/10.1007/s11356-014-3180-5","10.1007/s11356-014-3180-5")</f>
        <v>10.1007/s11356-014-3180-5</v>
      </c>
      <c r="N308" s="40" t="s">
        <v>1092</v>
      </c>
      <c r="O308" s="40" t="s">
        <v>638</v>
      </c>
      <c r="P308" s="40" t="s">
        <v>3829</v>
      </c>
      <c r="Q308" t="s">
        <v>316</v>
      </c>
    </row>
    <row r="309" spans="1:17" x14ac:dyDescent="0.25">
      <c r="A309" s="2" t="str">
        <f>HYPERLINK("https://www.ncbi.nlm.nih.gov/pubmed/24853051","24853051")</f>
        <v>24853051</v>
      </c>
      <c r="B309">
        <f t="shared" si="20"/>
        <v>8</v>
      </c>
      <c r="C309">
        <f t="shared" si="20"/>
        <v>8</v>
      </c>
      <c r="D309">
        <f t="shared" si="20"/>
        <v>0</v>
      </c>
      <c r="E309">
        <f t="shared" si="17"/>
        <v>16</v>
      </c>
      <c r="F309">
        <v>2014</v>
      </c>
      <c r="G309" t="s">
        <v>3840</v>
      </c>
      <c r="H309">
        <v>0</v>
      </c>
      <c r="I309" s="65">
        <v>0</v>
      </c>
      <c r="J309" t="s">
        <v>3842</v>
      </c>
      <c r="K309" s="35" t="s">
        <v>1581</v>
      </c>
      <c r="L309" s="35" t="s">
        <v>3841</v>
      </c>
      <c r="M309" s="39" t="str">
        <f>HYPERLINK("http://dx.doi.org/10.1016/j.prevetmed.2014.04.009","10.1016/j.prevetmed.2014.04.009")</f>
        <v>10.1016/j.prevetmed.2014.04.009</v>
      </c>
      <c r="N309" s="40" t="s">
        <v>2118</v>
      </c>
      <c r="O309" s="40" t="s">
        <v>1741</v>
      </c>
      <c r="P309" s="40" t="s">
        <v>3684</v>
      </c>
      <c r="Q309" t="s">
        <v>316</v>
      </c>
    </row>
    <row r="310" spans="1:17" x14ac:dyDescent="0.25">
      <c r="A310" s="2" t="str">
        <f>HYPERLINK("https://www.ncbi.nlm.nih.gov/pubmed/24591229","24591229")</f>
        <v>24591229</v>
      </c>
      <c r="B310">
        <f t="shared" si="20"/>
        <v>8</v>
      </c>
      <c r="C310">
        <f t="shared" si="20"/>
        <v>0</v>
      </c>
      <c r="D310">
        <f t="shared" si="20"/>
        <v>0</v>
      </c>
      <c r="E310">
        <f t="shared" si="17"/>
        <v>8</v>
      </c>
      <c r="F310">
        <v>2015</v>
      </c>
      <c r="G310" t="s">
        <v>3961</v>
      </c>
      <c r="H310">
        <v>0</v>
      </c>
      <c r="I310" s="65">
        <v>0</v>
      </c>
      <c r="J310" t="s">
        <v>3963</v>
      </c>
      <c r="K310" s="35" t="s">
        <v>968</v>
      </c>
      <c r="L310" s="35" t="s">
        <v>3962</v>
      </c>
      <c r="M310" s="39" t="str">
        <f>HYPERLINK("http://dx.doi.org/10.1002/ps.3768","10.1002/ps.3768")</f>
        <v>10.1002/ps.3768</v>
      </c>
      <c r="N310" s="40" t="s">
        <v>3255</v>
      </c>
      <c r="O310" s="40" t="s">
        <v>638</v>
      </c>
      <c r="P310" s="40" t="s">
        <v>3964</v>
      </c>
      <c r="Q310" t="s">
        <v>316</v>
      </c>
    </row>
    <row r="311" spans="1:17" x14ac:dyDescent="0.25">
      <c r="A311" s="2" t="str">
        <f>HYPERLINK("https://www.ncbi.nlm.nih.gov/pubmed/24161817","24161817")</f>
        <v>24161817</v>
      </c>
      <c r="B311">
        <f t="shared" si="20"/>
        <v>8</v>
      </c>
      <c r="C311">
        <f t="shared" si="20"/>
        <v>2</v>
      </c>
      <c r="D311">
        <f t="shared" si="20"/>
        <v>0</v>
      </c>
      <c r="E311">
        <f t="shared" si="17"/>
        <v>10</v>
      </c>
      <c r="F311">
        <v>2013</v>
      </c>
      <c r="G311" t="s">
        <v>4072</v>
      </c>
      <c r="H311">
        <v>0</v>
      </c>
      <c r="I311" s="65">
        <v>0</v>
      </c>
      <c r="J311" t="s">
        <v>4073</v>
      </c>
      <c r="K311" s="35" t="s">
        <v>1530</v>
      </c>
      <c r="L311" s="35" t="s">
        <v>7005</v>
      </c>
      <c r="M311" s="39" t="str">
        <f>HYPERLINK("http://dx.doi.org/10.1016/j.etap.2013.09.011","10.1016/j.etap.2013.09.011")</f>
        <v>10.1016/j.etap.2013.09.011</v>
      </c>
      <c r="N311" s="40" t="s">
        <v>639</v>
      </c>
      <c r="O311" s="40" t="s">
        <v>750</v>
      </c>
      <c r="P311" s="40" t="s">
        <v>4074</v>
      </c>
      <c r="Q311" t="s">
        <v>316</v>
      </c>
    </row>
    <row r="312" spans="1:17" x14ac:dyDescent="0.25">
      <c r="A312" s="2" t="str">
        <f>HYPERLINK("https://www.ncbi.nlm.nih.gov/pubmed/24097355","24097355")</f>
        <v>24097355</v>
      </c>
      <c r="B312">
        <f t="shared" si="20"/>
        <v>8</v>
      </c>
      <c r="C312">
        <f t="shared" si="20"/>
        <v>2</v>
      </c>
      <c r="D312">
        <f t="shared" si="20"/>
        <v>0</v>
      </c>
      <c r="E312">
        <f t="shared" si="17"/>
        <v>10</v>
      </c>
      <c r="F312">
        <v>2016</v>
      </c>
      <c r="G312" t="s">
        <v>4078</v>
      </c>
      <c r="H312">
        <v>0</v>
      </c>
      <c r="I312" s="65">
        <v>0</v>
      </c>
      <c r="J312" t="s">
        <v>4073</v>
      </c>
      <c r="K312" s="35" t="s">
        <v>3652</v>
      </c>
      <c r="L312" s="35" t="s">
        <v>4079</v>
      </c>
      <c r="M312" s="39" t="str">
        <f>HYPERLINK("http://dx.doi.org/10.1177/0748233713500376","10.1177/0748233713500376")</f>
        <v>10.1177/0748233713500376</v>
      </c>
      <c r="N312" s="40" t="s">
        <v>1018</v>
      </c>
      <c r="O312" s="40" t="s">
        <v>744</v>
      </c>
      <c r="P312" s="40" t="s">
        <v>4080</v>
      </c>
      <c r="Q312" t="s">
        <v>316</v>
      </c>
    </row>
    <row r="313" spans="1:17" x14ac:dyDescent="0.25">
      <c r="A313" s="2" t="str">
        <f>HYPERLINK("https://www.ncbi.nlm.nih.gov/pubmed/23900635","23900635")</f>
        <v>23900635</v>
      </c>
      <c r="B313">
        <f t="shared" si="20"/>
        <v>8</v>
      </c>
      <c r="C313">
        <f t="shared" si="20"/>
        <v>1</v>
      </c>
      <c r="D313">
        <f t="shared" si="20"/>
        <v>0</v>
      </c>
      <c r="E313">
        <f t="shared" si="17"/>
        <v>9</v>
      </c>
      <c r="F313">
        <v>2014</v>
      </c>
      <c r="G313" t="s">
        <v>4120</v>
      </c>
      <c r="H313">
        <v>0</v>
      </c>
      <c r="I313" s="65">
        <v>0</v>
      </c>
      <c r="J313" t="s">
        <v>4122</v>
      </c>
      <c r="K313" s="35" t="s">
        <v>1013</v>
      </c>
      <c r="L313" s="35" t="s">
        <v>4121</v>
      </c>
      <c r="M313" s="39" t="str">
        <f>HYPERLINK("http://dx.doi.org/10.1007/s10661-013-3356-3","10.1007/s10661-013-3356-3")</f>
        <v>10.1007/s10661-013-3356-3</v>
      </c>
      <c r="N313" s="40" t="s">
        <v>2863</v>
      </c>
      <c r="O313" s="40" t="s">
        <v>638</v>
      </c>
      <c r="P313" s="40" t="s">
        <v>732</v>
      </c>
      <c r="Q313" t="s">
        <v>316</v>
      </c>
    </row>
    <row r="314" spans="1:17" x14ac:dyDescent="0.25">
      <c r="A314" s="2" t="str">
        <f>HYPERLINK("https://www.ncbi.nlm.nih.gov/pubmed/23618775","23618775")</f>
        <v>23618775</v>
      </c>
      <c r="B314">
        <f t="shared" si="20"/>
        <v>8</v>
      </c>
      <c r="C314">
        <f t="shared" si="20"/>
        <v>2</v>
      </c>
      <c r="D314">
        <f t="shared" si="20"/>
        <v>0</v>
      </c>
      <c r="E314">
        <f t="shared" si="17"/>
        <v>10</v>
      </c>
      <c r="F314">
        <v>2013</v>
      </c>
      <c r="G314" t="s">
        <v>4181</v>
      </c>
      <c r="H314">
        <v>0</v>
      </c>
      <c r="I314" s="65">
        <v>0</v>
      </c>
      <c r="J314" t="s">
        <v>4046</v>
      </c>
      <c r="K314" s="35" t="s">
        <v>714</v>
      </c>
      <c r="L314" s="35" t="s">
        <v>4182</v>
      </c>
      <c r="M314" s="39" t="str">
        <f>HYPERLINK("http://dx.doi.org/10.1016/j.ecoenv.2013.04.001","10.1016/j.ecoenv.2013.04.001")</f>
        <v>10.1016/j.ecoenv.2013.04.001</v>
      </c>
      <c r="N314" s="40" t="s">
        <v>1900</v>
      </c>
      <c r="O314" s="40" t="s">
        <v>383</v>
      </c>
      <c r="P314" s="40" t="s">
        <v>4183</v>
      </c>
      <c r="Q314" t="s">
        <v>316</v>
      </c>
    </row>
    <row r="315" spans="1:17" x14ac:dyDescent="0.25">
      <c r="A315" s="2" t="str">
        <f>HYPERLINK("https://www.ncbi.nlm.nih.gov/pubmed/23489839","23489839")</f>
        <v>23489839</v>
      </c>
      <c r="B315">
        <f t="shared" si="20"/>
        <v>8</v>
      </c>
      <c r="C315">
        <f t="shared" si="20"/>
        <v>0</v>
      </c>
      <c r="D315">
        <f t="shared" si="20"/>
        <v>0</v>
      </c>
      <c r="E315">
        <f t="shared" si="17"/>
        <v>8</v>
      </c>
      <c r="F315">
        <v>2013</v>
      </c>
      <c r="G315" t="s">
        <v>4209</v>
      </c>
      <c r="H315">
        <v>0</v>
      </c>
      <c r="I315" s="65">
        <v>0</v>
      </c>
      <c r="J315" t="s">
        <v>4210</v>
      </c>
      <c r="K315" s="35" t="s">
        <v>4211</v>
      </c>
      <c r="L315" s="35" t="s">
        <v>7025</v>
      </c>
      <c r="M315" s="39" t="str">
        <f>HYPERLINK("http://dx.doi.org/10.1016/j.marenvres.2013.02.001","10.1016/j.marenvres.2013.02.001")</f>
        <v>10.1016/j.marenvres.2013.02.001</v>
      </c>
      <c r="N315" s="40" t="s">
        <v>2216</v>
      </c>
      <c r="O315" s="40" t="s">
        <v>383</v>
      </c>
      <c r="P315" s="40" t="s">
        <v>4212</v>
      </c>
      <c r="Q315" t="s">
        <v>316</v>
      </c>
    </row>
    <row r="316" spans="1:17" x14ac:dyDescent="0.25">
      <c r="A316" s="2" t="str">
        <f>HYPERLINK("https://www.ncbi.nlm.nih.gov/pubmed/23427660","23427660")</f>
        <v>23427660</v>
      </c>
      <c r="B316">
        <f t="shared" si="20"/>
        <v>8</v>
      </c>
      <c r="C316">
        <f t="shared" si="20"/>
        <v>0</v>
      </c>
      <c r="D316">
        <f t="shared" si="20"/>
        <v>0</v>
      </c>
      <c r="E316">
        <f t="shared" si="17"/>
        <v>8</v>
      </c>
      <c r="F316">
        <v>2013</v>
      </c>
      <c r="G316" t="s">
        <v>4227</v>
      </c>
      <c r="H316">
        <v>0</v>
      </c>
      <c r="I316" s="65">
        <v>0</v>
      </c>
      <c r="J316" t="s">
        <v>4229</v>
      </c>
      <c r="K316" s="35" t="s">
        <v>1027</v>
      </c>
      <c r="L316" s="35" t="s">
        <v>4228</v>
      </c>
      <c r="M316" s="39" t="str">
        <f>HYPERLINK("http://dx.doi.org/10.1603/me12157","10.1603/me12157")</f>
        <v>10.1603/me12157</v>
      </c>
      <c r="N316" s="40" t="s">
        <v>743</v>
      </c>
      <c r="O316" s="40" t="s">
        <v>638</v>
      </c>
      <c r="P316" s="40" t="s">
        <v>4230</v>
      </c>
      <c r="Q316" t="s">
        <v>316</v>
      </c>
    </row>
    <row r="317" spans="1:17" x14ac:dyDescent="0.25">
      <c r="A317" s="2" t="str">
        <f>HYPERLINK("https://www.ncbi.nlm.nih.gov/pubmed/22502899","22502899")</f>
        <v>22502899</v>
      </c>
      <c r="B317">
        <f t="shared" si="20"/>
        <v>8</v>
      </c>
      <c r="C317">
        <f t="shared" si="20"/>
        <v>0</v>
      </c>
      <c r="D317">
        <f t="shared" si="20"/>
        <v>0</v>
      </c>
      <c r="E317">
        <f t="shared" si="17"/>
        <v>8</v>
      </c>
      <c r="F317">
        <v>2012</v>
      </c>
      <c r="G317" t="s">
        <v>4431</v>
      </c>
      <c r="H317">
        <v>0</v>
      </c>
      <c r="I317" s="65">
        <v>0</v>
      </c>
      <c r="J317" t="s">
        <v>4433</v>
      </c>
      <c r="K317" s="35" t="s">
        <v>768</v>
      </c>
      <c r="L317" s="35" t="s">
        <v>4432</v>
      </c>
      <c r="M317" s="39" t="str">
        <f>HYPERLINK("http://dx.doi.org/10.1016/j.jhazmat.2012.03.042","10.1016/j.jhazmat.2012.03.042")</f>
        <v>10.1016/j.jhazmat.2012.03.042</v>
      </c>
      <c r="N317" s="40" t="s">
        <v>4434</v>
      </c>
      <c r="O317" s="40" t="s">
        <v>383</v>
      </c>
      <c r="P317" s="40" t="s">
        <v>4435</v>
      </c>
      <c r="Q317" t="s">
        <v>316</v>
      </c>
    </row>
    <row r="318" spans="1:17" x14ac:dyDescent="0.25">
      <c r="A318" s="2" t="str">
        <f>HYPERLINK("https://www.ncbi.nlm.nih.gov/pubmed/22321411","22321411")</f>
        <v>22321411</v>
      </c>
      <c r="B318">
        <f t="shared" si="20"/>
        <v>8</v>
      </c>
      <c r="C318">
        <f t="shared" si="20"/>
        <v>1</v>
      </c>
      <c r="D318">
        <f t="shared" si="20"/>
        <v>0</v>
      </c>
      <c r="E318">
        <f t="shared" si="17"/>
        <v>9</v>
      </c>
      <c r="F318">
        <v>2012</v>
      </c>
      <c r="G318" t="s">
        <v>4466</v>
      </c>
      <c r="H318">
        <v>0</v>
      </c>
      <c r="I318" s="65">
        <v>0</v>
      </c>
      <c r="J318" t="s">
        <v>4468</v>
      </c>
      <c r="K318" s="35" t="s">
        <v>714</v>
      </c>
      <c r="L318" s="35" t="s">
        <v>4467</v>
      </c>
      <c r="M318" s="39" t="str">
        <f>HYPERLINK("http://dx.doi.org/10.1016/j.ecoenv.2012.01.016","10.1016/j.ecoenv.2012.01.016")</f>
        <v>10.1016/j.ecoenv.2012.01.016</v>
      </c>
      <c r="N318" s="40" t="s">
        <v>1396</v>
      </c>
      <c r="O318" s="40" t="s">
        <v>383</v>
      </c>
      <c r="P318" s="40" t="s">
        <v>4469</v>
      </c>
      <c r="Q318" t="s">
        <v>316</v>
      </c>
    </row>
    <row r="319" spans="1:17" x14ac:dyDescent="0.25">
      <c r="A319" s="2" t="str">
        <f>HYPERLINK("https://www.ncbi.nlm.nih.gov/pubmed/22119037","22119037")</f>
        <v>22119037</v>
      </c>
      <c r="B319">
        <f t="shared" si="20"/>
        <v>8</v>
      </c>
      <c r="C319">
        <f t="shared" si="20"/>
        <v>0</v>
      </c>
      <c r="D319">
        <f t="shared" si="20"/>
        <v>0</v>
      </c>
      <c r="E319">
        <f t="shared" si="17"/>
        <v>8</v>
      </c>
      <c r="F319">
        <v>2012</v>
      </c>
      <c r="G319" t="s">
        <v>4500</v>
      </c>
      <c r="H319">
        <v>0</v>
      </c>
      <c r="I319" s="65">
        <v>0</v>
      </c>
      <c r="J319" t="s">
        <v>4501</v>
      </c>
      <c r="K319" s="35" t="s">
        <v>670</v>
      </c>
      <c r="L319" s="35" t="s">
        <v>7056</v>
      </c>
      <c r="M319" s="39" t="str">
        <f>HYPERLINK("http://dx.doi.org/10.1016/j.scitotenv.2011.10.051","10.1016/j.scitotenv.2011.10.051")</f>
        <v>10.1016/j.scitotenv.2011.10.051</v>
      </c>
      <c r="N319" s="40" t="s">
        <v>4502</v>
      </c>
      <c r="O319" s="40" t="s">
        <v>383</v>
      </c>
      <c r="P319" s="40" t="s">
        <v>4503</v>
      </c>
      <c r="Q319" t="s">
        <v>316</v>
      </c>
    </row>
    <row r="320" spans="1:17" x14ac:dyDescent="0.25">
      <c r="A320" s="2" t="str">
        <f>HYPERLINK("https://www.ncbi.nlm.nih.gov/pubmed/21370390","21370390")</f>
        <v>21370390</v>
      </c>
      <c r="B320">
        <f t="shared" si="20"/>
        <v>8</v>
      </c>
      <c r="C320">
        <f t="shared" si="20"/>
        <v>6</v>
      </c>
      <c r="D320">
        <f t="shared" si="20"/>
        <v>0</v>
      </c>
      <c r="E320">
        <f t="shared" si="17"/>
        <v>14</v>
      </c>
      <c r="F320">
        <v>2011</v>
      </c>
      <c r="G320" t="s">
        <v>4708</v>
      </c>
      <c r="H320">
        <v>0</v>
      </c>
      <c r="I320" s="65">
        <v>0</v>
      </c>
      <c r="J320" t="s">
        <v>4709</v>
      </c>
      <c r="K320" s="35" t="s">
        <v>968</v>
      </c>
      <c r="L320" s="35" t="s">
        <v>7089</v>
      </c>
      <c r="M320" s="39" t="str">
        <f>HYPERLINK("http://dx.doi.org/10.1002/ps.2123","10.1002/ps.2123")</f>
        <v>10.1002/ps.2123</v>
      </c>
      <c r="N320" s="40" t="s">
        <v>1779</v>
      </c>
      <c r="O320" s="40" t="s">
        <v>741</v>
      </c>
      <c r="P320" s="40" t="s">
        <v>4710</v>
      </c>
      <c r="Q320" t="s">
        <v>316</v>
      </c>
    </row>
    <row r="321" spans="1:17" x14ac:dyDescent="0.25">
      <c r="A321" s="2" t="str">
        <f>HYPERLINK("https://www.ncbi.nlm.nih.gov/pubmed/21277092","21277092")</f>
        <v>21277092</v>
      </c>
      <c r="B321">
        <f t="shared" si="20"/>
        <v>8</v>
      </c>
      <c r="C321">
        <f t="shared" si="20"/>
        <v>0</v>
      </c>
      <c r="D321">
        <f t="shared" si="20"/>
        <v>0</v>
      </c>
      <c r="E321">
        <f t="shared" si="17"/>
        <v>8</v>
      </c>
      <c r="F321">
        <v>2011</v>
      </c>
      <c r="G321" t="s">
        <v>4737</v>
      </c>
      <c r="H321">
        <v>0</v>
      </c>
      <c r="I321" s="65">
        <v>0</v>
      </c>
      <c r="J321" t="s">
        <v>4738</v>
      </c>
      <c r="K321" s="35" t="s">
        <v>1052</v>
      </c>
      <c r="L321" s="35" t="s">
        <v>7092</v>
      </c>
      <c r="M321" s="39" t="str">
        <f>HYPERLINK("http://dx.doi.org/10.1016/j.vetpar.2010.12.035","10.1016/j.vetpar.2010.12.035")</f>
        <v>10.1016/j.vetpar.2010.12.035</v>
      </c>
      <c r="N321" s="40" t="s">
        <v>4739</v>
      </c>
      <c r="O321" s="40" t="s">
        <v>3531</v>
      </c>
      <c r="P321" s="40" t="s">
        <v>4740</v>
      </c>
      <c r="Q321" t="s">
        <v>316</v>
      </c>
    </row>
    <row r="322" spans="1:17" x14ac:dyDescent="0.25">
      <c r="A322" s="2" t="str">
        <f>HYPERLINK("https://www.ncbi.nlm.nih.gov/pubmed/20849331","20849331")</f>
        <v>20849331</v>
      </c>
      <c r="B322">
        <f t="shared" si="20"/>
        <v>8</v>
      </c>
      <c r="C322">
        <f t="shared" si="20"/>
        <v>0</v>
      </c>
      <c r="D322">
        <f t="shared" si="20"/>
        <v>0</v>
      </c>
      <c r="E322">
        <f t="shared" si="17"/>
        <v>8</v>
      </c>
      <c r="F322">
        <v>2010</v>
      </c>
      <c r="G322" t="s">
        <v>4829</v>
      </c>
      <c r="H322">
        <v>0</v>
      </c>
      <c r="I322" s="65">
        <v>0</v>
      </c>
      <c r="J322" t="s">
        <v>4831</v>
      </c>
      <c r="K322" s="35" t="s">
        <v>4832</v>
      </c>
      <c r="L322" s="35" t="s">
        <v>4830</v>
      </c>
      <c r="M322" s="39" t="str">
        <f>HYPERLINK("http://dx.doi.org/10.3109/15563650.2010.507548","10.3109/15563650.2010.507548")</f>
        <v>10.3109/15563650.2010.507548</v>
      </c>
      <c r="N322" s="40" t="s">
        <v>1450</v>
      </c>
      <c r="O322" s="40" t="s">
        <v>748</v>
      </c>
      <c r="P322" s="40" t="s">
        <v>4833</v>
      </c>
      <c r="Q322" t="s">
        <v>316</v>
      </c>
    </row>
    <row r="323" spans="1:17" x14ac:dyDescent="0.25">
      <c r="A323" s="2" t="str">
        <f>HYPERLINK("https://www.ncbi.nlm.nih.gov/pubmed/20455564","20455564")</f>
        <v>20455564</v>
      </c>
      <c r="B323">
        <f t="shared" si="20"/>
        <v>8</v>
      </c>
      <c r="C323">
        <f t="shared" si="20"/>
        <v>0</v>
      </c>
      <c r="D323">
        <f t="shared" si="20"/>
        <v>0</v>
      </c>
      <c r="E323">
        <f t="shared" si="17"/>
        <v>8</v>
      </c>
      <c r="F323">
        <v>2010</v>
      </c>
      <c r="G323" t="s">
        <v>4907</v>
      </c>
      <c r="H323">
        <v>0</v>
      </c>
      <c r="I323" s="65">
        <v>0</v>
      </c>
      <c r="J323" t="s">
        <v>4909</v>
      </c>
      <c r="K323" s="35" t="s">
        <v>770</v>
      </c>
      <c r="L323" s="35" t="s">
        <v>4908</v>
      </c>
      <c r="M323" s="39" t="str">
        <f>HYPERLINK("http://dx.doi.org/10.1021/jf100872f","10.1021/jf100872f")</f>
        <v>10.1021/jf100872f</v>
      </c>
      <c r="N323" s="40" t="s">
        <v>1028</v>
      </c>
      <c r="O323" s="40" t="s">
        <v>678</v>
      </c>
      <c r="P323" s="40" t="s">
        <v>4910</v>
      </c>
      <c r="Q323" t="s">
        <v>316</v>
      </c>
    </row>
    <row r="324" spans="1:17" x14ac:dyDescent="0.25">
      <c r="A324" s="2" t="str">
        <f>HYPERLINK("https://www.ncbi.nlm.nih.gov/pubmed/19004462","19004462")</f>
        <v>19004462</v>
      </c>
      <c r="B324">
        <f t="shared" ref="B324:D343" si="21">IF(ISBLANK(B$3),0,(LEN($L324) - LEN(SUBSTITUTE(LOWER($L324),LOWER(B$3),"")))/LEN(B$3))</f>
        <v>8</v>
      </c>
      <c r="C324">
        <f t="shared" si="21"/>
        <v>0</v>
      </c>
      <c r="D324">
        <f t="shared" si="21"/>
        <v>0</v>
      </c>
      <c r="E324">
        <f t="shared" ref="E324:E387" si="22">SUM(B324:D324)</f>
        <v>8</v>
      </c>
      <c r="F324">
        <v>2009</v>
      </c>
      <c r="G324" t="s">
        <v>5197</v>
      </c>
      <c r="H324">
        <v>0</v>
      </c>
      <c r="I324" s="64" t="str">
        <f>HYPERLINK("https://www.ncbi.nlm.nih.gov/research/pubtator/?view=docsum&amp;query=PMC3075979","1")</f>
        <v>1</v>
      </c>
      <c r="J324" t="s">
        <v>5199</v>
      </c>
      <c r="K324" s="35" t="s">
        <v>5200</v>
      </c>
      <c r="L324" s="35" t="s">
        <v>5198</v>
      </c>
      <c r="M324" s="39" t="str">
        <f>HYPERLINK("http://dx.doi.org/10.1016/j.trstmh.2008.09.018","10.1016/j.trstmh.2008.09.018")</f>
        <v>10.1016/j.trstmh.2008.09.018</v>
      </c>
      <c r="N324" s="40" t="s">
        <v>2838</v>
      </c>
      <c r="O324" s="40" t="s">
        <v>750</v>
      </c>
      <c r="P324" s="40" t="s">
        <v>5201</v>
      </c>
      <c r="Q324" t="s">
        <v>316</v>
      </c>
    </row>
    <row r="325" spans="1:17" x14ac:dyDescent="0.25">
      <c r="A325" s="2" t="str">
        <f>HYPERLINK("https://www.ncbi.nlm.nih.gov/pubmed/17562454","17562454")</f>
        <v>17562454</v>
      </c>
      <c r="B325">
        <f t="shared" si="21"/>
        <v>8</v>
      </c>
      <c r="C325">
        <f t="shared" si="21"/>
        <v>0</v>
      </c>
      <c r="D325">
        <f t="shared" si="21"/>
        <v>0</v>
      </c>
      <c r="E325">
        <f t="shared" si="22"/>
        <v>8</v>
      </c>
      <c r="F325">
        <v>2007</v>
      </c>
      <c r="G325" t="s">
        <v>5465</v>
      </c>
      <c r="H325">
        <v>0</v>
      </c>
      <c r="I325" s="65">
        <v>0</v>
      </c>
      <c r="J325" t="s">
        <v>5466</v>
      </c>
      <c r="K325" s="35" t="s">
        <v>1413</v>
      </c>
      <c r="L325" s="35" t="s">
        <v>7159</v>
      </c>
      <c r="M325" s="39" t="str">
        <f>HYPERLINK("http://dx.doi.org/10.1080/03601230701391823","10.1080/03601230701391823")</f>
        <v>10.1080/03601230701391823</v>
      </c>
      <c r="N325" s="40" t="s">
        <v>2803</v>
      </c>
      <c r="O325" s="40" t="s">
        <v>746</v>
      </c>
      <c r="P325" s="40" t="s">
        <v>5467</v>
      </c>
      <c r="Q325" t="s">
        <v>316</v>
      </c>
    </row>
    <row r="326" spans="1:17" x14ac:dyDescent="0.25">
      <c r="A326" s="2" t="str">
        <f>HYPERLINK("https://www.ncbi.nlm.nih.gov/pubmed/16228268","16228268")</f>
        <v>16228268</v>
      </c>
      <c r="B326">
        <f t="shared" si="21"/>
        <v>8</v>
      </c>
      <c r="C326">
        <f t="shared" si="21"/>
        <v>0</v>
      </c>
      <c r="D326">
        <f t="shared" si="21"/>
        <v>0</v>
      </c>
      <c r="E326">
        <f t="shared" si="22"/>
        <v>8</v>
      </c>
      <c r="F326">
        <v>2005</v>
      </c>
      <c r="G326" t="s">
        <v>5713</v>
      </c>
      <c r="H326">
        <v>0</v>
      </c>
      <c r="I326" s="65">
        <v>0</v>
      </c>
      <c r="J326" t="s">
        <v>5714</v>
      </c>
      <c r="K326" s="35" t="s">
        <v>1210</v>
      </c>
      <c r="L326" s="35" t="s">
        <v>7192</v>
      </c>
      <c r="M326" s="39" t="str">
        <f>HYPERLINK("http://dx.doi.org/10.1007/s00436-005-1455-y","10.1007/s00436-005-1455-y")</f>
        <v>10.1007/s00436-005-1455-y</v>
      </c>
      <c r="N326" s="40" t="s">
        <v>5715</v>
      </c>
      <c r="O326" s="40" t="s">
        <v>383</v>
      </c>
      <c r="P326" s="40" t="s">
        <v>5716</v>
      </c>
      <c r="Q326" t="s">
        <v>316</v>
      </c>
    </row>
    <row r="327" spans="1:17" x14ac:dyDescent="0.25">
      <c r="A327" s="2" t="str">
        <f>HYPERLINK("https://www.ncbi.nlm.nih.gov/pubmed/15889745","15889745")</f>
        <v>15889745</v>
      </c>
      <c r="B327">
        <f t="shared" si="21"/>
        <v>8</v>
      </c>
      <c r="C327">
        <f t="shared" si="21"/>
        <v>0</v>
      </c>
      <c r="D327">
        <f t="shared" si="21"/>
        <v>0</v>
      </c>
      <c r="E327">
        <f t="shared" si="22"/>
        <v>8</v>
      </c>
      <c r="F327">
        <v>2005</v>
      </c>
      <c r="G327" t="s">
        <v>5796</v>
      </c>
      <c r="H327">
        <v>0</v>
      </c>
      <c r="I327" s="65">
        <v>0</v>
      </c>
      <c r="J327" t="s">
        <v>5797</v>
      </c>
      <c r="K327" s="35" t="s">
        <v>909</v>
      </c>
      <c r="L327" s="35" t="s">
        <v>7199</v>
      </c>
      <c r="M327" s="39" t="str">
        <f>HYPERLINK("http://dx.doi.org/10.1093/jee/98.2.509","10.1093/jee/98.2.509")</f>
        <v>10.1093/jee/98.2.509</v>
      </c>
      <c r="N327" s="40" t="s">
        <v>3516</v>
      </c>
      <c r="O327" s="40" t="s">
        <v>744</v>
      </c>
      <c r="P327" s="40" t="s">
        <v>5798</v>
      </c>
      <c r="Q327" t="s">
        <v>316</v>
      </c>
    </row>
    <row r="328" spans="1:17" x14ac:dyDescent="0.25">
      <c r="A328" s="2" t="str">
        <f>HYPERLINK("https://www.ncbi.nlm.nih.gov/pubmed/15482893","15482893")</f>
        <v>15482893</v>
      </c>
      <c r="B328">
        <f t="shared" si="21"/>
        <v>8</v>
      </c>
      <c r="C328">
        <f t="shared" si="21"/>
        <v>1</v>
      </c>
      <c r="D328">
        <f t="shared" si="21"/>
        <v>0</v>
      </c>
      <c r="E328">
        <f t="shared" si="22"/>
        <v>9</v>
      </c>
      <c r="F328">
        <v>2004</v>
      </c>
      <c r="G328" t="s">
        <v>5899</v>
      </c>
      <c r="H328">
        <v>0</v>
      </c>
      <c r="I328" s="65">
        <v>0</v>
      </c>
      <c r="J328" t="s">
        <v>5900</v>
      </c>
      <c r="K328" s="35" t="s">
        <v>1052</v>
      </c>
      <c r="L328" s="35" t="s">
        <v>7210</v>
      </c>
      <c r="M328" s="39" t="str">
        <f>HYPERLINK("http://dx.doi.org/10.1016/j.vetpar.2004.08.001","10.1016/j.vetpar.2004.08.001")</f>
        <v>10.1016/j.vetpar.2004.08.001</v>
      </c>
      <c r="N328" s="40" t="s">
        <v>5897</v>
      </c>
      <c r="O328" s="40" t="s">
        <v>1741</v>
      </c>
      <c r="P328" s="40" t="s">
        <v>5901</v>
      </c>
      <c r="Q328" t="s">
        <v>316</v>
      </c>
    </row>
    <row r="329" spans="1:17" x14ac:dyDescent="0.25">
      <c r="A329" s="2" t="str">
        <f>HYPERLINK("https://www.ncbi.nlm.nih.gov/pubmed/15261399","15261399")</f>
        <v>15261399</v>
      </c>
      <c r="B329">
        <f t="shared" si="21"/>
        <v>8</v>
      </c>
      <c r="C329">
        <f t="shared" si="21"/>
        <v>0</v>
      </c>
      <c r="D329">
        <f t="shared" si="21"/>
        <v>0</v>
      </c>
      <c r="E329">
        <f t="shared" si="22"/>
        <v>8</v>
      </c>
      <c r="F329">
        <v>2004</v>
      </c>
      <c r="G329" t="s">
        <v>5924</v>
      </c>
      <c r="H329">
        <v>0</v>
      </c>
      <c r="I329" s="65">
        <v>0</v>
      </c>
      <c r="J329" t="s">
        <v>5926</v>
      </c>
      <c r="K329" s="35" t="s">
        <v>707</v>
      </c>
      <c r="L329" s="35" t="s">
        <v>5925</v>
      </c>
      <c r="M329" s="39" t="str">
        <f>HYPERLINK("http://dx.doi.org/10.1016/j.envpol.2004.03.012","10.1016/j.envpol.2004.03.012")</f>
        <v>10.1016/j.envpol.2004.03.012</v>
      </c>
      <c r="N329" s="40" t="s">
        <v>1926</v>
      </c>
      <c r="O329" s="40" t="s">
        <v>750</v>
      </c>
      <c r="P329" s="40" t="s">
        <v>5927</v>
      </c>
      <c r="Q329" t="s">
        <v>316</v>
      </c>
    </row>
    <row r="330" spans="1:17" x14ac:dyDescent="0.25">
      <c r="A330" s="2" t="str">
        <f>HYPERLINK("https://www.ncbi.nlm.nih.gov/pubmed/14994816","14994816")</f>
        <v>14994816</v>
      </c>
      <c r="B330">
        <f t="shared" si="21"/>
        <v>8</v>
      </c>
      <c r="C330">
        <f t="shared" si="21"/>
        <v>0</v>
      </c>
      <c r="D330">
        <f t="shared" si="21"/>
        <v>0</v>
      </c>
      <c r="E330">
        <f t="shared" si="22"/>
        <v>8</v>
      </c>
      <c r="F330">
        <v>2003</v>
      </c>
      <c r="G330" t="s">
        <v>5969</v>
      </c>
      <c r="H330">
        <v>0</v>
      </c>
      <c r="I330" s="65">
        <v>0</v>
      </c>
      <c r="J330" t="s">
        <v>5971</v>
      </c>
      <c r="K330" s="35" t="s">
        <v>909</v>
      </c>
      <c r="L330" s="35" t="s">
        <v>5970</v>
      </c>
      <c r="M330" s="39" t="str">
        <f>HYPERLINK("http://dx.doi.org/10.1093/jee/96.2.461","10.1093/jee/96.2.461")</f>
        <v>10.1093/jee/96.2.461</v>
      </c>
      <c r="N330" s="40" t="s">
        <v>3165</v>
      </c>
      <c r="O330" s="40" t="s">
        <v>744</v>
      </c>
      <c r="P330" s="40" t="s">
        <v>5972</v>
      </c>
      <c r="Q330" t="s">
        <v>316</v>
      </c>
    </row>
    <row r="331" spans="1:17" x14ac:dyDescent="0.25">
      <c r="A331" s="2" t="str">
        <f>HYPERLINK("https://www.ncbi.nlm.nih.gov/pubmed/14637375","14637375")</f>
        <v>14637375</v>
      </c>
      <c r="B331">
        <f t="shared" si="21"/>
        <v>8</v>
      </c>
      <c r="C331">
        <f t="shared" si="21"/>
        <v>0</v>
      </c>
      <c r="D331">
        <f t="shared" si="21"/>
        <v>0</v>
      </c>
      <c r="E331">
        <f t="shared" si="22"/>
        <v>8</v>
      </c>
      <c r="F331">
        <v>2003</v>
      </c>
      <c r="G331" t="s">
        <v>6000</v>
      </c>
      <c r="H331">
        <v>0</v>
      </c>
      <c r="I331" s="65">
        <v>0</v>
      </c>
      <c r="J331" t="s">
        <v>6001</v>
      </c>
      <c r="K331" s="35" t="s">
        <v>937</v>
      </c>
      <c r="L331" s="35" t="s">
        <v>7222</v>
      </c>
      <c r="M331" s="39" t="str">
        <f>HYPERLINK("http://dx.doi.org/10.1016/S0161-813X(03)00041-X","10.1016/S0161-813X(03)00041-X")</f>
        <v>10.1016/S0161-813X(03)00041-X</v>
      </c>
      <c r="N331" s="40" t="s">
        <v>1188</v>
      </c>
      <c r="O331" s="40" t="s">
        <v>741</v>
      </c>
      <c r="P331" s="40" t="s">
        <v>6002</v>
      </c>
      <c r="Q331" t="s">
        <v>316</v>
      </c>
    </row>
    <row r="332" spans="1:17" x14ac:dyDescent="0.25">
      <c r="A332" s="2" t="str">
        <f>HYPERLINK("https://www.ncbi.nlm.nih.gov/pubmed/12825673","12825673")</f>
        <v>12825673</v>
      </c>
      <c r="B332">
        <f t="shared" si="21"/>
        <v>8</v>
      </c>
      <c r="C332">
        <f t="shared" si="21"/>
        <v>0</v>
      </c>
      <c r="D332">
        <f t="shared" si="21"/>
        <v>0</v>
      </c>
      <c r="E332">
        <f t="shared" si="22"/>
        <v>8</v>
      </c>
      <c r="F332">
        <v>2003</v>
      </c>
      <c r="G332" t="s">
        <v>6042</v>
      </c>
      <c r="H332">
        <v>0</v>
      </c>
      <c r="I332" s="65">
        <v>0</v>
      </c>
      <c r="J332" t="s">
        <v>6043</v>
      </c>
      <c r="K332" s="35" t="s">
        <v>5072</v>
      </c>
      <c r="L332" s="35" t="s">
        <v>7226</v>
      </c>
      <c r="M332" s="39" t="str">
        <f>HYPERLINK("http://dx.doi.org/","")</f>
        <v/>
      </c>
      <c r="N332" s="40" t="s">
        <v>1115</v>
      </c>
      <c r="O332" s="40" t="s">
        <v>744</v>
      </c>
      <c r="P332" s="40" t="s">
        <v>6044</v>
      </c>
      <c r="Q332" t="s">
        <v>316</v>
      </c>
    </row>
    <row r="333" spans="1:17" x14ac:dyDescent="0.25">
      <c r="A333" s="2" t="str">
        <f>HYPERLINK("https://www.ncbi.nlm.nih.gov/pubmed/12712298","12712298")</f>
        <v>12712298</v>
      </c>
      <c r="B333">
        <f t="shared" si="21"/>
        <v>8</v>
      </c>
      <c r="C333">
        <f t="shared" si="21"/>
        <v>0</v>
      </c>
      <c r="D333">
        <f t="shared" si="21"/>
        <v>0</v>
      </c>
      <c r="E333">
        <f t="shared" si="22"/>
        <v>8</v>
      </c>
      <c r="F333">
        <v>2003</v>
      </c>
      <c r="G333" t="s">
        <v>6074</v>
      </c>
      <c r="H333">
        <v>0</v>
      </c>
      <c r="I333" s="65">
        <v>0</v>
      </c>
      <c r="J333" t="s">
        <v>6075</v>
      </c>
      <c r="K333" s="35" t="s">
        <v>1395</v>
      </c>
      <c r="L333" s="35" t="s">
        <v>7228</v>
      </c>
      <c r="M333" s="39" t="str">
        <f>HYPERLINK("http://dx.doi.org/10.1007/s00244-002-1271-7","10.1007/s00244-002-1271-7")</f>
        <v>10.1007/s00244-002-1271-7</v>
      </c>
      <c r="N333" s="40" t="s">
        <v>2001</v>
      </c>
      <c r="O333" s="40" t="s">
        <v>750</v>
      </c>
      <c r="P333" s="40" t="s">
        <v>6076</v>
      </c>
      <c r="Q333" t="s">
        <v>316</v>
      </c>
    </row>
    <row r="334" spans="1:17" x14ac:dyDescent="0.25">
      <c r="A334" s="2" t="str">
        <f>HYPERLINK("https://www.ncbi.nlm.nih.gov/pubmed/12581587","12581587")</f>
        <v>12581587</v>
      </c>
      <c r="B334">
        <f t="shared" si="21"/>
        <v>8</v>
      </c>
      <c r="C334">
        <f t="shared" si="21"/>
        <v>0</v>
      </c>
      <c r="D334">
        <f t="shared" si="21"/>
        <v>0</v>
      </c>
      <c r="E334">
        <f t="shared" si="22"/>
        <v>8</v>
      </c>
      <c r="F334">
        <v>2003</v>
      </c>
      <c r="G334" t="s">
        <v>6102</v>
      </c>
      <c r="H334">
        <v>0</v>
      </c>
      <c r="I334" s="65">
        <v>0</v>
      </c>
      <c r="J334" t="s">
        <v>6103</v>
      </c>
      <c r="K334" s="35" t="s">
        <v>1052</v>
      </c>
      <c r="L334" s="35" t="s">
        <v>7231</v>
      </c>
      <c r="M334" s="39" t="str">
        <f>HYPERLINK("http://dx.doi.org/10.1016/s0304-4017(02)00410-7","10.1016/s0304-4017(02)00410-7")</f>
        <v>10.1016/s0304-4017(02)00410-7</v>
      </c>
      <c r="N334" s="40" t="s">
        <v>2026</v>
      </c>
      <c r="O334" s="40" t="s">
        <v>3531</v>
      </c>
      <c r="P334" s="40" t="s">
        <v>5040</v>
      </c>
      <c r="Q334" t="s">
        <v>316</v>
      </c>
    </row>
    <row r="335" spans="1:17" x14ac:dyDescent="0.25">
      <c r="A335" s="2" t="str">
        <f>HYPERLINK("https://www.ncbi.nlm.nih.gov/pubmed/11583448","11583448")</f>
        <v>11583448</v>
      </c>
      <c r="B335">
        <f t="shared" si="21"/>
        <v>8</v>
      </c>
      <c r="C335">
        <f t="shared" si="21"/>
        <v>1</v>
      </c>
      <c r="D335">
        <f t="shared" si="21"/>
        <v>0</v>
      </c>
      <c r="E335">
        <f t="shared" si="22"/>
        <v>9</v>
      </c>
      <c r="F335">
        <v>2001</v>
      </c>
      <c r="G335" t="s">
        <v>6223</v>
      </c>
      <c r="H335">
        <v>0</v>
      </c>
      <c r="I335" s="65">
        <v>0</v>
      </c>
      <c r="J335" t="s">
        <v>6225</v>
      </c>
      <c r="K335" s="35" t="s">
        <v>1466</v>
      </c>
      <c r="L335" s="35" t="s">
        <v>6224</v>
      </c>
      <c r="M335" s="39" t="str">
        <f>HYPERLINK("http://dx.doi.org/10.1046/j.0269-283x.2001.00302.x","10.1046/j.0269-283x.2001.00302.x")</f>
        <v>10.1046/j.0269-283x.2001.00302.x</v>
      </c>
      <c r="N335" s="40" t="s">
        <v>929</v>
      </c>
      <c r="O335" s="40" t="s">
        <v>750</v>
      </c>
      <c r="P335" s="40" t="s">
        <v>6090</v>
      </c>
      <c r="Q335" t="s">
        <v>316</v>
      </c>
    </row>
    <row r="336" spans="1:17" x14ac:dyDescent="0.25">
      <c r="A336" s="2" t="str">
        <f>HYPERLINK("https://www.ncbi.nlm.nih.gov/pubmed/10952672","10952672")</f>
        <v>10952672</v>
      </c>
      <c r="B336">
        <f t="shared" si="21"/>
        <v>8</v>
      </c>
      <c r="C336">
        <f t="shared" si="21"/>
        <v>0</v>
      </c>
      <c r="D336">
        <f t="shared" si="21"/>
        <v>0</v>
      </c>
      <c r="E336">
        <f t="shared" si="22"/>
        <v>8</v>
      </c>
      <c r="F336">
        <v>2000</v>
      </c>
      <c r="G336" t="s">
        <v>6341</v>
      </c>
      <c r="H336">
        <v>0</v>
      </c>
      <c r="I336" s="64" t="str">
        <f>HYPERLINK("https://www.ncbi.nlm.nih.gov/research/pubtator/?view=docsum&amp;query=PMC1572267","1")</f>
        <v>1</v>
      </c>
      <c r="J336" t="s">
        <v>6342</v>
      </c>
      <c r="K336" s="35" t="s">
        <v>1873</v>
      </c>
      <c r="L336" s="35" t="s">
        <v>7257</v>
      </c>
      <c r="M336" s="39" t="str">
        <f>HYPERLINK("http://dx.doi.org/10.1038/sj.bjp.0703507","10.1038/sj.bjp.0703507")</f>
        <v>10.1038/sj.bjp.0703507</v>
      </c>
      <c r="N336" s="40" t="s">
        <v>5794</v>
      </c>
      <c r="O336" s="40" t="s">
        <v>781</v>
      </c>
      <c r="P336" s="40" t="s">
        <v>6343</v>
      </c>
      <c r="Q336" t="s">
        <v>316</v>
      </c>
    </row>
    <row r="337" spans="1:17" x14ac:dyDescent="0.25">
      <c r="A337" s="2" t="str">
        <f>HYPERLINK("https://www.ncbi.nlm.nih.gov/pubmed/10902342","10902342")</f>
        <v>10902342</v>
      </c>
      <c r="B337">
        <f t="shared" si="21"/>
        <v>8</v>
      </c>
      <c r="C337">
        <f t="shared" si="21"/>
        <v>0</v>
      </c>
      <c r="D337">
        <f t="shared" si="21"/>
        <v>0</v>
      </c>
      <c r="E337">
        <f t="shared" si="22"/>
        <v>8</v>
      </c>
      <c r="F337">
        <v>2000</v>
      </c>
      <c r="G337" t="s">
        <v>6348</v>
      </c>
      <c r="H337">
        <v>0</v>
      </c>
      <c r="I337" s="65">
        <v>0</v>
      </c>
      <c r="J337" t="s">
        <v>6350</v>
      </c>
      <c r="K337" s="35" t="s">
        <v>909</v>
      </c>
      <c r="L337" s="35" t="s">
        <v>6349</v>
      </c>
      <c r="M337" s="39" t="str">
        <f>HYPERLINK("http://dx.doi.org/10.1603/0022-0493-93.3.858","10.1603/0022-0493-93.3.858")</f>
        <v>10.1603/0022-0493-93.3.858</v>
      </c>
      <c r="N337" s="40" t="s">
        <v>1900</v>
      </c>
      <c r="O337" s="40" t="s">
        <v>750</v>
      </c>
      <c r="P337" s="40" t="s">
        <v>6351</v>
      </c>
      <c r="Q337" t="s">
        <v>316</v>
      </c>
    </row>
    <row r="338" spans="1:17" x14ac:dyDescent="0.25">
      <c r="A338" s="2" t="str">
        <f>HYPERLINK("https://www.ncbi.nlm.nih.gov/pubmed/19757578","19757578")</f>
        <v>19757578</v>
      </c>
      <c r="B338">
        <f t="shared" si="21"/>
        <v>8</v>
      </c>
      <c r="C338">
        <f t="shared" si="21"/>
        <v>0</v>
      </c>
      <c r="D338">
        <f t="shared" si="21"/>
        <v>0</v>
      </c>
      <c r="E338">
        <f t="shared" si="22"/>
        <v>8</v>
      </c>
      <c r="F338">
        <v>2000</v>
      </c>
      <c r="G338" t="s">
        <v>6352</v>
      </c>
      <c r="H338">
        <v>0</v>
      </c>
      <c r="I338" s="65">
        <v>0</v>
      </c>
      <c r="J338" t="s">
        <v>6353</v>
      </c>
      <c r="K338" s="35" t="s">
        <v>5052</v>
      </c>
      <c r="L338" s="35" t="s">
        <v>7258</v>
      </c>
      <c r="M338" s="39" t="str">
        <f>HYPERLINK("http://dx.doi.org/","")</f>
        <v/>
      </c>
      <c r="N338" s="40" t="s">
        <v>638</v>
      </c>
      <c r="O338" s="40" t="s">
        <v>750</v>
      </c>
      <c r="P338" s="40" t="s">
        <v>6354</v>
      </c>
      <c r="Q338" t="s">
        <v>316</v>
      </c>
    </row>
    <row r="339" spans="1:17" x14ac:dyDescent="0.25">
      <c r="A339" s="2" t="str">
        <f>HYPERLINK("https://www.ncbi.nlm.nih.gov/pubmed/7582519","7582519")</f>
        <v>7582519</v>
      </c>
      <c r="B339">
        <f t="shared" si="21"/>
        <v>8</v>
      </c>
      <c r="C339">
        <f t="shared" si="21"/>
        <v>0</v>
      </c>
      <c r="D339">
        <f t="shared" si="21"/>
        <v>0</v>
      </c>
      <c r="E339">
        <f t="shared" si="22"/>
        <v>8</v>
      </c>
      <c r="F339">
        <v>1995</v>
      </c>
      <c r="G339" t="s">
        <v>6476</v>
      </c>
      <c r="H339">
        <v>0</v>
      </c>
      <c r="I339" s="64" t="str">
        <f>HYPERLINK("https://www.ncbi.nlm.nih.gov/research/pubtator/?view=docsum&amp;query=PMC1909003","1")</f>
        <v>1</v>
      </c>
      <c r="J339" t="s">
        <v>6478</v>
      </c>
      <c r="K339" s="35" t="s">
        <v>1873</v>
      </c>
      <c r="L339" s="35" t="s">
        <v>6477</v>
      </c>
      <c r="M339" s="39" t="str">
        <f>HYPERLINK("http://dx.doi.org/10.1111/j.1476-5381.1995.tb15896.x","10.1111/j.1476-5381.1995.tb15896.x")</f>
        <v>10.1111/j.1476-5381.1995.tb15896.x</v>
      </c>
      <c r="N339" s="40" t="s">
        <v>2118</v>
      </c>
      <c r="O339" s="40" t="s">
        <v>741</v>
      </c>
      <c r="P339" s="40" t="s">
        <v>6479</v>
      </c>
      <c r="Q339" t="s">
        <v>316</v>
      </c>
    </row>
    <row r="340" spans="1:17" x14ac:dyDescent="0.25">
      <c r="A340" s="2" t="str">
        <f>HYPERLINK("https://www.ncbi.nlm.nih.gov/pubmed/34365981","34365981")</f>
        <v>34365981</v>
      </c>
      <c r="B340">
        <f t="shared" si="21"/>
        <v>7</v>
      </c>
      <c r="C340">
        <f t="shared" si="21"/>
        <v>0</v>
      </c>
      <c r="D340">
        <f t="shared" si="21"/>
        <v>0</v>
      </c>
      <c r="E340">
        <f t="shared" si="22"/>
        <v>7</v>
      </c>
      <c r="F340">
        <v>2021</v>
      </c>
      <c r="G340" t="s">
        <v>793</v>
      </c>
      <c r="H340">
        <v>0</v>
      </c>
      <c r="I340" s="65">
        <v>0</v>
      </c>
      <c r="J340" t="s">
        <v>795</v>
      </c>
      <c r="K340" s="35" t="s">
        <v>796</v>
      </c>
      <c r="L340" s="35" t="s">
        <v>794</v>
      </c>
      <c r="M340" s="39" t="str">
        <f>HYPERLINK("http://dx.doi.org/10.1017/S0007485321000651","10.1017/S0007485321000651")</f>
        <v>10.1017/S0007485321000651</v>
      </c>
      <c r="N340" s="40" t="s">
        <v>383</v>
      </c>
      <c r="O340" s="40" t="s">
        <v>383</v>
      </c>
      <c r="P340" s="40" t="s">
        <v>797</v>
      </c>
      <c r="Q340" t="s">
        <v>316</v>
      </c>
    </row>
    <row r="341" spans="1:17" x14ac:dyDescent="0.25">
      <c r="A341" s="2" t="str">
        <f>HYPERLINK("https://www.ncbi.nlm.nih.gov/pubmed/34226905","34226905")</f>
        <v>34226905</v>
      </c>
      <c r="B341">
        <f t="shared" si="21"/>
        <v>7</v>
      </c>
      <c r="C341">
        <f t="shared" si="21"/>
        <v>0</v>
      </c>
      <c r="D341">
        <f t="shared" si="21"/>
        <v>0</v>
      </c>
      <c r="E341">
        <f t="shared" si="22"/>
        <v>7</v>
      </c>
      <c r="F341">
        <v>2021</v>
      </c>
      <c r="G341" t="s">
        <v>854</v>
      </c>
      <c r="H341">
        <v>0</v>
      </c>
      <c r="I341" s="65">
        <v>0</v>
      </c>
      <c r="J341" t="s">
        <v>856</v>
      </c>
      <c r="K341" s="35" t="s">
        <v>857</v>
      </c>
      <c r="L341" s="35" t="s">
        <v>855</v>
      </c>
      <c r="M341" s="39" t="str">
        <f>HYPERLINK("http://dx.doi.org/10.1039/d1ay00769f","10.1039/d1ay00769f")</f>
        <v>10.1039/d1ay00769f</v>
      </c>
      <c r="N341" s="40" t="s">
        <v>742</v>
      </c>
      <c r="O341" s="40" t="s">
        <v>858</v>
      </c>
      <c r="P341" s="40" t="s">
        <v>859</v>
      </c>
      <c r="Q341" t="s">
        <v>316</v>
      </c>
    </row>
    <row r="342" spans="1:17" x14ac:dyDescent="0.25">
      <c r="A342" s="2" t="str">
        <f>HYPERLINK("https://www.ncbi.nlm.nih.gov/pubmed/34157958","34157958")</f>
        <v>34157958</v>
      </c>
      <c r="B342">
        <f t="shared" si="21"/>
        <v>7</v>
      </c>
      <c r="C342">
        <f t="shared" si="21"/>
        <v>0</v>
      </c>
      <c r="D342">
        <f t="shared" si="21"/>
        <v>0</v>
      </c>
      <c r="E342">
        <f t="shared" si="22"/>
        <v>7</v>
      </c>
      <c r="F342">
        <v>2021</v>
      </c>
      <c r="G342" t="s">
        <v>893</v>
      </c>
      <c r="H342">
        <v>0</v>
      </c>
      <c r="I342" s="65">
        <v>0</v>
      </c>
      <c r="J342" t="s">
        <v>895</v>
      </c>
      <c r="K342" s="35" t="s">
        <v>896</v>
      </c>
      <c r="L342" s="35" t="s">
        <v>894</v>
      </c>
      <c r="M342" s="39" t="str">
        <f>HYPERLINK("http://dx.doi.org/10.1080/19440049.2021.1934573","10.1080/19440049.2021.1934573")</f>
        <v>10.1080/19440049.2021.1934573</v>
      </c>
      <c r="N342" s="40" t="s">
        <v>383</v>
      </c>
      <c r="O342" s="40" t="s">
        <v>383</v>
      </c>
      <c r="P342" s="40" t="s">
        <v>897</v>
      </c>
      <c r="Q342" t="s">
        <v>316</v>
      </c>
    </row>
    <row r="343" spans="1:17" x14ac:dyDescent="0.25">
      <c r="A343" s="2" t="str">
        <f>HYPERLINK("https://www.ncbi.nlm.nih.gov/pubmed/34030066","34030066")</f>
        <v>34030066</v>
      </c>
      <c r="B343">
        <f t="shared" si="21"/>
        <v>7</v>
      </c>
      <c r="C343">
        <f t="shared" si="21"/>
        <v>0</v>
      </c>
      <c r="D343">
        <f t="shared" si="21"/>
        <v>0</v>
      </c>
      <c r="E343">
        <f t="shared" si="22"/>
        <v>7</v>
      </c>
      <c r="F343">
        <v>2021</v>
      </c>
      <c r="G343" t="s">
        <v>940</v>
      </c>
      <c r="H343">
        <v>0</v>
      </c>
      <c r="I343" s="65">
        <v>0</v>
      </c>
      <c r="J343" t="s">
        <v>941</v>
      </c>
      <c r="K343" s="35" t="s">
        <v>707</v>
      </c>
      <c r="L343" s="35" t="s">
        <v>6543</v>
      </c>
      <c r="M343" s="39" t="str">
        <f>HYPERLINK("http://dx.doi.org/10.1016/j.envpol.2021.117384","10.1016/j.envpol.2021.117384")</f>
        <v>10.1016/j.envpol.2021.117384</v>
      </c>
      <c r="N343" s="40" t="s">
        <v>942</v>
      </c>
      <c r="O343" s="40" t="s">
        <v>383</v>
      </c>
      <c r="P343" s="40" t="s">
        <v>943</v>
      </c>
      <c r="Q343" t="s">
        <v>316</v>
      </c>
    </row>
    <row r="344" spans="1:17" x14ac:dyDescent="0.25">
      <c r="A344" s="2" t="str">
        <f>HYPERLINK("https://www.ncbi.nlm.nih.gov/pubmed/33605390","33605390")</f>
        <v>33605390</v>
      </c>
      <c r="B344">
        <f t="shared" ref="B344:D363" si="23">IF(ISBLANK(B$3),0,(LEN($L344) - LEN(SUBSTITUTE(LOWER($L344),LOWER(B$3),"")))/LEN(B$3))</f>
        <v>7</v>
      </c>
      <c r="C344">
        <f t="shared" si="23"/>
        <v>0</v>
      </c>
      <c r="D344">
        <f t="shared" si="23"/>
        <v>0</v>
      </c>
      <c r="E344">
        <f t="shared" si="22"/>
        <v>7</v>
      </c>
      <c r="F344">
        <v>2021</v>
      </c>
      <c r="G344" t="s">
        <v>1081</v>
      </c>
      <c r="H344">
        <v>0</v>
      </c>
      <c r="I344" s="65">
        <v>0</v>
      </c>
      <c r="J344" t="s">
        <v>1083</v>
      </c>
      <c r="K344" s="35" t="s">
        <v>1008</v>
      </c>
      <c r="L344" s="35" t="s">
        <v>1082</v>
      </c>
      <c r="M344" s="39" t="str">
        <f>HYPERLINK("http://dx.doi.org/10.1590/S1984-296120201091","10.1590/S1984-296120201091")</f>
        <v>10.1590/S1984-296120201091</v>
      </c>
      <c r="N344" s="40" t="s">
        <v>745</v>
      </c>
      <c r="O344" s="40" t="s">
        <v>638</v>
      </c>
      <c r="P344" s="40" t="s">
        <v>1084</v>
      </c>
      <c r="Q344" t="s">
        <v>316</v>
      </c>
    </row>
    <row r="345" spans="1:17" x14ac:dyDescent="0.25">
      <c r="A345" s="2" t="str">
        <f>HYPERLINK("https://www.ncbi.nlm.nih.gov/pubmed/33506217","33506217")</f>
        <v>33506217</v>
      </c>
      <c r="B345">
        <f t="shared" si="23"/>
        <v>7</v>
      </c>
      <c r="C345">
        <f t="shared" si="23"/>
        <v>0</v>
      </c>
      <c r="D345">
        <f t="shared" si="23"/>
        <v>0</v>
      </c>
      <c r="E345">
        <f t="shared" si="22"/>
        <v>7</v>
      </c>
      <c r="F345">
        <v>2021</v>
      </c>
      <c r="G345" t="s">
        <v>1100</v>
      </c>
      <c r="H345">
        <v>1</v>
      </c>
      <c r="I345" s="64" t="str">
        <f>HYPERLINK("https://www.ncbi.nlm.nih.gov/research/pubtator/?view=docsum&amp;query=PMC7810392","1")</f>
        <v>1</v>
      </c>
      <c r="J345" t="s">
        <v>1102</v>
      </c>
      <c r="K345" s="35" t="s">
        <v>1103</v>
      </c>
      <c r="L345" s="35" t="s">
        <v>1101</v>
      </c>
      <c r="M345" s="39" t="str">
        <f>HYPERLINK("http://dx.doi.org/10.5851/kosfa.2020.e76","10.5851/kosfa.2020.e76")</f>
        <v>10.5851/kosfa.2020.e76</v>
      </c>
      <c r="N345" s="40" t="s">
        <v>1104</v>
      </c>
      <c r="O345" s="40" t="s">
        <v>638</v>
      </c>
      <c r="P345" s="40" t="s">
        <v>1105</v>
      </c>
      <c r="Q345" t="s">
        <v>316</v>
      </c>
    </row>
    <row r="346" spans="1:17" x14ac:dyDescent="0.25">
      <c r="A346" s="2" t="str">
        <f>HYPERLINK("https://www.ncbi.nlm.nih.gov/pubmed/33405149","33405149")</f>
        <v>33405149</v>
      </c>
      <c r="B346">
        <f t="shared" si="23"/>
        <v>7</v>
      </c>
      <c r="C346">
        <f t="shared" si="23"/>
        <v>1</v>
      </c>
      <c r="D346">
        <f t="shared" si="23"/>
        <v>0</v>
      </c>
      <c r="E346">
        <f t="shared" si="22"/>
        <v>8</v>
      </c>
      <c r="F346">
        <v>2021</v>
      </c>
      <c r="G346" t="s">
        <v>1143</v>
      </c>
      <c r="H346">
        <v>0</v>
      </c>
      <c r="I346" s="65">
        <v>0</v>
      </c>
      <c r="J346" t="s">
        <v>1144</v>
      </c>
      <c r="K346" s="35" t="s">
        <v>810</v>
      </c>
      <c r="L346" s="35" t="s">
        <v>6563</v>
      </c>
      <c r="M346" s="39" t="str">
        <f>HYPERLINK("http://dx.doi.org/10.1007/s11356-020-11948-w","10.1007/s11356-020-11948-w")</f>
        <v>10.1007/s11356-020-11948-w</v>
      </c>
      <c r="N346" s="40" t="s">
        <v>731</v>
      </c>
      <c r="O346" s="40" t="s">
        <v>780</v>
      </c>
      <c r="P346" s="40" t="s">
        <v>1145</v>
      </c>
      <c r="Q346" t="s">
        <v>316</v>
      </c>
    </row>
    <row r="347" spans="1:17" x14ac:dyDescent="0.25">
      <c r="A347" s="2" t="str">
        <f>HYPERLINK("https://www.ncbi.nlm.nih.gov/pubmed/33335833","33335833")</f>
        <v>33335833</v>
      </c>
      <c r="B347">
        <f t="shared" si="23"/>
        <v>7</v>
      </c>
      <c r="C347">
        <f t="shared" si="23"/>
        <v>0</v>
      </c>
      <c r="D347">
        <f t="shared" si="23"/>
        <v>0</v>
      </c>
      <c r="E347">
        <f t="shared" si="22"/>
        <v>7</v>
      </c>
      <c r="F347">
        <v>2020</v>
      </c>
      <c r="G347" t="s">
        <v>1179</v>
      </c>
      <c r="H347">
        <v>0</v>
      </c>
      <c r="I347" s="64" t="str">
        <f>HYPERLINK("https://www.ncbi.nlm.nih.gov/research/pubtator/?view=docsum&amp;query=PMC7732869","1")</f>
        <v>1</v>
      </c>
      <c r="J347" t="s">
        <v>1181</v>
      </c>
      <c r="K347" s="35" t="s">
        <v>1182</v>
      </c>
      <c r="L347" s="35" t="s">
        <v>1180</v>
      </c>
      <c r="M347" s="39" t="str">
        <f>HYPERLINK("http://dx.doi.org/10.1016/j.ijppaw.2020.11.005","10.1016/j.ijppaw.2020.11.005")</f>
        <v>10.1016/j.ijppaw.2020.11.005</v>
      </c>
      <c r="N347" s="40" t="s">
        <v>742</v>
      </c>
      <c r="O347" s="40" t="s">
        <v>383</v>
      </c>
      <c r="P347" s="40" t="s">
        <v>1183</v>
      </c>
      <c r="Q347" t="s">
        <v>316</v>
      </c>
    </row>
    <row r="348" spans="1:17" x14ac:dyDescent="0.25">
      <c r="A348" s="2" t="str">
        <f>HYPERLINK("https://www.ncbi.nlm.nih.gov/pubmed/33225403","33225403")</f>
        <v>33225403</v>
      </c>
      <c r="B348">
        <f t="shared" si="23"/>
        <v>7</v>
      </c>
      <c r="C348">
        <f t="shared" si="23"/>
        <v>0</v>
      </c>
      <c r="D348">
        <f t="shared" si="23"/>
        <v>0</v>
      </c>
      <c r="E348">
        <f t="shared" si="22"/>
        <v>7</v>
      </c>
      <c r="F348">
        <v>2021</v>
      </c>
      <c r="G348" t="s">
        <v>1208</v>
      </c>
      <c r="H348">
        <v>0</v>
      </c>
      <c r="I348" s="65">
        <v>0</v>
      </c>
      <c r="J348" t="s">
        <v>1209</v>
      </c>
      <c r="K348" s="35" t="s">
        <v>1210</v>
      </c>
      <c r="L348" s="35" t="s">
        <v>6575</v>
      </c>
      <c r="M348" s="39" t="str">
        <f>HYPERLINK("http://dx.doi.org/10.1007/s00436-020-06981-0","10.1007/s00436-020-06981-0")</f>
        <v>10.1007/s00436-020-06981-0</v>
      </c>
      <c r="N348" s="40" t="s">
        <v>1211</v>
      </c>
      <c r="O348" s="40" t="s">
        <v>638</v>
      </c>
      <c r="P348" s="40" t="s">
        <v>1212</v>
      </c>
      <c r="Q348" t="s">
        <v>316</v>
      </c>
    </row>
    <row r="349" spans="1:17" x14ac:dyDescent="0.25">
      <c r="A349" s="2" t="str">
        <f>HYPERLINK("https://www.ncbi.nlm.nih.gov/pubmed/33038631","33038631")</f>
        <v>33038631</v>
      </c>
      <c r="B349">
        <f t="shared" si="23"/>
        <v>7</v>
      </c>
      <c r="C349">
        <f t="shared" si="23"/>
        <v>0</v>
      </c>
      <c r="D349">
        <f t="shared" si="23"/>
        <v>0</v>
      </c>
      <c r="E349">
        <f t="shared" si="22"/>
        <v>7</v>
      </c>
      <c r="F349">
        <v>2021</v>
      </c>
      <c r="G349" t="s">
        <v>1306</v>
      </c>
      <c r="H349">
        <v>0</v>
      </c>
      <c r="I349" s="64" t="str">
        <f>HYPERLINK("https://www.ncbi.nlm.nih.gov/research/pubtator/?view=docsum&amp;query=PMC7746585","1")</f>
        <v>1</v>
      </c>
      <c r="J349" t="s">
        <v>1307</v>
      </c>
      <c r="K349" s="35" t="s">
        <v>707</v>
      </c>
      <c r="L349" s="35" t="s">
        <v>6587</v>
      </c>
      <c r="M349" s="39" t="str">
        <f>HYPERLINK("http://dx.doi.org/10.1016/j.envpol.2020.115586","10.1016/j.envpol.2020.115586")</f>
        <v>10.1016/j.envpol.2020.115586</v>
      </c>
      <c r="N349" s="40" t="s">
        <v>1308</v>
      </c>
      <c r="O349" s="40" t="s">
        <v>709</v>
      </c>
      <c r="P349" s="40" t="s">
        <v>1309</v>
      </c>
      <c r="Q349" t="s">
        <v>316</v>
      </c>
    </row>
    <row r="350" spans="1:17" x14ac:dyDescent="0.25">
      <c r="A350" s="2" t="str">
        <f>HYPERLINK("https://www.ncbi.nlm.nih.gov/pubmed/32930187","32930187")</f>
        <v>32930187</v>
      </c>
      <c r="B350">
        <f t="shared" si="23"/>
        <v>7</v>
      </c>
      <c r="C350">
        <f t="shared" si="23"/>
        <v>0</v>
      </c>
      <c r="D350">
        <f t="shared" si="23"/>
        <v>0</v>
      </c>
      <c r="E350">
        <f t="shared" si="22"/>
        <v>7</v>
      </c>
      <c r="F350">
        <v>2020</v>
      </c>
      <c r="G350" t="s">
        <v>1366</v>
      </c>
      <c r="H350">
        <v>0</v>
      </c>
      <c r="I350" s="65">
        <v>0</v>
      </c>
      <c r="J350" t="s">
        <v>1368</v>
      </c>
      <c r="K350" s="35" t="s">
        <v>857</v>
      </c>
      <c r="L350" s="35" t="s">
        <v>1367</v>
      </c>
      <c r="M350" s="39" t="str">
        <f>HYPERLINK("http://dx.doi.org/10.1039/d0ay00924e","10.1039/d0ay00924e")</f>
        <v>10.1039/d0ay00924e</v>
      </c>
      <c r="N350" s="40" t="s">
        <v>915</v>
      </c>
      <c r="O350" s="40" t="s">
        <v>1369</v>
      </c>
      <c r="P350" s="40" t="s">
        <v>1370</v>
      </c>
      <c r="Q350" t="s">
        <v>316</v>
      </c>
    </row>
    <row r="351" spans="1:17" x14ac:dyDescent="0.25">
      <c r="A351" s="2" t="str">
        <f>HYPERLINK("https://www.ncbi.nlm.nih.gov/pubmed/32860623","32860623")</f>
        <v>32860623</v>
      </c>
      <c r="B351">
        <f t="shared" si="23"/>
        <v>7</v>
      </c>
      <c r="C351">
        <f t="shared" si="23"/>
        <v>3</v>
      </c>
      <c r="D351">
        <f t="shared" si="23"/>
        <v>0</v>
      </c>
      <c r="E351">
        <f t="shared" si="22"/>
        <v>10</v>
      </c>
      <c r="F351">
        <v>2020</v>
      </c>
      <c r="G351" t="s">
        <v>1386</v>
      </c>
      <c r="H351">
        <v>0</v>
      </c>
      <c r="I351" s="65">
        <v>0</v>
      </c>
      <c r="J351" t="s">
        <v>1387</v>
      </c>
      <c r="K351" s="35" t="s">
        <v>730</v>
      </c>
      <c r="L351" s="35" t="s">
        <v>6599</v>
      </c>
      <c r="M351" s="39" t="str">
        <f>HYPERLINK("http://dx.doi.org/10.1007/s10646-020-02275-4","10.1007/s10646-020-02275-4")</f>
        <v>10.1007/s10646-020-02275-4</v>
      </c>
      <c r="N351" s="40" t="s">
        <v>858</v>
      </c>
      <c r="O351" s="40" t="s">
        <v>660</v>
      </c>
      <c r="P351" s="40" t="s">
        <v>1388</v>
      </c>
      <c r="Q351" t="s">
        <v>316</v>
      </c>
    </row>
    <row r="352" spans="1:17" x14ac:dyDescent="0.25">
      <c r="A352" s="2" t="str">
        <f>HYPERLINK("https://www.ncbi.nlm.nih.gov/pubmed/32860087","32860087")</f>
        <v>32860087</v>
      </c>
      <c r="B352">
        <f t="shared" si="23"/>
        <v>7</v>
      </c>
      <c r="C352">
        <f t="shared" si="23"/>
        <v>0</v>
      </c>
      <c r="D352">
        <f t="shared" si="23"/>
        <v>0</v>
      </c>
      <c r="E352">
        <f t="shared" si="22"/>
        <v>7</v>
      </c>
      <c r="F352">
        <v>2020</v>
      </c>
      <c r="G352" t="s">
        <v>1393</v>
      </c>
      <c r="H352">
        <v>0</v>
      </c>
      <c r="I352" s="65">
        <v>0</v>
      </c>
      <c r="J352" t="s">
        <v>1394</v>
      </c>
      <c r="K352" s="35" t="s">
        <v>1395</v>
      </c>
      <c r="L352" s="35" t="s">
        <v>6601</v>
      </c>
      <c r="M352" s="39" t="str">
        <f>HYPERLINK("http://dx.doi.org/10.1007/s00244-020-00754-7","10.1007/s00244-020-00754-7")</f>
        <v>10.1007/s00244-020-00754-7</v>
      </c>
      <c r="N352" s="40" t="s">
        <v>1396</v>
      </c>
      <c r="O352" s="40" t="s">
        <v>750</v>
      </c>
      <c r="P352" s="40" t="s">
        <v>1397</v>
      </c>
      <c r="Q352" t="s">
        <v>316</v>
      </c>
    </row>
    <row r="353" spans="1:17" x14ac:dyDescent="0.25">
      <c r="A353" s="2" t="str">
        <f>HYPERLINK("https://www.ncbi.nlm.nih.gov/pubmed/32574918","32574918")</f>
        <v>32574918</v>
      </c>
      <c r="B353">
        <f t="shared" si="23"/>
        <v>7</v>
      </c>
      <c r="C353">
        <f t="shared" si="23"/>
        <v>0</v>
      </c>
      <c r="D353">
        <f t="shared" si="23"/>
        <v>0</v>
      </c>
      <c r="E353">
        <f t="shared" si="22"/>
        <v>7</v>
      </c>
      <c r="F353">
        <v>2020</v>
      </c>
      <c r="G353" t="s">
        <v>1479</v>
      </c>
      <c r="H353">
        <v>0</v>
      </c>
      <c r="I353" s="65">
        <v>0</v>
      </c>
      <c r="J353" t="s">
        <v>1480</v>
      </c>
      <c r="K353" s="35" t="s">
        <v>670</v>
      </c>
      <c r="L353" s="35" t="s">
        <v>6615</v>
      </c>
      <c r="M353" s="39" t="str">
        <f>HYPERLINK("http://dx.doi.org/10.1016/j.scitotenv.2020.140110","10.1016/j.scitotenv.2020.140110")</f>
        <v>10.1016/j.scitotenv.2020.140110</v>
      </c>
      <c r="N353" s="40" t="s">
        <v>1481</v>
      </c>
      <c r="O353" s="40" t="s">
        <v>383</v>
      </c>
      <c r="P353" s="40" t="s">
        <v>1482</v>
      </c>
      <c r="Q353" t="s">
        <v>316</v>
      </c>
    </row>
    <row r="354" spans="1:17" x14ac:dyDescent="0.25">
      <c r="A354" s="2" t="str">
        <f>HYPERLINK("https://www.ncbi.nlm.nih.gov/pubmed/32337089","32337089")</f>
        <v>32337089</v>
      </c>
      <c r="B354">
        <f t="shared" si="23"/>
        <v>7</v>
      </c>
      <c r="C354">
        <f t="shared" si="23"/>
        <v>0</v>
      </c>
      <c r="D354">
        <f t="shared" si="23"/>
        <v>0</v>
      </c>
      <c r="E354">
        <f t="shared" si="22"/>
        <v>7</v>
      </c>
      <c r="F354">
        <v>2020</v>
      </c>
      <c r="G354" t="s">
        <v>1546</v>
      </c>
      <c r="H354">
        <v>0</v>
      </c>
      <c r="I354" s="64" t="str">
        <f>HYPERLINK("https://www.ncbi.nlm.nih.gov/research/pubtator/?view=docsum&amp;query=PMC7176987","1")</f>
        <v>1</v>
      </c>
      <c r="J354" t="s">
        <v>1548</v>
      </c>
      <c r="K354" s="35" t="s">
        <v>1549</v>
      </c>
      <c r="L354" s="35" t="s">
        <v>1547</v>
      </c>
      <c r="M354" s="39" t="str">
        <f>HYPERLINK("http://dx.doi.org/10.1016/j.jare.2020.03.013","10.1016/j.jare.2020.03.013")</f>
        <v>10.1016/j.jare.2020.03.013</v>
      </c>
      <c r="N354" s="40" t="s">
        <v>1188</v>
      </c>
      <c r="O354" s="40" t="s">
        <v>383</v>
      </c>
      <c r="P354" s="40" t="s">
        <v>1550</v>
      </c>
      <c r="Q354" t="s">
        <v>316</v>
      </c>
    </row>
    <row r="355" spans="1:17" x14ac:dyDescent="0.25">
      <c r="A355" s="2" t="str">
        <f>HYPERLINK("https://www.ncbi.nlm.nih.gov/pubmed/32180071","32180071")</f>
        <v>32180071</v>
      </c>
      <c r="B355">
        <f t="shared" si="23"/>
        <v>7</v>
      </c>
      <c r="C355">
        <f t="shared" si="23"/>
        <v>0</v>
      </c>
      <c r="D355">
        <f t="shared" si="23"/>
        <v>0</v>
      </c>
      <c r="E355">
        <f t="shared" si="22"/>
        <v>7</v>
      </c>
      <c r="F355">
        <v>2020</v>
      </c>
      <c r="G355" t="s">
        <v>1583</v>
      </c>
      <c r="H355">
        <v>0</v>
      </c>
      <c r="I355" s="65">
        <v>0</v>
      </c>
      <c r="J355" t="s">
        <v>1585</v>
      </c>
      <c r="K355" s="35" t="s">
        <v>1331</v>
      </c>
      <c r="L355" s="35" t="s">
        <v>1584</v>
      </c>
      <c r="M355" s="39" t="str">
        <f>HYPERLINK("http://dx.doi.org/10.1007/s10493-020-00481-7","10.1007/s10493-020-00481-7")</f>
        <v>10.1007/s10493-020-00481-7</v>
      </c>
      <c r="N355" s="40" t="s">
        <v>1586</v>
      </c>
      <c r="O355" s="40" t="s">
        <v>690</v>
      </c>
      <c r="P355" s="40" t="s">
        <v>1587</v>
      </c>
      <c r="Q355" t="s">
        <v>316</v>
      </c>
    </row>
    <row r="356" spans="1:17" x14ac:dyDescent="0.25">
      <c r="A356" s="2" t="str">
        <f>HYPERLINK("https://www.ncbi.nlm.nih.gov/pubmed/31677913","31677913")</f>
        <v>31677913</v>
      </c>
      <c r="B356">
        <f t="shared" si="23"/>
        <v>7</v>
      </c>
      <c r="C356">
        <f t="shared" si="23"/>
        <v>0</v>
      </c>
      <c r="D356">
        <f t="shared" si="23"/>
        <v>0</v>
      </c>
      <c r="E356">
        <f t="shared" si="22"/>
        <v>7</v>
      </c>
      <c r="F356">
        <v>2020</v>
      </c>
      <c r="G356" t="s">
        <v>1808</v>
      </c>
      <c r="H356">
        <v>0</v>
      </c>
      <c r="I356" s="65">
        <v>0</v>
      </c>
      <c r="J356" t="s">
        <v>1810</v>
      </c>
      <c r="K356" s="35" t="s">
        <v>768</v>
      </c>
      <c r="L356" s="35" t="s">
        <v>1809</v>
      </c>
      <c r="M356" s="39" t="str">
        <f>HYPERLINK("http://dx.doi.org/10.1016/j.jhazmat.2019.121408","10.1016/j.jhazmat.2019.121408")</f>
        <v>10.1016/j.jhazmat.2019.121408</v>
      </c>
      <c r="N356" s="40" t="s">
        <v>1625</v>
      </c>
      <c r="O356" s="40" t="s">
        <v>383</v>
      </c>
      <c r="P356" s="40" t="s">
        <v>1811</v>
      </c>
      <c r="Q356" t="s">
        <v>316</v>
      </c>
    </row>
    <row r="357" spans="1:17" x14ac:dyDescent="0.25">
      <c r="A357" s="2" t="str">
        <f>HYPERLINK("https://www.ncbi.nlm.nih.gov/pubmed/31440604","31440604")</f>
        <v>31440604</v>
      </c>
      <c r="B357">
        <f t="shared" si="23"/>
        <v>7</v>
      </c>
      <c r="C357">
        <f t="shared" si="23"/>
        <v>0</v>
      </c>
      <c r="D357">
        <f t="shared" si="23"/>
        <v>0</v>
      </c>
      <c r="E357">
        <f t="shared" si="22"/>
        <v>7</v>
      </c>
      <c r="F357">
        <v>2019</v>
      </c>
      <c r="G357" t="s">
        <v>1893</v>
      </c>
      <c r="H357">
        <v>0</v>
      </c>
      <c r="I357" s="64" t="str">
        <f>HYPERLINK("https://www.ncbi.nlm.nih.gov/research/pubtator/?view=docsum&amp;query=PMC6699461","1")</f>
        <v>1</v>
      </c>
      <c r="J357" t="s">
        <v>1895</v>
      </c>
      <c r="K357" s="35" t="s">
        <v>947</v>
      </c>
      <c r="L357" s="35" t="s">
        <v>1894</v>
      </c>
      <c r="M357" s="39" t="str">
        <f>HYPERLINK("http://dx.doi.org/10.1016/j.heliyon.2019.e02277","10.1016/j.heliyon.2019.e02277")</f>
        <v>10.1016/j.heliyon.2019.e02277</v>
      </c>
      <c r="N357" s="40" t="s">
        <v>746</v>
      </c>
      <c r="O357" s="40" t="s">
        <v>781</v>
      </c>
      <c r="P357" s="40" t="s">
        <v>1896</v>
      </c>
      <c r="Q357" t="s">
        <v>316</v>
      </c>
    </row>
    <row r="358" spans="1:17" x14ac:dyDescent="0.25">
      <c r="A358" s="2" t="str">
        <f>HYPERLINK("https://www.ncbi.nlm.nih.gov/pubmed/31404730","31404730")</f>
        <v>31404730</v>
      </c>
      <c r="B358">
        <f t="shared" si="23"/>
        <v>7</v>
      </c>
      <c r="C358">
        <f t="shared" si="23"/>
        <v>0</v>
      </c>
      <c r="D358">
        <f t="shared" si="23"/>
        <v>0</v>
      </c>
      <c r="E358">
        <f t="shared" si="22"/>
        <v>7</v>
      </c>
      <c r="F358">
        <v>2019</v>
      </c>
      <c r="G358" t="s">
        <v>1906</v>
      </c>
      <c r="H358">
        <v>0</v>
      </c>
      <c r="I358" s="65">
        <v>0</v>
      </c>
      <c r="J358" t="s">
        <v>1907</v>
      </c>
      <c r="K358" s="35" t="s">
        <v>707</v>
      </c>
      <c r="L358" s="35" t="s">
        <v>6669</v>
      </c>
      <c r="M358" s="39" t="str">
        <f>HYPERLINK("http://dx.doi.org/10.1016/j.envpol.2019.07.095","10.1016/j.envpol.2019.07.095")</f>
        <v>10.1016/j.envpol.2019.07.095</v>
      </c>
      <c r="N358" s="40" t="s">
        <v>1908</v>
      </c>
      <c r="O358" s="40" t="s">
        <v>709</v>
      </c>
      <c r="P358" s="40" t="s">
        <v>1909</v>
      </c>
      <c r="Q358" t="s">
        <v>316</v>
      </c>
    </row>
    <row r="359" spans="1:17" x14ac:dyDescent="0.25">
      <c r="A359" s="2" t="str">
        <f>HYPERLINK("https://www.ncbi.nlm.nih.gov/pubmed/31131694","31131694")</f>
        <v>31131694</v>
      </c>
      <c r="B359">
        <f t="shared" si="23"/>
        <v>7</v>
      </c>
      <c r="C359">
        <f t="shared" si="23"/>
        <v>0</v>
      </c>
      <c r="D359">
        <f t="shared" si="23"/>
        <v>0</v>
      </c>
      <c r="E359">
        <f t="shared" si="22"/>
        <v>7</v>
      </c>
      <c r="F359">
        <v>2019</v>
      </c>
      <c r="G359" t="s">
        <v>2007</v>
      </c>
      <c r="H359">
        <v>0</v>
      </c>
      <c r="I359" s="65">
        <v>0</v>
      </c>
      <c r="J359" t="s">
        <v>2009</v>
      </c>
      <c r="K359" s="35" t="s">
        <v>1413</v>
      </c>
      <c r="L359" s="35" t="s">
        <v>2008</v>
      </c>
      <c r="M359" s="39" t="str">
        <f>HYPERLINK("http://dx.doi.org/10.1080/03601234.2019.1607133","10.1080/03601234.2019.1607133")</f>
        <v>10.1080/03601234.2019.1607133</v>
      </c>
      <c r="N359" s="40" t="s">
        <v>2010</v>
      </c>
      <c r="O359" s="40" t="s">
        <v>741</v>
      </c>
      <c r="P359" s="40" t="s">
        <v>2011</v>
      </c>
      <c r="Q359" t="s">
        <v>316</v>
      </c>
    </row>
    <row r="360" spans="1:17" x14ac:dyDescent="0.25">
      <c r="A360" s="2" t="str">
        <f>HYPERLINK("https://www.ncbi.nlm.nih.gov/pubmed/30889914","30889914")</f>
        <v>30889914</v>
      </c>
      <c r="B360">
        <f t="shared" si="23"/>
        <v>7</v>
      </c>
      <c r="C360">
        <f t="shared" si="23"/>
        <v>0</v>
      </c>
      <c r="D360">
        <f t="shared" si="23"/>
        <v>0</v>
      </c>
      <c r="E360">
        <f t="shared" si="22"/>
        <v>7</v>
      </c>
      <c r="F360">
        <v>2019</v>
      </c>
      <c r="G360" t="s">
        <v>2099</v>
      </c>
      <c r="H360">
        <v>0</v>
      </c>
      <c r="I360" s="64" t="str">
        <f>HYPERLINK("https://www.ncbi.nlm.nih.gov/research/pubtator/?view=docsum&amp;query=PMC6471083","1")</f>
        <v>1</v>
      </c>
      <c r="J360" t="s">
        <v>2101</v>
      </c>
      <c r="K360" s="35" t="s">
        <v>1718</v>
      </c>
      <c r="L360" s="35" t="s">
        <v>2100</v>
      </c>
      <c r="M360" s="39" t="str">
        <f>HYPERLINK("http://dx.doi.org/10.3390/s19061355","10.3390/s19061355")</f>
        <v>10.3390/s19061355</v>
      </c>
      <c r="N360" s="40" t="s">
        <v>1115</v>
      </c>
      <c r="O360" s="40" t="s">
        <v>741</v>
      </c>
      <c r="P360" s="40" t="s">
        <v>383</v>
      </c>
      <c r="Q360" t="s">
        <v>316</v>
      </c>
    </row>
    <row r="361" spans="1:17" x14ac:dyDescent="0.25">
      <c r="A361" s="2" t="str">
        <f>HYPERLINK("https://www.ncbi.nlm.nih.gov/pubmed/30710772","30710772")</f>
        <v>30710772</v>
      </c>
      <c r="B361">
        <f t="shared" si="23"/>
        <v>7</v>
      </c>
      <c r="C361">
        <f t="shared" si="23"/>
        <v>1</v>
      </c>
      <c r="D361">
        <f t="shared" si="23"/>
        <v>0</v>
      </c>
      <c r="E361">
        <f t="shared" si="22"/>
        <v>8</v>
      </c>
      <c r="F361">
        <v>2019</v>
      </c>
      <c r="G361" t="s">
        <v>2154</v>
      </c>
      <c r="H361">
        <v>0</v>
      </c>
      <c r="I361" s="65">
        <v>0</v>
      </c>
      <c r="J361" t="s">
        <v>2155</v>
      </c>
      <c r="K361" s="35" t="s">
        <v>714</v>
      </c>
      <c r="L361" s="35" t="s">
        <v>6704</v>
      </c>
      <c r="M361" s="39" t="str">
        <f>HYPERLINK("http://dx.doi.org/10.1016/j.ecoenv.2019.01.076","10.1016/j.ecoenv.2019.01.076")</f>
        <v>10.1016/j.ecoenv.2019.01.076</v>
      </c>
      <c r="N361" s="40" t="s">
        <v>725</v>
      </c>
      <c r="O361" s="40" t="s">
        <v>383</v>
      </c>
      <c r="P361" s="40" t="s">
        <v>2156</v>
      </c>
      <c r="Q361" t="s">
        <v>316</v>
      </c>
    </row>
    <row r="362" spans="1:17" x14ac:dyDescent="0.25">
      <c r="A362" s="2" t="str">
        <f>HYPERLINK("https://www.ncbi.nlm.nih.gov/pubmed/30663198","30663198")</f>
        <v>30663198</v>
      </c>
      <c r="B362">
        <f t="shared" si="23"/>
        <v>7</v>
      </c>
      <c r="C362">
        <f t="shared" si="23"/>
        <v>0</v>
      </c>
      <c r="D362">
        <f t="shared" si="23"/>
        <v>0</v>
      </c>
      <c r="E362">
        <f t="shared" si="22"/>
        <v>7</v>
      </c>
      <c r="F362">
        <v>2019</v>
      </c>
      <c r="G362" t="s">
        <v>2176</v>
      </c>
      <c r="H362">
        <v>0</v>
      </c>
      <c r="I362" s="65">
        <v>0</v>
      </c>
      <c r="J362" t="s">
        <v>1073</v>
      </c>
      <c r="K362" s="35" t="s">
        <v>968</v>
      </c>
      <c r="L362" s="35" t="s">
        <v>6706</v>
      </c>
      <c r="M362" s="39" t="str">
        <f>HYPERLINK("http://dx.doi.org/10.1002/ps.5345","10.1002/ps.5345")</f>
        <v>10.1002/ps.5345</v>
      </c>
      <c r="N362" s="40" t="s">
        <v>2041</v>
      </c>
      <c r="O362" s="40" t="s">
        <v>781</v>
      </c>
      <c r="P362" s="40" t="s">
        <v>2177</v>
      </c>
      <c r="Q362" t="s">
        <v>316</v>
      </c>
    </row>
    <row r="363" spans="1:17" x14ac:dyDescent="0.25">
      <c r="A363" s="2" t="str">
        <f>HYPERLINK("https://www.ncbi.nlm.nih.gov/pubmed/34221136","34221136")</f>
        <v>34221136</v>
      </c>
      <c r="B363">
        <f t="shared" si="23"/>
        <v>7</v>
      </c>
      <c r="C363">
        <f t="shared" si="23"/>
        <v>3</v>
      </c>
      <c r="D363">
        <f t="shared" si="23"/>
        <v>0</v>
      </c>
      <c r="E363">
        <f t="shared" si="22"/>
        <v>10</v>
      </c>
      <c r="F363">
        <v>2018</v>
      </c>
      <c r="G363" t="s">
        <v>2226</v>
      </c>
      <c r="H363">
        <v>0</v>
      </c>
      <c r="I363" s="64" t="str">
        <f>HYPERLINK("https://www.ncbi.nlm.nih.gov/research/pubtator/?view=docsum&amp;query=PMC8203109","1")</f>
        <v>1</v>
      </c>
      <c r="J363" t="s">
        <v>2228</v>
      </c>
      <c r="K363" s="35" t="s">
        <v>2229</v>
      </c>
      <c r="L363" s="35" t="s">
        <v>2227</v>
      </c>
      <c r="M363" s="39" t="str">
        <f>HYPERLINK("http://dx.doi.org/10.21451/1984-3143-AR2017-0040","10.21451/1984-3143-AR2017-0040")</f>
        <v>10.21451/1984-3143-AR2017-0040</v>
      </c>
      <c r="N363" s="40" t="s">
        <v>929</v>
      </c>
      <c r="O363" s="40" t="s">
        <v>690</v>
      </c>
      <c r="P363" s="40" t="s">
        <v>2230</v>
      </c>
      <c r="Q363" t="s">
        <v>316</v>
      </c>
    </row>
    <row r="364" spans="1:17" x14ac:dyDescent="0.25">
      <c r="A364" s="2" t="str">
        <f>HYPERLINK("https://www.ncbi.nlm.nih.gov/pubmed/30182531","30182531")</f>
        <v>30182531</v>
      </c>
      <c r="B364">
        <f t="shared" ref="B364:D383" si="24">IF(ISBLANK(B$3),0,(LEN($L364) - LEN(SUBSTITUTE(LOWER($L364),LOWER(B$3),"")))/LEN(B$3))</f>
        <v>7</v>
      </c>
      <c r="C364">
        <f t="shared" si="24"/>
        <v>0</v>
      </c>
      <c r="D364">
        <f t="shared" si="24"/>
        <v>0</v>
      </c>
      <c r="E364">
        <f t="shared" si="22"/>
        <v>7</v>
      </c>
      <c r="F364">
        <v>2019</v>
      </c>
      <c r="G364" t="s">
        <v>2330</v>
      </c>
      <c r="H364">
        <v>0</v>
      </c>
      <c r="I364" s="65">
        <v>0</v>
      </c>
      <c r="J364" t="s">
        <v>2331</v>
      </c>
      <c r="K364" s="35" t="s">
        <v>968</v>
      </c>
      <c r="L364" s="35" t="s">
        <v>6729</v>
      </c>
      <c r="M364" s="39" t="str">
        <f>HYPERLINK("http://dx.doi.org/10.1002/ps.5170","10.1002/ps.5170")</f>
        <v>10.1002/ps.5170</v>
      </c>
      <c r="N364" s="40" t="s">
        <v>2041</v>
      </c>
      <c r="O364" s="40" t="s">
        <v>750</v>
      </c>
      <c r="P364" s="40" t="s">
        <v>2332</v>
      </c>
      <c r="Q364" t="s">
        <v>316</v>
      </c>
    </row>
    <row r="365" spans="1:17" x14ac:dyDescent="0.25">
      <c r="A365" s="2" t="str">
        <f>HYPERLINK("https://www.ncbi.nlm.nih.gov/pubmed/30105986","30105986")</f>
        <v>30105986</v>
      </c>
      <c r="B365">
        <f t="shared" si="24"/>
        <v>7</v>
      </c>
      <c r="C365">
        <f t="shared" si="24"/>
        <v>1</v>
      </c>
      <c r="D365">
        <f t="shared" si="24"/>
        <v>0</v>
      </c>
      <c r="E365">
        <f t="shared" si="22"/>
        <v>8</v>
      </c>
      <c r="F365">
        <v>2018</v>
      </c>
      <c r="G365" t="s">
        <v>2359</v>
      </c>
      <c r="H365">
        <v>0</v>
      </c>
      <c r="I365" s="65">
        <v>0</v>
      </c>
      <c r="J365" t="s">
        <v>2360</v>
      </c>
      <c r="K365" s="35" t="s">
        <v>1052</v>
      </c>
      <c r="L365" s="35" t="s">
        <v>6733</v>
      </c>
      <c r="M365" s="39" t="str">
        <f>HYPERLINK("http://dx.doi.org/10.1016/j.vetpar.2018.05.018","10.1016/j.vetpar.2018.05.018")</f>
        <v>10.1016/j.vetpar.2018.05.018</v>
      </c>
      <c r="N365" s="40" t="s">
        <v>2361</v>
      </c>
      <c r="O365" s="40" t="s">
        <v>383</v>
      </c>
      <c r="P365" s="40" t="s">
        <v>2362</v>
      </c>
      <c r="Q365" t="s">
        <v>316</v>
      </c>
    </row>
    <row r="366" spans="1:17" x14ac:dyDescent="0.25">
      <c r="A366" s="2" t="str">
        <f>HYPERLINK("https://www.ncbi.nlm.nih.gov/pubmed/29554781","29554781")</f>
        <v>29554781</v>
      </c>
      <c r="B366">
        <f t="shared" si="24"/>
        <v>7</v>
      </c>
      <c r="C366">
        <f t="shared" si="24"/>
        <v>0</v>
      </c>
      <c r="D366">
        <f t="shared" si="24"/>
        <v>0</v>
      </c>
      <c r="E366">
        <f t="shared" si="22"/>
        <v>7</v>
      </c>
      <c r="F366">
        <v>2018</v>
      </c>
      <c r="G366" t="s">
        <v>2519</v>
      </c>
      <c r="H366">
        <v>0</v>
      </c>
      <c r="I366" s="65">
        <v>0</v>
      </c>
      <c r="J366" t="s">
        <v>2521</v>
      </c>
      <c r="K366" s="35" t="s">
        <v>670</v>
      </c>
      <c r="L366" s="35" t="s">
        <v>2520</v>
      </c>
      <c r="M366" s="39" t="str">
        <f>HYPERLINK("http://dx.doi.org/10.1016/j.scitotenv.2018.02.221","10.1016/j.scitotenv.2018.02.221")</f>
        <v>10.1016/j.scitotenv.2018.02.221</v>
      </c>
      <c r="N366" s="40" t="s">
        <v>2522</v>
      </c>
      <c r="O366" s="40" t="s">
        <v>383</v>
      </c>
      <c r="P366" s="40" t="s">
        <v>2523</v>
      </c>
      <c r="Q366" t="s">
        <v>316</v>
      </c>
    </row>
    <row r="367" spans="1:17" x14ac:dyDescent="0.25">
      <c r="A367" s="2" t="str">
        <f>HYPERLINK("https://www.ncbi.nlm.nih.gov/pubmed/29283416","29283416")</f>
        <v>29283416</v>
      </c>
      <c r="B367">
        <f t="shared" si="24"/>
        <v>7</v>
      </c>
      <c r="C367">
        <f t="shared" si="24"/>
        <v>0</v>
      </c>
      <c r="D367">
        <f t="shared" si="24"/>
        <v>0</v>
      </c>
      <c r="E367">
        <f t="shared" si="22"/>
        <v>7</v>
      </c>
      <c r="F367">
        <v>2017</v>
      </c>
      <c r="G367" t="s">
        <v>2584</v>
      </c>
      <c r="H367">
        <v>0</v>
      </c>
      <c r="I367" s="64" t="str">
        <f>HYPERLINK("https://www.ncbi.nlm.nih.gov/research/pubtator/?view=docsum&amp;query=PMC5796035","1")</f>
        <v>1</v>
      </c>
      <c r="J367" t="s">
        <v>2586</v>
      </c>
      <c r="K367" s="35" t="s">
        <v>1423</v>
      </c>
      <c r="L367" s="35" t="s">
        <v>2585</v>
      </c>
      <c r="M367" s="39" t="str">
        <f>HYPERLINK("http://dx.doi.org/10.3390/ijms19010085","10.3390/ijms19010085")</f>
        <v>10.3390/ijms19010085</v>
      </c>
      <c r="N367" s="40" t="s">
        <v>1115</v>
      </c>
      <c r="O367" s="40" t="s">
        <v>638</v>
      </c>
      <c r="P367" s="40" t="s">
        <v>383</v>
      </c>
      <c r="Q367" t="s">
        <v>316</v>
      </c>
    </row>
    <row r="368" spans="1:17" x14ac:dyDescent="0.25">
      <c r="A368" s="2" t="str">
        <f>HYPERLINK("https://www.ncbi.nlm.nih.gov/pubmed/29281267","29281267")</f>
        <v>29281267</v>
      </c>
      <c r="B368">
        <f t="shared" si="24"/>
        <v>7</v>
      </c>
      <c r="C368">
        <f t="shared" si="24"/>
        <v>0</v>
      </c>
      <c r="D368">
        <f t="shared" si="24"/>
        <v>0</v>
      </c>
      <c r="E368">
        <f t="shared" si="22"/>
        <v>7</v>
      </c>
      <c r="F368">
        <v>2018</v>
      </c>
      <c r="G368" t="s">
        <v>2587</v>
      </c>
      <c r="H368">
        <v>0</v>
      </c>
      <c r="I368" s="65">
        <v>0</v>
      </c>
      <c r="J368" t="s">
        <v>2588</v>
      </c>
      <c r="K368" s="35" t="s">
        <v>1058</v>
      </c>
      <c r="L368" s="35" t="s">
        <v>6770</v>
      </c>
      <c r="M368" s="39" t="str">
        <f>HYPERLINK("http://dx.doi.org/10.1021/acs.est.7b05259","10.1021/acs.est.7b05259")</f>
        <v>10.1021/acs.est.7b05259</v>
      </c>
      <c r="N368" s="40" t="s">
        <v>756</v>
      </c>
      <c r="O368" s="40" t="s">
        <v>750</v>
      </c>
      <c r="P368" s="40" t="s">
        <v>2589</v>
      </c>
      <c r="Q368" t="s">
        <v>316</v>
      </c>
    </row>
    <row r="369" spans="1:17" x14ac:dyDescent="0.25">
      <c r="A369" s="2" t="str">
        <f>HYPERLINK("https://www.ncbi.nlm.nih.gov/pubmed/28724438","28724438")</f>
        <v>28724438</v>
      </c>
      <c r="B369">
        <f t="shared" si="24"/>
        <v>7</v>
      </c>
      <c r="C369">
        <f t="shared" si="24"/>
        <v>0</v>
      </c>
      <c r="D369">
        <f t="shared" si="24"/>
        <v>0</v>
      </c>
      <c r="E369">
        <f t="shared" si="22"/>
        <v>7</v>
      </c>
      <c r="F369">
        <v>2017</v>
      </c>
      <c r="G369" t="s">
        <v>2730</v>
      </c>
      <c r="H369">
        <v>0</v>
      </c>
      <c r="I369" s="64" t="str">
        <f>HYPERLINK("https://www.ncbi.nlm.nih.gov/research/pubtator/?view=docsum&amp;query=PMC5517796","1")</f>
        <v>1</v>
      </c>
      <c r="J369" t="s">
        <v>2731</v>
      </c>
      <c r="K369" s="35" t="s">
        <v>870</v>
      </c>
      <c r="L369" s="35" t="s">
        <v>6799</v>
      </c>
      <c r="M369" s="39" t="str">
        <f>HYPERLINK("http://dx.doi.org/10.1186/s13071-017-2272-8","10.1186/s13071-017-2272-8")</f>
        <v>10.1186/s13071-017-2272-8</v>
      </c>
      <c r="N369" s="40" t="s">
        <v>802</v>
      </c>
      <c r="O369" s="40" t="s">
        <v>638</v>
      </c>
      <c r="P369" s="40" t="s">
        <v>2732</v>
      </c>
      <c r="Q369" t="s">
        <v>316</v>
      </c>
    </row>
    <row r="370" spans="1:17" x14ac:dyDescent="0.25">
      <c r="A370" s="2" t="str">
        <f>HYPERLINK("https://www.ncbi.nlm.nih.gov/pubmed/28577330","28577330")</f>
        <v>28577330</v>
      </c>
      <c r="B370">
        <f t="shared" si="24"/>
        <v>7</v>
      </c>
      <c r="C370">
        <f t="shared" si="24"/>
        <v>0</v>
      </c>
      <c r="D370">
        <f t="shared" si="24"/>
        <v>0</v>
      </c>
      <c r="E370">
        <f t="shared" si="22"/>
        <v>7</v>
      </c>
      <c r="F370">
        <v>2017</v>
      </c>
      <c r="G370" t="s">
        <v>2780</v>
      </c>
      <c r="H370">
        <v>0</v>
      </c>
      <c r="I370" s="65">
        <v>0</v>
      </c>
      <c r="J370" t="s">
        <v>2781</v>
      </c>
      <c r="K370" s="35" t="s">
        <v>755</v>
      </c>
      <c r="L370" s="35" t="s">
        <v>6808</v>
      </c>
      <c r="M370" s="39" t="str">
        <f>HYPERLINK("http://dx.doi.org/10.1002/etc.3875","10.1002/etc.3875")</f>
        <v>10.1002/etc.3875</v>
      </c>
      <c r="N370" s="40" t="s">
        <v>639</v>
      </c>
      <c r="O370" s="40" t="s">
        <v>678</v>
      </c>
      <c r="P370" s="40" t="s">
        <v>2782</v>
      </c>
      <c r="Q370" t="s">
        <v>316</v>
      </c>
    </row>
    <row r="371" spans="1:17" x14ac:dyDescent="0.25">
      <c r="A371" s="2" t="str">
        <f>HYPERLINK("https://www.ncbi.nlm.nih.gov/pubmed/28541548","28541548")</f>
        <v>28541548</v>
      </c>
      <c r="B371">
        <f t="shared" si="24"/>
        <v>7</v>
      </c>
      <c r="C371">
        <f t="shared" si="24"/>
        <v>0</v>
      </c>
      <c r="D371">
        <f t="shared" si="24"/>
        <v>0</v>
      </c>
      <c r="E371">
        <f t="shared" si="22"/>
        <v>7</v>
      </c>
      <c r="F371">
        <v>2017</v>
      </c>
      <c r="G371" t="s">
        <v>2783</v>
      </c>
      <c r="H371">
        <v>0</v>
      </c>
      <c r="I371" s="65">
        <v>0</v>
      </c>
      <c r="J371" t="s">
        <v>2784</v>
      </c>
      <c r="K371" s="35" t="s">
        <v>909</v>
      </c>
      <c r="L371" s="35" t="s">
        <v>6809</v>
      </c>
      <c r="M371" s="39" t="str">
        <f>HYPERLINK("http://dx.doi.org/10.1093/jee/tox144","10.1093/jee/tox144")</f>
        <v>10.1093/jee/tox144</v>
      </c>
      <c r="N371" s="40" t="s">
        <v>766</v>
      </c>
      <c r="O371" s="40" t="s">
        <v>690</v>
      </c>
      <c r="P371" s="40" t="s">
        <v>2785</v>
      </c>
      <c r="Q371" t="s">
        <v>316</v>
      </c>
    </row>
    <row r="372" spans="1:17" x14ac:dyDescent="0.25">
      <c r="A372" s="2" t="str">
        <f>HYPERLINK("https://www.ncbi.nlm.nih.gov/pubmed/28464973","28464973")</f>
        <v>28464973</v>
      </c>
      <c r="B372">
        <f t="shared" si="24"/>
        <v>7</v>
      </c>
      <c r="C372">
        <f t="shared" si="24"/>
        <v>0</v>
      </c>
      <c r="D372">
        <f t="shared" si="24"/>
        <v>0</v>
      </c>
      <c r="E372">
        <f t="shared" si="22"/>
        <v>7</v>
      </c>
      <c r="F372">
        <v>2018</v>
      </c>
      <c r="G372" t="s">
        <v>2808</v>
      </c>
      <c r="H372">
        <v>0</v>
      </c>
      <c r="I372" s="65">
        <v>0</v>
      </c>
      <c r="J372" t="s">
        <v>2810</v>
      </c>
      <c r="K372" s="35" t="s">
        <v>796</v>
      </c>
      <c r="L372" s="35" t="s">
        <v>2809</v>
      </c>
      <c r="M372" s="39" t="str">
        <f>HYPERLINK("http://dx.doi.org/10.1017/S000748531700044X","10.1017/S000748531700044X")</f>
        <v>10.1017/S000748531700044X</v>
      </c>
      <c r="N372" s="40" t="s">
        <v>2606</v>
      </c>
      <c r="O372" s="40" t="s">
        <v>638</v>
      </c>
      <c r="P372" s="40" t="s">
        <v>2811</v>
      </c>
      <c r="Q372" t="s">
        <v>316</v>
      </c>
    </row>
    <row r="373" spans="1:17" x14ac:dyDescent="0.25">
      <c r="A373" s="2" t="str">
        <f>HYPERLINK("https://www.ncbi.nlm.nih.gov/pubmed/28431880","28431880")</f>
        <v>28431880</v>
      </c>
      <c r="B373">
        <f t="shared" si="24"/>
        <v>7</v>
      </c>
      <c r="C373">
        <f t="shared" si="24"/>
        <v>0</v>
      </c>
      <c r="D373">
        <f t="shared" si="24"/>
        <v>0</v>
      </c>
      <c r="E373">
        <f t="shared" si="22"/>
        <v>7</v>
      </c>
      <c r="F373">
        <v>2017</v>
      </c>
      <c r="G373" t="s">
        <v>2818</v>
      </c>
      <c r="H373">
        <v>0</v>
      </c>
      <c r="I373" s="65">
        <v>0</v>
      </c>
      <c r="J373" t="s">
        <v>2820</v>
      </c>
      <c r="K373" s="35" t="s">
        <v>2420</v>
      </c>
      <c r="L373" s="35" t="s">
        <v>2819</v>
      </c>
      <c r="M373" s="39" t="str">
        <f>HYPERLINK("http://dx.doi.org/10.1016/j.bmcl.2017.03.091","10.1016/j.bmcl.2017.03.091")</f>
        <v>10.1016/j.bmcl.2017.03.091</v>
      </c>
      <c r="N373" s="40" t="s">
        <v>1116</v>
      </c>
      <c r="O373" s="40" t="s">
        <v>678</v>
      </c>
      <c r="P373" s="40" t="s">
        <v>2821</v>
      </c>
      <c r="Q373" t="s">
        <v>316</v>
      </c>
    </row>
    <row r="374" spans="1:17" x14ac:dyDescent="0.25">
      <c r="A374" s="2" t="str">
        <f>HYPERLINK("https://www.ncbi.nlm.nih.gov/pubmed/28224659","28224659")</f>
        <v>28224659</v>
      </c>
      <c r="B374">
        <f t="shared" si="24"/>
        <v>7</v>
      </c>
      <c r="C374">
        <f t="shared" si="24"/>
        <v>0</v>
      </c>
      <c r="D374">
        <f t="shared" si="24"/>
        <v>0</v>
      </c>
      <c r="E374">
        <f t="shared" si="22"/>
        <v>7</v>
      </c>
      <c r="F374">
        <v>2017</v>
      </c>
      <c r="G374" t="s">
        <v>2874</v>
      </c>
      <c r="H374">
        <v>0</v>
      </c>
      <c r="I374" s="65">
        <v>0</v>
      </c>
      <c r="J374" t="s">
        <v>2875</v>
      </c>
      <c r="K374" s="35" t="s">
        <v>755</v>
      </c>
      <c r="L374" s="35" t="s">
        <v>6824</v>
      </c>
      <c r="M374" s="39" t="str">
        <f>HYPERLINK("http://dx.doi.org/10.1002/etc.3773","10.1002/etc.3773")</f>
        <v>10.1002/etc.3773</v>
      </c>
      <c r="N374" s="40" t="s">
        <v>639</v>
      </c>
      <c r="O374" s="40" t="s">
        <v>660</v>
      </c>
      <c r="P374" s="40" t="s">
        <v>2876</v>
      </c>
      <c r="Q374" t="s">
        <v>316</v>
      </c>
    </row>
    <row r="375" spans="1:17" x14ac:dyDescent="0.25">
      <c r="A375" s="2" t="str">
        <f>HYPERLINK("https://www.ncbi.nlm.nih.gov/pubmed/27943653","27943653")</f>
        <v>27943653</v>
      </c>
      <c r="B375">
        <f t="shared" si="24"/>
        <v>7</v>
      </c>
      <c r="C375">
        <f t="shared" si="24"/>
        <v>0</v>
      </c>
      <c r="D375">
        <f t="shared" si="24"/>
        <v>0</v>
      </c>
      <c r="E375">
        <f t="shared" si="22"/>
        <v>7</v>
      </c>
      <c r="F375">
        <v>2017</v>
      </c>
      <c r="G375" t="s">
        <v>2926</v>
      </c>
      <c r="H375">
        <v>0</v>
      </c>
      <c r="I375" s="65">
        <v>0</v>
      </c>
      <c r="J375" t="s">
        <v>2927</v>
      </c>
      <c r="K375" s="35" t="s">
        <v>968</v>
      </c>
      <c r="L375" s="35" t="s">
        <v>6837</v>
      </c>
      <c r="M375" s="39" t="str">
        <f>HYPERLINK("http://dx.doi.org/10.1002/ps.4498","10.1002/ps.4498")</f>
        <v>10.1002/ps.4498</v>
      </c>
      <c r="N375" s="40" t="s">
        <v>2599</v>
      </c>
      <c r="O375" s="40" t="s">
        <v>781</v>
      </c>
      <c r="P375" s="40" t="s">
        <v>2928</v>
      </c>
      <c r="Q375" t="s">
        <v>316</v>
      </c>
    </row>
    <row r="376" spans="1:17" x14ac:dyDescent="0.25">
      <c r="A376" s="2" t="str">
        <f>HYPERLINK("https://www.ncbi.nlm.nih.gov/pubmed/27925273","27925273")</f>
        <v>27925273</v>
      </c>
      <c r="B376">
        <f t="shared" si="24"/>
        <v>7</v>
      </c>
      <c r="C376">
        <f t="shared" si="24"/>
        <v>0</v>
      </c>
      <c r="D376">
        <f t="shared" si="24"/>
        <v>0</v>
      </c>
      <c r="E376">
        <f t="shared" si="22"/>
        <v>7</v>
      </c>
      <c r="F376">
        <v>2017</v>
      </c>
      <c r="G376" t="s">
        <v>2929</v>
      </c>
      <c r="H376">
        <v>0</v>
      </c>
      <c r="I376" s="65">
        <v>0</v>
      </c>
      <c r="J376" t="s">
        <v>2931</v>
      </c>
      <c r="K376" s="35" t="s">
        <v>755</v>
      </c>
      <c r="L376" s="35" t="s">
        <v>2930</v>
      </c>
      <c r="M376" s="39" t="str">
        <f>HYPERLINK("http://dx.doi.org/10.1002/etc.3699","10.1002/etc.3699")</f>
        <v>10.1002/etc.3699</v>
      </c>
      <c r="N376" s="40" t="s">
        <v>639</v>
      </c>
      <c r="O376" s="40" t="s">
        <v>741</v>
      </c>
      <c r="P376" s="40" t="s">
        <v>2932</v>
      </c>
      <c r="Q376" t="s">
        <v>316</v>
      </c>
    </row>
    <row r="377" spans="1:17" x14ac:dyDescent="0.25">
      <c r="A377" s="2" t="str">
        <f>HYPERLINK("https://www.ncbi.nlm.nih.gov/pubmed/27514889","27514889")</f>
        <v>27514889</v>
      </c>
      <c r="B377">
        <f t="shared" si="24"/>
        <v>7</v>
      </c>
      <c r="C377">
        <f t="shared" si="24"/>
        <v>0</v>
      </c>
      <c r="D377">
        <f t="shared" si="24"/>
        <v>0</v>
      </c>
      <c r="E377">
        <f t="shared" si="22"/>
        <v>7</v>
      </c>
      <c r="F377">
        <v>2016</v>
      </c>
      <c r="G377" t="s">
        <v>3046</v>
      </c>
      <c r="H377">
        <v>0</v>
      </c>
      <c r="I377" s="65">
        <v>0</v>
      </c>
      <c r="J377" t="s">
        <v>3048</v>
      </c>
      <c r="K377" s="35" t="s">
        <v>1052</v>
      </c>
      <c r="L377" s="35" t="s">
        <v>3047</v>
      </c>
      <c r="M377" s="39" t="str">
        <f>HYPERLINK("http://dx.doi.org/10.1016/j.vetpar.2016.06.035","10.1016/j.vetpar.2016.06.035")</f>
        <v>10.1016/j.vetpar.2016.06.035</v>
      </c>
      <c r="N377" s="40" t="s">
        <v>3049</v>
      </c>
      <c r="O377" s="40" t="s">
        <v>383</v>
      </c>
      <c r="P377" s="40" t="s">
        <v>3050</v>
      </c>
      <c r="Q377" t="s">
        <v>316</v>
      </c>
    </row>
    <row r="378" spans="1:17" x14ac:dyDescent="0.25">
      <c r="A378" s="2" t="str">
        <f>HYPERLINK("https://www.ncbi.nlm.nih.gov/pubmed/27091632","27091632")</f>
        <v>27091632</v>
      </c>
      <c r="B378">
        <f t="shared" si="24"/>
        <v>7</v>
      </c>
      <c r="C378">
        <f t="shared" si="24"/>
        <v>0</v>
      </c>
      <c r="D378">
        <f t="shared" si="24"/>
        <v>0</v>
      </c>
      <c r="E378">
        <f t="shared" si="22"/>
        <v>7</v>
      </c>
      <c r="F378">
        <v>2016</v>
      </c>
      <c r="G378" t="s">
        <v>3158</v>
      </c>
      <c r="H378">
        <v>0</v>
      </c>
      <c r="I378" s="65">
        <v>0</v>
      </c>
      <c r="J378" t="s">
        <v>3159</v>
      </c>
      <c r="K378" s="35" t="s">
        <v>2197</v>
      </c>
      <c r="L378" s="35" t="s">
        <v>6875</v>
      </c>
      <c r="M378" s="39" t="str">
        <f>HYPERLINK("http://dx.doi.org/10.1002/jbt.21801","10.1002/jbt.21801")</f>
        <v>10.1002/jbt.21801</v>
      </c>
      <c r="N378" s="40" t="s">
        <v>745</v>
      </c>
      <c r="O378" s="40" t="s">
        <v>781</v>
      </c>
      <c r="P378" s="40" t="s">
        <v>3160</v>
      </c>
      <c r="Q378" t="s">
        <v>316</v>
      </c>
    </row>
    <row r="379" spans="1:17" x14ac:dyDescent="0.25">
      <c r="A379" s="2" t="str">
        <f>HYPERLINK("https://www.ncbi.nlm.nih.gov/pubmed/27000517","27000517")</f>
        <v>27000517</v>
      </c>
      <c r="B379">
        <f t="shared" si="24"/>
        <v>7</v>
      </c>
      <c r="C379">
        <f t="shared" si="24"/>
        <v>0</v>
      </c>
      <c r="D379">
        <f t="shared" si="24"/>
        <v>0</v>
      </c>
      <c r="E379">
        <f t="shared" si="22"/>
        <v>7</v>
      </c>
      <c r="F379">
        <v>2017</v>
      </c>
      <c r="G379" t="s">
        <v>3194</v>
      </c>
      <c r="H379">
        <v>0</v>
      </c>
      <c r="I379" s="65">
        <v>0</v>
      </c>
      <c r="J379" t="s">
        <v>3196</v>
      </c>
      <c r="K379" s="35" t="s">
        <v>937</v>
      </c>
      <c r="L379" s="35" t="s">
        <v>3195</v>
      </c>
      <c r="M379" s="39" t="str">
        <f>HYPERLINK("http://dx.doi.org/10.1016/j.neuro.2016.03.009","10.1016/j.neuro.2016.03.009")</f>
        <v>10.1016/j.neuro.2016.03.009</v>
      </c>
      <c r="N379" s="40" t="s">
        <v>1655</v>
      </c>
      <c r="O379" s="40" t="s">
        <v>383</v>
      </c>
      <c r="P379" s="40" t="s">
        <v>3197</v>
      </c>
      <c r="Q379" t="s">
        <v>316</v>
      </c>
    </row>
    <row r="380" spans="1:17" x14ac:dyDescent="0.25">
      <c r="A380" s="2" t="str">
        <f>HYPERLINK("https://www.ncbi.nlm.nih.gov/pubmed/26871280","26871280")</f>
        <v>26871280</v>
      </c>
      <c r="B380">
        <f t="shared" si="24"/>
        <v>7</v>
      </c>
      <c r="C380">
        <f t="shared" si="24"/>
        <v>0</v>
      </c>
      <c r="D380">
        <f t="shared" si="24"/>
        <v>0</v>
      </c>
      <c r="E380">
        <f t="shared" si="22"/>
        <v>7</v>
      </c>
      <c r="F380">
        <v>2016</v>
      </c>
      <c r="G380" t="s">
        <v>3237</v>
      </c>
      <c r="H380">
        <v>0</v>
      </c>
      <c r="I380" s="65">
        <v>0</v>
      </c>
      <c r="J380" t="s">
        <v>3239</v>
      </c>
      <c r="K380" s="35" t="s">
        <v>1815</v>
      </c>
      <c r="L380" s="35" t="s">
        <v>3238</v>
      </c>
      <c r="M380" s="39" t="str">
        <f>HYPERLINK("http://dx.doi.org/10.1016/j.jchromb.2016.01.041","10.1016/j.jchromb.2016.01.041")</f>
        <v>10.1016/j.jchromb.2016.01.041</v>
      </c>
      <c r="N380" s="40" t="s">
        <v>3240</v>
      </c>
      <c r="O380" s="40" t="s">
        <v>383</v>
      </c>
      <c r="P380" s="40" t="s">
        <v>3241</v>
      </c>
      <c r="Q380" t="s">
        <v>316</v>
      </c>
    </row>
    <row r="381" spans="1:17" x14ac:dyDescent="0.25">
      <c r="A381" s="2" t="str">
        <f>HYPERLINK("https://www.ncbi.nlm.nih.gov/pubmed/26504258","26504258")</f>
        <v>26504258</v>
      </c>
      <c r="B381">
        <f t="shared" si="24"/>
        <v>7</v>
      </c>
      <c r="C381">
        <f t="shared" si="24"/>
        <v>0</v>
      </c>
      <c r="D381">
        <f t="shared" si="24"/>
        <v>0</v>
      </c>
      <c r="E381">
        <f t="shared" si="22"/>
        <v>7</v>
      </c>
      <c r="F381">
        <v>2015</v>
      </c>
      <c r="G381" t="s">
        <v>3339</v>
      </c>
      <c r="H381">
        <v>0</v>
      </c>
      <c r="I381" s="64" t="str">
        <f>HYPERLINK("https://www.ncbi.nlm.nih.gov/research/pubtator/?view=docsum&amp;query=PMC4615608","1")</f>
        <v>1</v>
      </c>
      <c r="J381" t="s">
        <v>3341</v>
      </c>
      <c r="K381" s="35" t="s">
        <v>3342</v>
      </c>
      <c r="L381" s="35" t="s">
        <v>3340</v>
      </c>
      <c r="M381" s="39" t="str">
        <f>HYPERLINK("http://dx.doi.org/10.1016/j.nimb.2015.06.031","10.1016/j.nimb.2015.06.031")</f>
        <v>10.1016/j.nimb.2015.06.031</v>
      </c>
      <c r="N381" s="40" t="s">
        <v>3343</v>
      </c>
      <c r="O381" s="40" t="s">
        <v>383</v>
      </c>
      <c r="P381" s="40" t="s">
        <v>3344</v>
      </c>
      <c r="Q381" t="s">
        <v>316</v>
      </c>
    </row>
    <row r="382" spans="1:17" x14ac:dyDescent="0.25">
      <c r="A382" s="2" t="str">
        <f>HYPERLINK("https://www.ncbi.nlm.nih.gov/pubmed/26470080","26470080")</f>
        <v>26470080</v>
      </c>
      <c r="B382">
        <f t="shared" si="24"/>
        <v>7</v>
      </c>
      <c r="C382">
        <f t="shared" si="24"/>
        <v>0</v>
      </c>
      <c r="D382">
        <f t="shared" si="24"/>
        <v>0</v>
      </c>
      <c r="E382">
        <f t="shared" si="22"/>
        <v>7</v>
      </c>
      <c r="F382">
        <v>2014</v>
      </c>
      <c r="G382" t="s">
        <v>3352</v>
      </c>
      <c r="H382">
        <v>0</v>
      </c>
      <c r="I382" s="65">
        <v>0</v>
      </c>
      <c r="J382" t="s">
        <v>3353</v>
      </c>
      <c r="K382" s="35" t="s">
        <v>909</v>
      </c>
      <c r="L382" s="35" t="s">
        <v>6902</v>
      </c>
      <c r="M382" s="39" t="str">
        <f>HYPERLINK("http://dx.doi.org/10.1603/EC14097","10.1603/EC14097")</f>
        <v>10.1603/EC14097</v>
      </c>
      <c r="N382" s="40" t="s">
        <v>1990</v>
      </c>
      <c r="O382" s="40" t="s">
        <v>741</v>
      </c>
      <c r="P382" s="40" t="s">
        <v>3354</v>
      </c>
      <c r="Q382" t="s">
        <v>316</v>
      </c>
    </row>
    <row r="383" spans="1:17" x14ac:dyDescent="0.25">
      <c r="A383" s="2" t="str">
        <f>HYPERLINK("https://www.ncbi.nlm.nih.gov/pubmed/26449370","26449370")</f>
        <v>26449370</v>
      </c>
      <c r="B383">
        <f t="shared" si="24"/>
        <v>7</v>
      </c>
      <c r="C383">
        <f t="shared" si="24"/>
        <v>0</v>
      </c>
      <c r="D383">
        <f t="shared" si="24"/>
        <v>0</v>
      </c>
      <c r="E383">
        <f t="shared" si="22"/>
        <v>7</v>
      </c>
      <c r="F383">
        <v>2016</v>
      </c>
      <c r="G383" t="s">
        <v>3365</v>
      </c>
      <c r="H383">
        <v>0</v>
      </c>
      <c r="I383" s="65">
        <v>0</v>
      </c>
      <c r="J383" t="s">
        <v>3366</v>
      </c>
      <c r="K383" s="35" t="s">
        <v>968</v>
      </c>
      <c r="L383" s="35" t="s">
        <v>6905</v>
      </c>
      <c r="M383" s="39" t="str">
        <f>HYPERLINK("http://dx.doi.org/10.1002/ps.4165","10.1002/ps.4165")</f>
        <v>10.1002/ps.4165</v>
      </c>
      <c r="N383" s="40" t="s">
        <v>1970</v>
      </c>
      <c r="O383" s="40" t="s">
        <v>748</v>
      </c>
      <c r="P383" s="40" t="s">
        <v>3367</v>
      </c>
      <c r="Q383" t="s">
        <v>316</v>
      </c>
    </row>
    <row r="384" spans="1:17" x14ac:dyDescent="0.25">
      <c r="A384" s="2" t="str">
        <f>HYPERLINK("https://www.ncbi.nlm.nih.gov/pubmed/26357886","26357886")</f>
        <v>26357886</v>
      </c>
      <c r="B384">
        <f t="shared" ref="B384:D403" si="25">IF(ISBLANK(B$3),0,(LEN($L384) - LEN(SUBSTITUTE(LOWER($L384),LOWER(B$3),"")))/LEN(B$3))</f>
        <v>7</v>
      </c>
      <c r="C384">
        <f t="shared" si="25"/>
        <v>1</v>
      </c>
      <c r="D384">
        <f t="shared" si="25"/>
        <v>0</v>
      </c>
      <c r="E384">
        <f t="shared" si="22"/>
        <v>8</v>
      </c>
      <c r="F384">
        <v>2015</v>
      </c>
      <c r="G384" t="s">
        <v>3398</v>
      </c>
      <c r="H384">
        <v>0</v>
      </c>
      <c r="I384" s="65">
        <v>0</v>
      </c>
      <c r="J384" t="s">
        <v>3399</v>
      </c>
      <c r="K384" s="35" t="s">
        <v>1413</v>
      </c>
      <c r="L384" s="35" t="s">
        <v>6909</v>
      </c>
      <c r="M384" s="39" t="str">
        <f>HYPERLINK("http://dx.doi.org/10.1080/03601234.2015.1058091","10.1080/03601234.2015.1058091")</f>
        <v>10.1080/03601234.2015.1058091</v>
      </c>
      <c r="N384" s="40" t="s">
        <v>743</v>
      </c>
      <c r="O384" s="40" t="s">
        <v>678</v>
      </c>
      <c r="P384" s="40" t="s">
        <v>3400</v>
      </c>
      <c r="Q384" t="s">
        <v>316</v>
      </c>
    </row>
    <row r="385" spans="1:17" x14ac:dyDescent="0.25">
      <c r="A385" s="2" t="str">
        <f>HYPERLINK("https://www.ncbi.nlm.nih.gov/pubmed/25905754","25905754")</f>
        <v>25905754</v>
      </c>
      <c r="B385">
        <f t="shared" si="25"/>
        <v>7</v>
      </c>
      <c r="C385">
        <f t="shared" si="25"/>
        <v>2</v>
      </c>
      <c r="D385">
        <f t="shared" si="25"/>
        <v>0</v>
      </c>
      <c r="E385">
        <f t="shared" si="22"/>
        <v>9</v>
      </c>
      <c r="F385">
        <v>2015</v>
      </c>
      <c r="G385" t="s">
        <v>3513</v>
      </c>
      <c r="H385">
        <v>0</v>
      </c>
      <c r="I385" s="65">
        <v>0</v>
      </c>
      <c r="J385" t="s">
        <v>3515</v>
      </c>
      <c r="K385" s="35" t="s">
        <v>3054</v>
      </c>
      <c r="L385" s="35" t="s">
        <v>3514</v>
      </c>
      <c r="M385" s="39" t="str">
        <f>HYPERLINK("http://dx.doi.org/10.5740/jaoacint.13-066","10.5740/jaoacint.13-066")</f>
        <v>10.5740/jaoacint.13-066</v>
      </c>
      <c r="N385" s="40" t="s">
        <v>3516</v>
      </c>
      <c r="O385" s="40" t="s">
        <v>744</v>
      </c>
      <c r="P385" s="40" t="s">
        <v>3517</v>
      </c>
      <c r="Q385" t="s">
        <v>316</v>
      </c>
    </row>
    <row r="386" spans="1:17" x14ac:dyDescent="0.25">
      <c r="A386" s="2" t="str">
        <f>HYPERLINK("https://www.ncbi.nlm.nih.gov/pubmed/25532856","25532856")</f>
        <v>25532856</v>
      </c>
      <c r="B386">
        <f t="shared" si="25"/>
        <v>7</v>
      </c>
      <c r="C386">
        <f t="shared" si="25"/>
        <v>0</v>
      </c>
      <c r="D386">
        <f t="shared" si="25"/>
        <v>0</v>
      </c>
      <c r="E386">
        <f t="shared" si="22"/>
        <v>7</v>
      </c>
      <c r="F386">
        <v>2016</v>
      </c>
      <c r="G386" t="s">
        <v>3679</v>
      </c>
      <c r="H386">
        <v>0</v>
      </c>
      <c r="I386" s="65">
        <v>0</v>
      </c>
      <c r="J386" t="s">
        <v>3680</v>
      </c>
      <c r="K386" s="35" t="s">
        <v>3585</v>
      </c>
      <c r="L386" s="35" t="s">
        <v>6952</v>
      </c>
      <c r="M386" s="39" t="str">
        <f>HYPERLINK("http://dx.doi.org/10.1002/tox.22099","10.1002/tox.22099")</f>
        <v>10.1002/tox.22099</v>
      </c>
      <c r="N386" s="40" t="s">
        <v>753</v>
      </c>
      <c r="O386" s="40" t="s">
        <v>748</v>
      </c>
      <c r="P386" s="40" t="s">
        <v>3681</v>
      </c>
      <c r="Q386" t="s">
        <v>316</v>
      </c>
    </row>
    <row r="387" spans="1:17" x14ac:dyDescent="0.25">
      <c r="A387" s="2" t="str">
        <f>HYPERLINK("https://www.ncbi.nlm.nih.gov/pubmed/25479362","25479362")</f>
        <v>25479362</v>
      </c>
      <c r="B387">
        <f t="shared" si="25"/>
        <v>7</v>
      </c>
      <c r="C387">
        <f t="shared" si="25"/>
        <v>0</v>
      </c>
      <c r="D387">
        <f t="shared" si="25"/>
        <v>0</v>
      </c>
      <c r="E387">
        <f t="shared" si="22"/>
        <v>7</v>
      </c>
      <c r="F387">
        <v>2014</v>
      </c>
      <c r="G387" t="s">
        <v>3697</v>
      </c>
      <c r="H387">
        <v>0</v>
      </c>
      <c r="I387" s="65">
        <v>0</v>
      </c>
      <c r="J387" t="s">
        <v>3699</v>
      </c>
      <c r="K387" s="35" t="s">
        <v>770</v>
      </c>
      <c r="L387" s="35" t="s">
        <v>3698</v>
      </c>
      <c r="M387" s="39" t="str">
        <f>HYPERLINK("http://dx.doi.org/10.1021/jf504455x","10.1021/jf504455x")</f>
        <v>10.1021/jf504455x</v>
      </c>
      <c r="N387" s="40" t="s">
        <v>2372</v>
      </c>
      <c r="O387" s="40" t="s">
        <v>756</v>
      </c>
      <c r="P387" s="40" t="s">
        <v>3700</v>
      </c>
      <c r="Q387" t="s">
        <v>316</v>
      </c>
    </row>
    <row r="388" spans="1:17" x14ac:dyDescent="0.25">
      <c r="A388" s="2" t="str">
        <f>HYPERLINK("https://www.ncbi.nlm.nih.gov/pubmed/24233193","24233193")</f>
        <v>24233193</v>
      </c>
      <c r="B388">
        <f t="shared" si="25"/>
        <v>7</v>
      </c>
      <c r="C388">
        <f t="shared" si="25"/>
        <v>0</v>
      </c>
      <c r="D388">
        <f t="shared" si="25"/>
        <v>0</v>
      </c>
      <c r="E388">
        <f t="shared" ref="E388:E451" si="26">SUM(B388:D388)</f>
        <v>7</v>
      </c>
      <c r="F388">
        <v>2014</v>
      </c>
      <c r="G388" t="s">
        <v>4061</v>
      </c>
      <c r="H388">
        <v>0</v>
      </c>
      <c r="I388" s="65">
        <v>0</v>
      </c>
      <c r="J388" t="s">
        <v>4063</v>
      </c>
      <c r="K388" s="35" t="s">
        <v>3164</v>
      </c>
      <c r="L388" s="35" t="s">
        <v>4062</v>
      </c>
      <c r="M388" s="39" t="str">
        <f>HYPERLINK("http://dx.doi.org/10.1007/s00128-013-1155-8","10.1007/s00128-013-1155-8")</f>
        <v>10.1007/s00128-013-1155-8</v>
      </c>
      <c r="N388" s="40" t="s">
        <v>2825</v>
      </c>
      <c r="O388" s="40" t="s">
        <v>744</v>
      </c>
      <c r="P388" s="40" t="s">
        <v>4064</v>
      </c>
      <c r="Q388" t="s">
        <v>316</v>
      </c>
    </row>
    <row r="389" spans="1:17" x14ac:dyDescent="0.25">
      <c r="A389" s="2" t="str">
        <f>HYPERLINK("https://www.ncbi.nlm.nih.gov/pubmed/23980838","23980838")</f>
        <v>23980838</v>
      </c>
      <c r="B389">
        <f t="shared" si="25"/>
        <v>7</v>
      </c>
      <c r="C389">
        <f t="shared" si="25"/>
        <v>0</v>
      </c>
      <c r="D389">
        <f t="shared" si="25"/>
        <v>0</v>
      </c>
      <c r="E389">
        <f t="shared" si="26"/>
        <v>7</v>
      </c>
      <c r="F389">
        <v>2013</v>
      </c>
      <c r="G389" t="s">
        <v>4104</v>
      </c>
      <c r="H389">
        <v>0</v>
      </c>
      <c r="I389" s="65">
        <v>0</v>
      </c>
      <c r="J389" t="s">
        <v>4106</v>
      </c>
      <c r="K389" s="35" t="s">
        <v>3169</v>
      </c>
      <c r="L389" s="35" t="s">
        <v>4105</v>
      </c>
      <c r="M389" s="39" t="str">
        <f>HYPERLINK("http://dx.doi.org/10.1080/15287394.2013.802266","10.1080/15287394.2013.802266")</f>
        <v>10.1080/15287394.2013.802266</v>
      </c>
      <c r="N389" s="40" t="s">
        <v>1485</v>
      </c>
      <c r="O389" s="40" t="s">
        <v>915</v>
      </c>
      <c r="P389" s="40" t="s">
        <v>4107</v>
      </c>
      <c r="Q389" t="s">
        <v>316</v>
      </c>
    </row>
    <row r="390" spans="1:17" x14ac:dyDescent="0.25">
      <c r="A390" s="2" t="str">
        <f>HYPERLINK("https://www.ncbi.nlm.nih.gov/pubmed/23586601","23586601")</f>
        <v>23586601</v>
      </c>
      <c r="B390">
        <f t="shared" si="25"/>
        <v>7</v>
      </c>
      <c r="C390">
        <f t="shared" si="25"/>
        <v>0</v>
      </c>
      <c r="D390">
        <f t="shared" si="25"/>
        <v>0</v>
      </c>
      <c r="E390">
        <f t="shared" si="26"/>
        <v>7</v>
      </c>
      <c r="F390">
        <v>2013</v>
      </c>
      <c r="G390" t="s">
        <v>4187</v>
      </c>
      <c r="H390">
        <v>0</v>
      </c>
      <c r="I390" s="65">
        <v>0</v>
      </c>
      <c r="J390" t="s">
        <v>4189</v>
      </c>
      <c r="K390" s="35" t="s">
        <v>770</v>
      </c>
      <c r="L390" s="35" t="s">
        <v>4188</v>
      </c>
      <c r="M390" s="39" t="str">
        <f>HYPERLINK("http://dx.doi.org/10.1021/jf400888c","10.1021/jf400888c")</f>
        <v>10.1021/jf400888c</v>
      </c>
      <c r="N390" s="40" t="s">
        <v>754</v>
      </c>
      <c r="O390" s="40" t="s">
        <v>659</v>
      </c>
      <c r="P390" s="40" t="s">
        <v>4190</v>
      </c>
      <c r="Q390" t="s">
        <v>316</v>
      </c>
    </row>
    <row r="391" spans="1:17" x14ac:dyDescent="0.25">
      <c r="A391" s="2" t="str">
        <f>HYPERLINK("https://www.ncbi.nlm.nih.gov/pubmed/23026557","23026557")</f>
        <v>23026557</v>
      </c>
      <c r="B391">
        <f t="shared" si="25"/>
        <v>7</v>
      </c>
      <c r="C391">
        <f t="shared" si="25"/>
        <v>0</v>
      </c>
      <c r="D391">
        <f t="shared" si="25"/>
        <v>0</v>
      </c>
      <c r="E391">
        <f t="shared" si="26"/>
        <v>7</v>
      </c>
      <c r="F391">
        <v>2013</v>
      </c>
      <c r="G391" t="s">
        <v>4322</v>
      </c>
      <c r="H391">
        <v>0</v>
      </c>
      <c r="I391" s="65">
        <v>0</v>
      </c>
      <c r="J391" t="s">
        <v>4324</v>
      </c>
      <c r="K391" s="35" t="s">
        <v>1052</v>
      </c>
      <c r="L391" s="35" t="s">
        <v>4323</v>
      </c>
      <c r="M391" s="39" t="str">
        <f>HYPERLINK("http://dx.doi.org/10.1016/j.vetpar.2012.08.011","10.1016/j.vetpar.2012.08.011")</f>
        <v>10.1016/j.vetpar.2012.08.011</v>
      </c>
      <c r="N391" s="40" t="s">
        <v>4316</v>
      </c>
      <c r="O391" s="40" t="s">
        <v>3531</v>
      </c>
      <c r="P391" s="40" t="s">
        <v>4325</v>
      </c>
      <c r="Q391" t="s">
        <v>316</v>
      </c>
    </row>
    <row r="392" spans="1:17" x14ac:dyDescent="0.25">
      <c r="A392" s="2" t="str">
        <f>HYPERLINK("https://www.ncbi.nlm.nih.gov/pubmed/22392920","22392920")</f>
        <v>22392920</v>
      </c>
      <c r="B392">
        <f t="shared" si="25"/>
        <v>7</v>
      </c>
      <c r="C392">
        <f t="shared" si="25"/>
        <v>0</v>
      </c>
      <c r="D392">
        <f t="shared" si="25"/>
        <v>0</v>
      </c>
      <c r="E392">
        <f t="shared" si="26"/>
        <v>7</v>
      </c>
      <c r="F392">
        <v>2012</v>
      </c>
      <c r="G392" t="s">
        <v>4455</v>
      </c>
      <c r="H392">
        <v>0</v>
      </c>
      <c r="I392" s="65">
        <v>0</v>
      </c>
      <c r="J392" t="s">
        <v>4457</v>
      </c>
      <c r="K392" s="35" t="s">
        <v>968</v>
      </c>
      <c r="L392" s="35" t="s">
        <v>4456</v>
      </c>
      <c r="M392" s="39" t="str">
        <f>HYPERLINK("http://dx.doi.org/10.1002/ps.3262","10.1002/ps.3262")</f>
        <v>10.1002/ps.3262</v>
      </c>
      <c r="N392" s="40" t="s">
        <v>1200</v>
      </c>
      <c r="O392" s="40" t="s">
        <v>748</v>
      </c>
      <c r="P392" s="40" t="s">
        <v>4458</v>
      </c>
      <c r="Q392" t="s">
        <v>316</v>
      </c>
    </row>
    <row r="393" spans="1:17" x14ac:dyDescent="0.25">
      <c r="A393" s="2" t="str">
        <f>HYPERLINK("https://www.ncbi.nlm.nih.gov/pubmed/22091462","22091462")</f>
        <v>22091462</v>
      </c>
      <c r="B393">
        <f t="shared" si="25"/>
        <v>7</v>
      </c>
      <c r="C393">
        <f t="shared" si="25"/>
        <v>0</v>
      </c>
      <c r="D393">
        <f t="shared" si="25"/>
        <v>0</v>
      </c>
      <c r="E393">
        <f t="shared" si="26"/>
        <v>7</v>
      </c>
      <c r="F393">
        <v>2011</v>
      </c>
      <c r="G393" t="s">
        <v>4511</v>
      </c>
      <c r="H393">
        <v>0</v>
      </c>
      <c r="I393" s="64" t="str">
        <f>HYPERLINK("https://www.ncbi.nlm.nih.gov/research/pubtator/?view=docsum&amp;query=PMC3677590","1")</f>
        <v>1</v>
      </c>
      <c r="J393" t="s">
        <v>4512</v>
      </c>
      <c r="K393" s="35" t="s">
        <v>2925</v>
      </c>
      <c r="L393" s="35" t="s">
        <v>7058</v>
      </c>
      <c r="M393" s="39" t="str">
        <f>HYPERLINK("http://dx.doi.org/10.1051/parasite/2011184319","10.1051/parasite/2011184319")</f>
        <v>10.1051/parasite/2011184319</v>
      </c>
      <c r="N393" s="40" t="s">
        <v>659</v>
      </c>
      <c r="O393" s="40" t="s">
        <v>690</v>
      </c>
      <c r="P393" s="40" t="s">
        <v>4513</v>
      </c>
      <c r="Q393" t="s">
        <v>316</v>
      </c>
    </row>
    <row r="394" spans="1:17" x14ac:dyDescent="0.25">
      <c r="A394" s="2" t="str">
        <f>HYPERLINK("https://www.ncbi.nlm.nih.gov/pubmed/22078114","22078114")</f>
        <v>22078114</v>
      </c>
      <c r="B394">
        <f t="shared" si="25"/>
        <v>7</v>
      </c>
      <c r="C394">
        <f t="shared" si="25"/>
        <v>0</v>
      </c>
      <c r="D394">
        <f t="shared" si="25"/>
        <v>0</v>
      </c>
      <c r="E394">
        <f t="shared" si="26"/>
        <v>7</v>
      </c>
      <c r="F394">
        <v>2012</v>
      </c>
      <c r="G394" t="s">
        <v>4514</v>
      </c>
      <c r="H394">
        <v>0</v>
      </c>
      <c r="I394" s="65">
        <v>0</v>
      </c>
      <c r="J394" t="s">
        <v>4515</v>
      </c>
      <c r="K394" s="35" t="s">
        <v>714</v>
      </c>
      <c r="L394" s="35" t="s">
        <v>7059</v>
      </c>
      <c r="M394" s="39" t="str">
        <f>HYPERLINK("http://dx.doi.org/10.1016/j.ecoenv.2011.10.001","10.1016/j.ecoenv.2011.10.001")</f>
        <v>10.1016/j.ecoenv.2011.10.001</v>
      </c>
      <c r="N394" s="40" t="s">
        <v>1074</v>
      </c>
      <c r="O394" s="40" t="s">
        <v>383</v>
      </c>
      <c r="P394" s="40" t="s">
        <v>4516</v>
      </c>
      <c r="Q394" t="s">
        <v>316</v>
      </c>
    </row>
    <row r="395" spans="1:17" x14ac:dyDescent="0.25">
      <c r="A395" s="2" t="str">
        <f>HYPERLINK("https://www.ncbi.nlm.nih.gov/pubmed/21823200","21823200")</f>
        <v>21823200</v>
      </c>
      <c r="B395">
        <f t="shared" si="25"/>
        <v>7</v>
      </c>
      <c r="C395">
        <f t="shared" si="25"/>
        <v>0</v>
      </c>
      <c r="D395">
        <f t="shared" si="25"/>
        <v>0</v>
      </c>
      <c r="E395">
        <f t="shared" si="26"/>
        <v>7</v>
      </c>
      <c r="F395">
        <v>2012</v>
      </c>
      <c r="G395" t="s">
        <v>4574</v>
      </c>
      <c r="H395">
        <v>0</v>
      </c>
      <c r="I395" s="65">
        <v>0</v>
      </c>
      <c r="J395" t="s">
        <v>4576</v>
      </c>
      <c r="K395" s="35" t="s">
        <v>4577</v>
      </c>
      <c r="L395" s="35" t="s">
        <v>4575</v>
      </c>
      <c r="M395" s="39" t="str">
        <f>HYPERLINK("http://dx.doi.org/10.1002/jemt.21053","10.1002/jemt.21053")</f>
        <v>10.1002/jemt.21053</v>
      </c>
      <c r="N395" s="40" t="s">
        <v>2041</v>
      </c>
      <c r="O395" s="40" t="s">
        <v>750</v>
      </c>
      <c r="P395" s="40" t="s">
        <v>4578</v>
      </c>
      <c r="Q395" t="s">
        <v>316</v>
      </c>
    </row>
    <row r="396" spans="1:17" x14ac:dyDescent="0.25">
      <c r="A396" s="2" t="str">
        <f>HYPERLINK("https://www.ncbi.nlm.nih.gov/pubmed/21738706","21738706")</f>
        <v>21738706</v>
      </c>
      <c r="B396">
        <f t="shared" si="25"/>
        <v>7</v>
      </c>
      <c r="C396">
        <f t="shared" si="25"/>
        <v>0</v>
      </c>
      <c r="D396">
        <f t="shared" si="25"/>
        <v>0</v>
      </c>
      <c r="E396">
        <f t="shared" si="26"/>
        <v>7</v>
      </c>
      <c r="F396">
        <v>2011</v>
      </c>
      <c r="G396" t="s">
        <v>4613</v>
      </c>
      <c r="H396">
        <v>0</v>
      </c>
      <c r="I396" s="64" t="str">
        <f>HYPERLINK("https://www.ncbi.nlm.nih.gov/research/pubtator/?view=docsum&amp;query=PMC3125288","1")</f>
        <v>1</v>
      </c>
      <c r="J396" t="s">
        <v>4614</v>
      </c>
      <c r="K396" s="35" t="s">
        <v>779</v>
      </c>
      <c r="L396" s="35" t="s">
        <v>7074</v>
      </c>
      <c r="M396" s="39" t="str">
        <f>HYPERLINK("http://dx.doi.org/10.1371/journal.pone.0021550","10.1371/journal.pone.0021550")</f>
        <v>10.1371/journal.pone.0021550</v>
      </c>
      <c r="N396" s="40" t="s">
        <v>741</v>
      </c>
      <c r="O396" s="40" t="s">
        <v>741</v>
      </c>
      <c r="P396" s="40" t="s">
        <v>4615</v>
      </c>
      <c r="Q396" t="s">
        <v>316</v>
      </c>
    </row>
    <row r="397" spans="1:17" x14ac:dyDescent="0.25">
      <c r="A397" s="2" t="str">
        <f>HYPERLINK("https://www.ncbi.nlm.nih.gov/pubmed/21548002","21548002")</f>
        <v>21548002</v>
      </c>
      <c r="B397">
        <f t="shared" si="25"/>
        <v>7</v>
      </c>
      <c r="C397">
        <f t="shared" si="25"/>
        <v>0</v>
      </c>
      <c r="D397">
        <f t="shared" si="25"/>
        <v>0</v>
      </c>
      <c r="E397">
        <f t="shared" si="26"/>
        <v>7</v>
      </c>
      <c r="F397">
        <v>2011</v>
      </c>
      <c r="G397" t="s">
        <v>4658</v>
      </c>
      <c r="H397">
        <v>0</v>
      </c>
      <c r="I397" s="65">
        <v>0</v>
      </c>
      <c r="J397" t="s">
        <v>4660</v>
      </c>
      <c r="K397" s="35" t="s">
        <v>968</v>
      </c>
      <c r="L397" s="35" t="s">
        <v>4659</v>
      </c>
      <c r="M397" s="39" t="str">
        <f>HYPERLINK("http://dx.doi.org/10.1002/ps.2188","10.1002/ps.2188")</f>
        <v>10.1002/ps.2188</v>
      </c>
      <c r="N397" s="40" t="s">
        <v>1779</v>
      </c>
      <c r="O397" s="40" t="s">
        <v>802</v>
      </c>
      <c r="P397" s="40" t="s">
        <v>4661</v>
      </c>
      <c r="Q397" t="s">
        <v>316</v>
      </c>
    </row>
    <row r="398" spans="1:17" x14ac:dyDescent="0.25">
      <c r="A398" s="2" t="str">
        <f>HYPERLINK("https://www.ncbi.nlm.nih.gov/pubmed/21438634","21438634")</f>
        <v>21438634</v>
      </c>
      <c r="B398">
        <f t="shared" si="25"/>
        <v>7</v>
      </c>
      <c r="C398">
        <f t="shared" si="25"/>
        <v>0</v>
      </c>
      <c r="D398">
        <f t="shared" si="25"/>
        <v>0</v>
      </c>
      <c r="E398">
        <f t="shared" si="26"/>
        <v>7</v>
      </c>
      <c r="F398">
        <v>2011</v>
      </c>
      <c r="G398" t="s">
        <v>4690</v>
      </c>
      <c r="H398">
        <v>0</v>
      </c>
      <c r="I398" s="65">
        <v>0</v>
      </c>
      <c r="J398" t="s">
        <v>4692</v>
      </c>
      <c r="K398" s="35" t="s">
        <v>770</v>
      </c>
      <c r="L398" s="35" t="s">
        <v>4691</v>
      </c>
      <c r="M398" s="39" t="str">
        <f>HYPERLINK("http://dx.doi.org/10.1021/jf104766e","10.1021/jf104766e")</f>
        <v>10.1021/jf104766e</v>
      </c>
      <c r="N398" s="40" t="s">
        <v>2885</v>
      </c>
      <c r="O398" s="40" t="s">
        <v>660</v>
      </c>
      <c r="P398" s="40" t="s">
        <v>4693</v>
      </c>
      <c r="Q398" t="s">
        <v>316</v>
      </c>
    </row>
    <row r="399" spans="1:17" x14ac:dyDescent="0.25">
      <c r="A399" s="2" t="str">
        <f>HYPERLINK("https://www.ncbi.nlm.nih.gov/pubmed/21146380","21146380")</f>
        <v>21146380</v>
      </c>
      <c r="B399">
        <f t="shared" si="25"/>
        <v>7</v>
      </c>
      <c r="C399">
        <f t="shared" si="25"/>
        <v>6</v>
      </c>
      <c r="D399">
        <f t="shared" si="25"/>
        <v>0</v>
      </c>
      <c r="E399">
        <f t="shared" si="26"/>
        <v>13</v>
      </c>
      <c r="F399">
        <v>2012</v>
      </c>
      <c r="G399" t="s">
        <v>4785</v>
      </c>
      <c r="H399">
        <v>0</v>
      </c>
      <c r="I399" s="65">
        <v>0</v>
      </c>
      <c r="J399" t="s">
        <v>4787</v>
      </c>
      <c r="K399" s="35" t="s">
        <v>4788</v>
      </c>
      <c r="L399" s="35" t="s">
        <v>4786</v>
      </c>
      <c r="M399" s="39" t="str">
        <f>HYPERLINK("http://dx.doi.org/10.1016/j.etp.2010.11.015","10.1016/j.etp.2010.11.015")</f>
        <v>10.1016/j.etp.2010.11.015</v>
      </c>
      <c r="N399" s="40" t="s">
        <v>2243</v>
      </c>
      <c r="O399" s="40" t="s">
        <v>741</v>
      </c>
      <c r="P399" s="40" t="s">
        <v>4789</v>
      </c>
      <c r="Q399" t="s">
        <v>316</v>
      </c>
    </row>
    <row r="400" spans="1:17" x14ac:dyDescent="0.25">
      <c r="A400" s="2" t="str">
        <f>HYPERLINK("https://www.ncbi.nlm.nih.gov/pubmed/20932830","20932830")</f>
        <v>20932830</v>
      </c>
      <c r="B400">
        <f t="shared" si="25"/>
        <v>7</v>
      </c>
      <c r="C400">
        <f t="shared" si="25"/>
        <v>0</v>
      </c>
      <c r="D400">
        <f t="shared" si="25"/>
        <v>0</v>
      </c>
      <c r="E400">
        <f t="shared" si="26"/>
        <v>7</v>
      </c>
      <c r="F400">
        <v>2011</v>
      </c>
      <c r="G400" t="s">
        <v>4812</v>
      </c>
      <c r="H400">
        <v>0</v>
      </c>
      <c r="I400" s="65">
        <v>0</v>
      </c>
      <c r="J400" t="s">
        <v>4814</v>
      </c>
      <c r="K400" s="35" t="s">
        <v>4810</v>
      </c>
      <c r="L400" s="35" t="s">
        <v>4813</v>
      </c>
      <c r="M400" s="39" t="str">
        <f>HYPERLINK("http://dx.doi.org/10.1016/j.exppara.2010.09.009","10.1016/j.exppara.2010.09.009")</f>
        <v>10.1016/j.exppara.2010.09.009</v>
      </c>
      <c r="N400" s="40" t="s">
        <v>1063</v>
      </c>
      <c r="O400" s="40" t="s">
        <v>744</v>
      </c>
      <c r="P400" s="40" t="s">
        <v>4815</v>
      </c>
      <c r="Q400" t="s">
        <v>316</v>
      </c>
    </row>
    <row r="401" spans="1:17" x14ac:dyDescent="0.25">
      <c r="A401" s="2" t="str">
        <f>HYPERLINK("https://www.ncbi.nlm.nih.gov/pubmed/20730985","20730985")</f>
        <v>20730985</v>
      </c>
      <c r="B401">
        <f t="shared" si="25"/>
        <v>7</v>
      </c>
      <c r="C401">
        <f t="shared" si="25"/>
        <v>0</v>
      </c>
      <c r="D401">
        <f t="shared" si="25"/>
        <v>0</v>
      </c>
      <c r="E401">
        <f t="shared" si="26"/>
        <v>7</v>
      </c>
      <c r="F401">
        <v>2010</v>
      </c>
      <c r="G401" t="s">
        <v>4865</v>
      </c>
      <c r="H401">
        <v>0</v>
      </c>
      <c r="I401" s="65">
        <v>0</v>
      </c>
      <c r="J401" t="s">
        <v>4867</v>
      </c>
      <c r="K401" s="35" t="s">
        <v>968</v>
      </c>
      <c r="L401" s="35" t="s">
        <v>4866</v>
      </c>
      <c r="M401" s="39" t="str">
        <f>HYPERLINK("http://dx.doi.org/10.1002/ps.1964","10.1002/ps.1964")</f>
        <v>10.1002/ps.1964</v>
      </c>
      <c r="N401" s="40" t="s">
        <v>2424</v>
      </c>
      <c r="O401" s="40" t="s">
        <v>660</v>
      </c>
      <c r="P401" s="40" t="s">
        <v>4868</v>
      </c>
      <c r="Q401" t="s">
        <v>316</v>
      </c>
    </row>
    <row r="402" spans="1:17" x14ac:dyDescent="0.25">
      <c r="A402" s="2" t="str">
        <f>HYPERLINK("https://www.ncbi.nlm.nih.gov/pubmed/20652223","20652223")</f>
        <v>20652223</v>
      </c>
      <c r="B402">
        <f t="shared" si="25"/>
        <v>7</v>
      </c>
      <c r="C402">
        <f t="shared" si="25"/>
        <v>0</v>
      </c>
      <c r="D402">
        <f t="shared" si="25"/>
        <v>0</v>
      </c>
      <c r="E402">
        <f t="shared" si="26"/>
        <v>7</v>
      </c>
      <c r="F402">
        <v>2010</v>
      </c>
      <c r="G402" t="s">
        <v>4872</v>
      </c>
      <c r="H402">
        <v>0</v>
      </c>
      <c r="I402" s="65">
        <v>0</v>
      </c>
      <c r="J402" t="s">
        <v>4874</v>
      </c>
      <c r="K402" s="35" t="s">
        <v>3164</v>
      </c>
      <c r="L402" s="35" t="s">
        <v>4873</v>
      </c>
      <c r="M402" s="39" t="str">
        <f>HYPERLINK("http://dx.doi.org/10.1007/s00128-010-0081-2","10.1007/s00128-010-0081-2")</f>
        <v>10.1007/s00128-010-0081-2</v>
      </c>
      <c r="N402" s="40" t="s">
        <v>938</v>
      </c>
      <c r="O402" s="40" t="s">
        <v>744</v>
      </c>
      <c r="P402" s="40" t="s">
        <v>4875</v>
      </c>
      <c r="Q402" t="s">
        <v>316</v>
      </c>
    </row>
    <row r="403" spans="1:17" x14ac:dyDescent="0.25">
      <c r="A403" s="2" t="str">
        <f>HYPERLINK("https://www.ncbi.nlm.nih.gov/pubmed/20563240","20563240")</f>
        <v>20563240</v>
      </c>
      <c r="B403">
        <f t="shared" si="25"/>
        <v>7</v>
      </c>
      <c r="C403">
        <f t="shared" si="25"/>
        <v>0</v>
      </c>
      <c r="D403">
        <f t="shared" si="25"/>
        <v>0</v>
      </c>
      <c r="E403">
        <f t="shared" si="26"/>
        <v>7</v>
      </c>
      <c r="F403">
        <v>2010</v>
      </c>
      <c r="G403" t="s">
        <v>4888</v>
      </c>
      <c r="H403">
        <v>0</v>
      </c>
      <c r="I403" s="64" t="str">
        <f>HYPERLINK("https://www.ncbi.nlm.nih.gov/research/pubtator/?view=docsum&amp;query=PMC2885805","1")</f>
        <v>1</v>
      </c>
      <c r="J403" t="s">
        <v>4890</v>
      </c>
      <c r="K403" s="35" t="s">
        <v>831</v>
      </c>
      <c r="L403" s="35" t="s">
        <v>4889</v>
      </c>
      <c r="M403" s="39" t="str">
        <f>HYPERLINK("http://dx.doi.org/10.1016/j.pestbp.2009.07.008","10.1016/j.pestbp.2009.07.008")</f>
        <v>10.1016/j.pestbp.2009.07.008</v>
      </c>
      <c r="N403" s="40" t="s">
        <v>749</v>
      </c>
      <c r="O403" s="40" t="s">
        <v>744</v>
      </c>
      <c r="P403" s="40" t="s">
        <v>4891</v>
      </c>
      <c r="Q403" t="s">
        <v>316</v>
      </c>
    </row>
    <row r="404" spans="1:17" x14ac:dyDescent="0.25">
      <c r="A404" s="2" t="str">
        <f>HYPERLINK("https://www.ncbi.nlm.nih.gov/pubmed/19851797","19851797")</f>
        <v>19851797</v>
      </c>
      <c r="B404">
        <f t="shared" ref="B404:D423" si="27">IF(ISBLANK(B$3),0,(LEN($L404) - LEN(SUBSTITUTE(LOWER($L404),LOWER(B$3),"")))/LEN(B$3))</f>
        <v>7</v>
      </c>
      <c r="C404">
        <f t="shared" si="27"/>
        <v>0</v>
      </c>
      <c r="D404">
        <f t="shared" si="27"/>
        <v>0</v>
      </c>
      <c r="E404">
        <f t="shared" si="26"/>
        <v>7</v>
      </c>
      <c r="F404">
        <v>2009</v>
      </c>
      <c r="G404" t="s">
        <v>5037</v>
      </c>
      <c r="H404">
        <v>0</v>
      </c>
      <c r="I404" s="65">
        <v>0</v>
      </c>
      <c r="J404" t="s">
        <v>5038</v>
      </c>
      <c r="K404" s="35" t="s">
        <v>5039</v>
      </c>
      <c r="L404" s="35" t="s">
        <v>7120</v>
      </c>
      <c r="M404" s="39" t="str">
        <f>HYPERLINK("http://dx.doi.org/10.1007/s10158-009-0092-z","10.1007/s10158-009-0092-z")</f>
        <v>10.1007/s10158-009-0092-z</v>
      </c>
      <c r="N404" s="40" t="s">
        <v>660</v>
      </c>
      <c r="O404" s="40" t="s">
        <v>744</v>
      </c>
      <c r="P404" s="40" t="s">
        <v>5040</v>
      </c>
      <c r="Q404" t="s">
        <v>316</v>
      </c>
    </row>
    <row r="405" spans="1:17" x14ac:dyDescent="0.25">
      <c r="A405" s="2" t="str">
        <f>HYPERLINK("https://www.ncbi.nlm.nih.gov/pubmed/19750496","19750496")</f>
        <v>19750496</v>
      </c>
      <c r="B405">
        <f t="shared" si="27"/>
        <v>7</v>
      </c>
      <c r="C405">
        <f t="shared" si="27"/>
        <v>0</v>
      </c>
      <c r="D405">
        <f t="shared" si="27"/>
        <v>0</v>
      </c>
      <c r="E405">
        <f t="shared" si="26"/>
        <v>7</v>
      </c>
      <c r="F405">
        <v>2010</v>
      </c>
      <c r="G405" t="s">
        <v>5041</v>
      </c>
      <c r="H405">
        <v>0</v>
      </c>
      <c r="I405" s="65">
        <v>0</v>
      </c>
      <c r="J405" t="s">
        <v>5043</v>
      </c>
      <c r="K405" s="35" t="s">
        <v>968</v>
      </c>
      <c r="L405" s="35" t="s">
        <v>5042</v>
      </c>
      <c r="M405" s="39" t="str">
        <f>HYPERLINK("http://dx.doi.org/10.1002/ps.1836","10.1002/ps.1836")</f>
        <v>10.1002/ps.1836</v>
      </c>
      <c r="N405" s="40" t="s">
        <v>2424</v>
      </c>
      <c r="O405" s="40" t="s">
        <v>744</v>
      </c>
      <c r="P405" s="40" t="s">
        <v>5044</v>
      </c>
      <c r="Q405" t="s">
        <v>316</v>
      </c>
    </row>
    <row r="406" spans="1:17" x14ac:dyDescent="0.25">
      <c r="A406" s="2" t="str">
        <f>HYPERLINK("https://www.ncbi.nlm.nih.gov/pubmed/19748741","19748741")</f>
        <v>19748741</v>
      </c>
      <c r="B406">
        <f t="shared" si="27"/>
        <v>7</v>
      </c>
      <c r="C406">
        <f t="shared" si="27"/>
        <v>0</v>
      </c>
      <c r="D406">
        <f t="shared" si="27"/>
        <v>0</v>
      </c>
      <c r="E406">
        <f t="shared" si="26"/>
        <v>7</v>
      </c>
      <c r="F406">
        <v>2009</v>
      </c>
      <c r="G406" t="s">
        <v>5045</v>
      </c>
      <c r="H406">
        <v>0</v>
      </c>
      <c r="I406" s="65">
        <v>0</v>
      </c>
      <c r="J406" t="s">
        <v>5047</v>
      </c>
      <c r="K406" s="35" t="s">
        <v>1052</v>
      </c>
      <c r="L406" s="35" t="s">
        <v>5046</v>
      </c>
      <c r="M406" s="39" t="str">
        <f>HYPERLINK("http://dx.doi.org/10.1016/j.vetpar.2009.08.015","10.1016/j.vetpar.2009.08.015")</f>
        <v>10.1016/j.vetpar.2009.08.015</v>
      </c>
      <c r="N406" s="40" t="s">
        <v>2180</v>
      </c>
      <c r="O406" s="40" t="s">
        <v>3531</v>
      </c>
      <c r="P406" s="40" t="s">
        <v>5048</v>
      </c>
      <c r="Q406" t="s">
        <v>316</v>
      </c>
    </row>
    <row r="407" spans="1:17" x14ac:dyDescent="0.25">
      <c r="A407" s="2" t="str">
        <f>HYPERLINK("https://www.ncbi.nlm.nih.gov/pubmed/19238461","19238461")</f>
        <v>19238461</v>
      </c>
      <c r="B407">
        <f t="shared" si="27"/>
        <v>7</v>
      </c>
      <c r="C407">
        <f t="shared" si="27"/>
        <v>0</v>
      </c>
      <c r="D407">
        <f t="shared" si="27"/>
        <v>0</v>
      </c>
      <c r="E407">
        <f t="shared" si="26"/>
        <v>7</v>
      </c>
      <c r="F407">
        <v>2009</v>
      </c>
      <c r="G407" t="s">
        <v>5168</v>
      </c>
      <c r="H407">
        <v>0</v>
      </c>
      <c r="I407" s="65">
        <v>0</v>
      </c>
      <c r="J407" t="s">
        <v>5170</v>
      </c>
      <c r="K407" s="35" t="s">
        <v>5171</v>
      </c>
      <c r="L407" s="35" t="s">
        <v>5169</v>
      </c>
      <c r="M407" s="39" t="str">
        <f>HYPERLINK("http://dx.doi.org/10.1007/s00894-009-0477-2","10.1007/s00894-009-0477-2")</f>
        <v>10.1007/s00894-009-0477-2</v>
      </c>
      <c r="N407" s="40" t="s">
        <v>929</v>
      </c>
      <c r="O407" s="40" t="s">
        <v>660</v>
      </c>
      <c r="P407" s="40" t="s">
        <v>5172</v>
      </c>
      <c r="Q407" t="s">
        <v>316</v>
      </c>
    </row>
    <row r="408" spans="1:17" x14ac:dyDescent="0.25">
      <c r="A408" s="2" t="str">
        <f>HYPERLINK("https://www.ncbi.nlm.nih.gov/pubmed/18289556","18289556")</f>
        <v>18289556</v>
      </c>
      <c r="B408">
        <f t="shared" si="27"/>
        <v>7</v>
      </c>
      <c r="C408">
        <f t="shared" si="27"/>
        <v>1</v>
      </c>
      <c r="D408">
        <f t="shared" si="27"/>
        <v>0</v>
      </c>
      <c r="E408">
        <f t="shared" si="26"/>
        <v>8</v>
      </c>
      <c r="F408">
        <v>2008</v>
      </c>
      <c r="G408" t="s">
        <v>5352</v>
      </c>
      <c r="H408">
        <v>0</v>
      </c>
      <c r="I408" s="65">
        <v>0</v>
      </c>
      <c r="J408" t="s">
        <v>5354</v>
      </c>
      <c r="K408" s="35" t="s">
        <v>1340</v>
      </c>
      <c r="L408" s="35" t="s">
        <v>5353</v>
      </c>
      <c r="M408" s="39" t="str">
        <f>HYPERLINK("http://dx.doi.org/10.1016/j.chroma.2008.02.014","10.1016/j.chroma.2008.02.014")</f>
        <v>10.1016/j.chroma.2008.02.014</v>
      </c>
      <c r="N408" s="40" t="s">
        <v>5355</v>
      </c>
      <c r="O408" s="40" t="s">
        <v>3531</v>
      </c>
      <c r="P408" s="40" t="s">
        <v>5356</v>
      </c>
      <c r="Q408" t="s">
        <v>316</v>
      </c>
    </row>
    <row r="409" spans="1:17" x14ac:dyDescent="0.25">
      <c r="A409" s="2" t="str">
        <f>HYPERLINK("https://www.ncbi.nlm.nih.gov/pubmed/17706328","17706328")</f>
        <v>17706328</v>
      </c>
      <c r="B409">
        <f t="shared" si="27"/>
        <v>7</v>
      </c>
      <c r="C409">
        <f t="shared" si="27"/>
        <v>0</v>
      </c>
      <c r="D409">
        <f t="shared" si="27"/>
        <v>0</v>
      </c>
      <c r="E409">
        <f t="shared" si="26"/>
        <v>7</v>
      </c>
      <c r="F409">
        <v>2008</v>
      </c>
      <c r="G409" t="s">
        <v>5450</v>
      </c>
      <c r="H409">
        <v>0</v>
      </c>
      <c r="I409" s="65">
        <v>0</v>
      </c>
      <c r="J409" t="s">
        <v>5452</v>
      </c>
      <c r="K409" s="35" t="s">
        <v>707</v>
      </c>
      <c r="L409" s="35" t="s">
        <v>5451</v>
      </c>
      <c r="M409" s="39" t="str">
        <f>HYPERLINK("http://dx.doi.org/10.1016/j.envpol.2007.03.021","10.1016/j.envpol.2007.03.021")</f>
        <v>10.1016/j.envpol.2007.03.021</v>
      </c>
      <c r="N409" s="40" t="s">
        <v>5453</v>
      </c>
      <c r="O409" s="40" t="s">
        <v>744</v>
      </c>
      <c r="P409" s="40" t="s">
        <v>5454</v>
      </c>
      <c r="Q409" t="s">
        <v>316</v>
      </c>
    </row>
    <row r="410" spans="1:17" x14ac:dyDescent="0.25">
      <c r="A410" s="2" t="str">
        <f>HYPERLINK("https://www.ncbi.nlm.nih.gov/pubmed/17687584","17687584")</f>
        <v>17687584</v>
      </c>
      <c r="B410">
        <f t="shared" si="27"/>
        <v>7</v>
      </c>
      <c r="C410">
        <f t="shared" si="27"/>
        <v>0</v>
      </c>
      <c r="D410">
        <f t="shared" si="27"/>
        <v>0</v>
      </c>
      <c r="E410">
        <f t="shared" si="26"/>
        <v>7</v>
      </c>
      <c r="F410">
        <v>2008</v>
      </c>
      <c r="G410" t="s">
        <v>5455</v>
      </c>
      <c r="H410">
        <v>0</v>
      </c>
      <c r="I410" s="65">
        <v>0</v>
      </c>
      <c r="J410" t="s">
        <v>5456</v>
      </c>
      <c r="K410" s="35" t="s">
        <v>1395</v>
      </c>
      <c r="L410" s="35" t="s">
        <v>7157</v>
      </c>
      <c r="M410" s="39" t="str">
        <f>HYPERLINK("http://dx.doi.org/10.1007/s00244-007-9003-7","10.1007/s00244-007-9003-7")</f>
        <v>10.1007/s00244-007-9003-7</v>
      </c>
      <c r="N410" s="40" t="s">
        <v>2010</v>
      </c>
      <c r="O410" s="40" t="s">
        <v>638</v>
      </c>
      <c r="P410" s="40" t="s">
        <v>5457</v>
      </c>
      <c r="Q410" t="s">
        <v>316</v>
      </c>
    </row>
    <row r="411" spans="1:17" x14ac:dyDescent="0.25">
      <c r="A411" s="2" t="str">
        <f>HYPERLINK("https://www.ncbi.nlm.nih.gov/pubmed/17427179","17427179")</f>
        <v>17427179</v>
      </c>
      <c r="B411">
        <f t="shared" si="27"/>
        <v>7</v>
      </c>
      <c r="C411">
        <f t="shared" si="27"/>
        <v>0</v>
      </c>
      <c r="D411">
        <f t="shared" si="27"/>
        <v>0</v>
      </c>
      <c r="E411">
        <f t="shared" si="26"/>
        <v>7</v>
      </c>
      <c r="F411">
        <v>2007</v>
      </c>
      <c r="G411" t="s">
        <v>5486</v>
      </c>
      <c r="H411">
        <v>0</v>
      </c>
      <c r="I411" s="65">
        <v>0</v>
      </c>
      <c r="J411" t="s">
        <v>5488</v>
      </c>
      <c r="K411" s="35" t="s">
        <v>2197</v>
      </c>
      <c r="L411" s="35" t="s">
        <v>5487</v>
      </c>
      <c r="M411" s="39" t="str">
        <f>HYPERLINK("http://dx.doi.org/10.1002/jbt.20161","10.1002/jbt.20161")</f>
        <v>10.1002/jbt.20161</v>
      </c>
      <c r="N411" s="40" t="s">
        <v>1364</v>
      </c>
      <c r="O411" s="40" t="s">
        <v>744</v>
      </c>
      <c r="P411" s="40" t="s">
        <v>5489</v>
      </c>
      <c r="Q411" t="s">
        <v>316</v>
      </c>
    </row>
    <row r="412" spans="1:17" x14ac:dyDescent="0.25">
      <c r="A412" s="2" t="str">
        <f>HYPERLINK("https://www.ncbi.nlm.nih.gov/pubmed/17204326","17204326")</f>
        <v>17204326</v>
      </c>
      <c r="B412">
        <f t="shared" si="27"/>
        <v>7</v>
      </c>
      <c r="C412">
        <f t="shared" si="27"/>
        <v>0</v>
      </c>
      <c r="D412">
        <f t="shared" si="27"/>
        <v>0</v>
      </c>
      <c r="E412">
        <f t="shared" si="26"/>
        <v>7</v>
      </c>
      <c r="F412">
        <v>2007</v>
      </c>
      <c r="G412" t="s">
        <v>5521</v>
      </c>
      <c r="H412">
        <v>0</v>
      </c>
      <c r="I412" s="65">
        <v>0</v>
      </c>
      <c r="J412" t="s">
        <v>5523</v>
      </c>
      <c r="K412" s="35" t="s">
        <v>714</v>
      </c>
      <c r="L412" s="35" t="s">
        <v>5522</v>
      </c>
      <c r="M412" s="39" t="str">
        <f>HYPERLINK("http://dx.doi.org/10.1016/j.ecoenv.2006.11.017","10.1016/j.ecoenv.2006.11.017")</f>
        <v>10.1016/j.ecoenv.2006.11.017</v>
      </c>
      <c r="N412" s="40" t="s">
        <v>1200</v>
      </c>
      <c r="O412" s="40" t="s">
        <v>744</v>
      </c>
      <c r="P412" s="40" t="s">
        <v>5524</v>
      </c>
      <c r="Q412" t="s">
        <v>316</v>
      </c>
    </row>
    <row r="413" spans="1:17" x14ac:dyDescent="0.25">
      <c r="A413" s="2" t="str">
        <f>HYPERLINK("https://www.ncbi.nlm.nih.gov/pubmed/16686150","16686150")</f>
        <v>16686150</v>
      </c>
      <c r="B413">
        <f t="shared" si="27"/>
        <v>7</v>
      </c>
      <c r="C413">
        <f t="shared" si="27"/>
        <v>0</v>
      </c>
      <c r="D413">
        <f t="shared" si="27"/>
        <v>0</v>
      </c>
      <c r="E413">
        <f t="shared" si="26"/>
        <v>7</v>
      </c>
      <c r="F413">
        <v>2006</v>
      </c>
      <c r="G413" t="s">
        <v>5639</v>
      </c>
      <c r="H413">
        <v>0</v>
      </c>
      <c r="I413" s="65">
        <v>0</v>
      </c>
      <c r="J413" t="s">
        <v>5641</v>
      </c>
      <c r="K413" s="35" t="s">
        <v>909</v>
      </c>
      <c r="L413" s="35" t="s">
        <v>5640</v>
      </c>
      <c r="M413" s="39" t="str">
        <f>HYPERLINK("http://dx.doi.org/10.1603/0022-0493-99.2.476","10.1603/0022-0493-99.2.476")</f>
        <v>10.1603/0022-0493-99.2.476</v>
      </c>
      <c r="N413" s="40" t="s">
        <v>3055</v>
      </c>
      <c r="O413" s="40" t="s">
        <v>744</v>
      </c>
      <c r="P413" s="40" t="s">
        <v>5642</v>
      </c>
      <c r="Q413" t="s">
        <v>316</v>
      </c>
    </row>
    <row r="414" spans="1:17" x14ac:dyDescent="0.25">
      <c r="A414" s="2" t="str">
        <f>HYPERLINK("https://www.ncbi.nlm.nih.gov/pubmed/16550492","16550492")</f>
        <v>16550492</v>
      </c>
      <c r="B414">
        <f t="shared" si="27"/>
        <v>7</v>
      </c>
      <c r="C414">
        <f t="shared" si="27"/>
        <v>0</v>
      </c>
      <c r="D414">
        <f t="shared" si="27"/>
        <v>0</v>
      </c>
      <c r="E414">
        <f t="shared" si="26"/>
        <v>7</v>
      </c>
      <c r="F414">
        <v>2005</v>
      </c>
      <c r="G414" t="s">
        <v>5662</v>
      </c>
      <c r="H414">
        <v>0</v>
      </c>
      <c r="I414" s="65">
        <v>0</v>
      </c>
      <c r="J414" t="s">
        <v>5663</v>
      </c>
      <c r="K414" s="35" t="s">
        <v>5052</v>
      </c>
      <c r="L414" s="35" t="s">
        <v>7185</v>
      </c>
      <c r="M414" s="39" t="str">
        <f>HYPERLINK("http://dx.doi.org/","")</f>
        <v/>
      </c>
      <c r="N414" s="40" t="s">
        <v>741</v>
      </c>
      <c r="O414" s="40" t="s">
        <v>690</v>
      </c>
      <c r="P414" s="40" t="s">
        <v>5664</v>
      </c>
      <c r="Q414" t="s">
        <v>316</v>
      </c>
    </row>
    <row r="415" spans="1:17" x14ac:dyDescent="0.25">
      <c r="A415" s="2" t="str">
        <f>HYPERLINK("https://www.ncbi.nlm.nih.gov/pubmed/16102801","16102801")</f>
        <v>16102801</v>
      </c>
      <c r="B415">
        <f t="shared" si="27"/>
        <v>7</v>
      </c>
      <c r="C415">
        <f t="shared" si="27"/>
        <v>0</v>
      </c>
      <c r="D415">
        <f t="shared" si="27"/>
        <v>0</v>
      </c>
      <c r="E415">
        <f t="shared" si="26"/>
        <v>7</v>
      </c>
      <c r="F415">
        <v>2005</v>
      </c>
      <c r="G415" t="s">
        <v>5735</v>
      </c>
      <c r="H415">
        <v>0</v>
      </c>
      <c r="I415" s="65">
        <v>0</v>
      </c>
      <c r="J415" t="s">
        <v>5737</v>
      </c>
      <c r="K415" s="35" t="s">
        <v>5738</v>
      </c>
      <c r="L415" s="35" t="s">
        <v>5736</v>
      </c>
      <c r="M415" s="39" t="str">
        <f>HYPERLINK("http://dx.doi.org/10.1016/j.pbb.2005.07.008","10.1016/j.pbb.2005.07.008")</f>
        <v>10.1016/j.pbb.2005.07.008</v>
      </c>
      <c r="N415" s="40" t="s">
        <v>1332</v>
      </c>
      <c r="O415" s="40" t="s">
        <v>638</v>
      </c>
      <c r="P415" s="40" t="s">
        <v>5739</v>
      </c>
      <c r="Q415" t="s">
        <v>316</v>
      </c>
    </row>
    <row r="416" spans="1:17" x14ac:dyDescent="0.25">
      <c r="A416" s="2" t="str">
        <f>HYPERLINK("https://www.ncbi.nlm.nih.gov/pubmed/15845289","15845289")</f>
        <v>15845289</v>
      </c>
      <c r="B416">
        <f t="shared" si="27"/>
        <v>7</v>
      </c>
      <c r="C416">
        <f t="shared" si="27"/>
        <v>0</v>
      </c>
      <c r="D416">
        <f t="shared" si="27"/>
        <v>0</v>
      </c>
      <c r="E416">
        <f t="shared" si="26"/>
        <v>7</v>
      </c>
      <c r="F416">
        <v>2005</v>
      </c>
      <c r="G416" t="s">
        <v>5810</v>
      </c>
      <c r="H416">
        <v>0</v>
      </c>
      <c r="I416" s="65">
        <v>0</v>
      </c>
      <c r="J416" t="s">
        <v>5811</v>
      </c>
      <c r="K416" s="35" t="s">
        <v>1052</v>
      </c>
      <c r="L416" s="35" t="s">
        <v>7201</v>
      </c>
      <c r="M416" s="39" t="str">
        <f>HYPERLINK("http://dx.doi.org/10.1016/j.vetpar.2005.02.008","10.1016/j.vetpar.2005.02.008")</f>
        <v>10.1016/j.vetpar.2005.02.008</v>
      </c>
      <c r="N416" s="40" t="s">
        <v>5812</v>
      </c>
      <c r="O416" s="40" t="s">
        <v>1741</v>
      </c>
      <c r="P416" s="40" t="s">
        <v>5813</v>
      </c>
      <c r="Q416" t="s">
        <v>316</v>
      </c>
    </row>
    <row r="417" spans="1:17" x14ac:dyDescent="0.25">
      <c r="A417" s="2" t="str">
        <f>HYPERLINK("https://www.ncbi.nlm.nih.gov/pubmed/15748149","15748149")</f>
        <v>15748149</v>
      </c>
      <c r="B417">
        <f t="shared" si="27"/>
        <v>7</v>
      </c>
      <c r="C417">
        <f t="shared" si="27"/>
        <v>0</v>
      </c>
      <c r="D417">
        <f t="shared" si="27"/>
        <v>0</v>
      </c>
      <c r="E417">
        <f t="shared" si="26"/>
        <v>7</v>
      </c>
      <c r="F417">
        <v>2005</v>
      </c>
      <c r="G417" t="s">
        <v>5826</v>
      </c>
      <c r="H417">
        <v>0</v>
      </c>
      <c r="I417" s="65">
        <v>0</v>
      </c>
      <c r="J417" t="s">
        <v>5827</v>
      </c>
      <c r="K417" s="35" t="s">
        <v>3414</v>
      </c>
      <c r="L417" s="35" t="s">
        <v>7202</v>
      </c>
      <c r="M417" s="39" t="str">
        <f>HYPERLINK("http://dx.doi.org/10.1111/j.1471-4159.2004.02922.x","10.1111/j.1471-4159.2004.02922.x")</f>
        <v>10.1111/j.1471-4159.2004.02922.x</v>
      </c>
      <c r="N417" s="40" t="s">
        <v>2825</v>
      </c>
      <c r="O417" s="40" t="s">
        <v>741</v>
      </c>
      <c r="P417" s="40" t="s">
        <v>5828</v>
      </c>
      <c r="Q417" t="s">
        <v>316</v>
      </c>
    </row>
    <row r="418" spans="1:17" x14ac:dyDescent="0.25">
      <c r="A418" s="2" t="str">
        <f>HYPERLINK("https://www.ncbi.nlm.nih.gov/pubmed/14643964","14643964")</f>
        <v>14643964</v>
      </c>
      <c r="B418">
        <f t="shared" si="27"/>
        <v>7</v>
      </c>
      <c r="C418">
        <f t="shared" si="27"/>
        <v>5</v>
      </c>
      <c r="D418">
        <f t="shared" si="27"/>
        <v>0</v>
      </c>
      <c r="E418">
        <f t="shared" si="26"/>
        <v>12</v>
      </c>
      <c r="F418">
        <v>2004</v>
      </c>
      <c r="G418" t="s">
        <v>5996</v>
      </c>
      <c r="H418">
        <v>0</v>
      </c>
      <c r="I418" s="65">
        <v>0</v>
      </c>
      <c r="J418" t="s">
        <v>5998</v>
      </c>
      <c r="K418" s="35" t="s">
        <v>1936</v>
      </c>
      <c r="L418" s="35" t="s">
        <v>5997</v>
      </c>
      <c r="M418" s="39" t="str">
        <f>HYPERLINK("http://dx.doi.org/10.1016/j.toxlet.2003.08.008","10.1016/j.toxlet.2003.08.008")</f>
        <v>10.1016/j.toxlet.2003.08.008</v>
      </c>
      <c r="N418" s="40" t="s">
        <v>891</v>
      </c>
      <c r="O418" s="40" t="s">
        <v>744</v>
      </c>
      <c r="P418" s="40" t="s">
        <v>5999</v>
      </c>
      <c r="Q418" t="s">
        <v>316</v>
      </c>
    </row>
    <row r="419" spans="1:17" x14ac:dyDescent="0.25">
      <c r="A419" s="2" t="str">
        <f>HYPERLINK("https://www.ncbi.nlm.nih.gov/pubmed/14611171","14611171")</f>
        <v>14611171</v>
      </c>
      <c r="B419">
        <f t="shared" si="27"/>
        <v>7</v>
      </c>
      <c r="C419">
        <f t="shared" si="27"/>
        <v>0</v>
      </c>
      <c r="D419">
        <f t="shared" si="27"/>
        <v>0</v>
      </c>
      <c r="E419">
        <f t="shared" si="26"/>
        <v>7</v>
      </c>
      <c r="F419">
        <v>2003</v>
      </c>
      <c r="G419" t="s">
        <v>6006</v>
      </c>
      <c r="H419">
        <v>0</v>
      </c>
      <c r="I419" s="65">
        <v>0</v>
      </c>
      <c r="J419" t="s">
        <v>6008</v>
      </c>
      <c r="K419" s="35" t="s">
        <v>770</v>
      </c>
      <c r="L419" s="35" t="s">
        <v>6007</v>
      </c>
      <c r="M419" s="39" t="str">
        <f>HYPERLINK("http://dx.doi.org/10.1021/jf030439l","10.1021/jf030439l")</f>
        <v>10.1021/jf030439l</v>
      </c>
      <c r="N419" s="40" t="s">
        <v>1780</v>
      </c>
      <c r="O419" s="40" t="s">
        <v>1188</v>
      </c>
      <c r="P419" s="40" t="s">
        <v>6009</v>
      </c>
      <c r="Q419" t="s">
        <v>316</v>
      </c>
    </row>
    <row r="420" spans="1:17" x14ac:dyDescent="0.25">
      <c r="A420" s="2" t="str">
        <f>HYPERLINK("https://www.ncbi.nlm.nih.gov/pubmed/11459307","11459307")</f>
        <v>11459307</v>
      </c>
      <c r="B420">
        <f t="shared" si="27"/>
        <v>7</v>
      </c>
      <c r="C420">
        <f t="shared" si="27"/>
        <v>0</v>
      </c>
      <c r="D420">
        <f t="shared" si="27"/>
        <v>0</v>
      </c>
      <c r="E420">
        <f t="shared" si="26"/>
        <v>7</v>
      </c>
      <c r="F420">
        <v>2001</v>
      </c>
      <c r="G420" t="s">
        <v>6243</v>
      </c>
      <c r="H420">
        <v>0</v>
      </c>
      <c r="I420" s="65">
        <v>0</v>
      </c>
      <c r="J420" t="s">
        <v>6245</v>
      </c>
      <c r="K420" s="35" t="s">
        <v>1340</v>
      </c>
      <c r="L420" s="35" t="s">
        <v>6244</v>
      </c>
      <c r="M420" s="39" t="str">
        <f>HYPERLINK("http://dx.doi.org/10.1016/s0021-9673(01)00788-9","10.1016/s0021-9673(01)00788-9")</f>
        <v>10.1016/s0021-9673(01)00788-9</v>
      </c>
      <c r="N420" s="40" t="s">
        <v>6246</v>
      </c>
      <c r="O420" s="40" t="s">
        <v>638</v>
      </c>
      <c r="P420" s="40" t="s">
        <v>3453</v>
      </c>
      <c r="Q420" t="s">
        <v>316</v>
      </c>
    </row>
    <row r="421" spans="1:17" x14ac:dyDescent="0.25">
      <c r="A421" s="2" t="str">
        <f>HYPERLINK("https://www.ncbi.nlm.nih.gov/pubmed/11312853","11312853")</f>
        <v>11312853</v>
      </c>
      <c r="B421">
        <f t="shared" si="27"/>
        <v>7</v>
      </c>
      <c r="C421">
        <f t="shared" si="27"/>
        <v>0</v>
      </c>
      <c r="D421">
        <f t="shared" si="27"/>
        <v>0</v>
      </c>
      <c r="E421">
        <f t="shared" si="26"/>
        <v>7</v>
      </c>
      <c r="F421">
        <v>2001</v>
      </c>
      <c r="G421" t="s">
        <v>6273</v>
      </c>
      <c r="H421">
        <v>0</v>
      </c>
      <c r="I421" s="65">
        <v>0</v>
      </c>
      <c r="J421" t="s">
        <v>6275</v>
      </c>
      <c r="K421" s="35" t="s">
        <v>770</v>
      </c>
      <c r="L421" s="35" t="s">
        <v>6274</v>
      </c>
      <c r="M421" s="39" t="str">
        <f>HYPERLINK("http://dx.doi.org/10.1021/jf000996x","10.1021/jf000996x")</f>
        <v>10.1021/jf000996x</v>
      </c>
      <c r="N421" s="40" t="s">
        <v>2085</v>
      </c>
      <c r="O421" s="40" t="s">
        <v>750</v>
      </c>
      <c r="P421" s="40" t="s">
        <v>6276</v>
      </c>
      <c r="Q421" t="s">
        <v>316</v>
      </c>
    </row>
    <row r="422" spans="1:17" x14ac:dyDescent="0.25">
      <c r="A422" s="2" t="str">
        <f>HYPERLINK("https://www.ncbi.nlm.nih.gov/pubmed/10552659","10552659")</f>
        <v>10552659</v>
      </c>
      <c r="B422">
        <f t="shared" si="27"/>
        <v>7</v>
      </c>
      <c r="C422">
        <f t="shared" si="27"/>
        <v>0</v>
      </c>
      <c r="D422">
        <f t="shared" si="27"/>
        <v>0</v>
      </c>
      <c r="E422">
        <f t="shared" si="26"/>
        <v>7</v>
      </c>
      <c r="F422">
        <v>1999</v>
      </c>
      <c r="G422" t="s">
        <v>6386</v>
      </c>
      <c r="H422">
        <v>0</v>
      </c>
      <c r="I422" s="65">
        <v>0</v>
      </c>
      <c r="J422" t="s">
        <v>6388</v>
      </c>
      <c r="K422" s="35" t="s">
        <v>770</v>
      </c>
      <c r="L422" s="35" t="s">
        <v>6387</v>
      </c>
      <c r="M422" s="39" t="str">
        <f>HYPERLINK("http://dx.doi.org/10.1021/jf980885m","10.1021/jf980885m")</f>
        <v>10.1021/jf980885m</v>
      </c>
      <c r="N422" s="40" t="s">
        <v>2814</v>
      </c>
      <c r="O422" s="40" t="s">
        <v>781</v>
      </c>
      <c r="P422" s="40" t="s">
        <v>6389</v>
      </c>
      <c r="Q422" t="s">
        <v>316</v>
      </c>
    </row>
    <row r="423" spans="1:17" x14ac:dyDescent="0.25">
      <c r="A423" s="2" t="str">
        <f>HYPERLINK("https://www.ncbi.nlm.nih.gov/pubmed/10382021","10382021")</f>
        <v>10382021</v>
      </c>
      <c r="B423">
        <f t="shared" si="27"/>
        <v>7</v>
      </c>
      <c r="C423">
        <f t="shared" si="27"/>
        <v>0</v>
      </c>
      <c r="D423">
        <f t="shared" si="27"/>
        <v>0</v>
      </c>
      <c r="E423">
        <f t="shared" si="26"/>
        <v>7</v>
      </c>
      <c r="F423">
        <v>1999</v>
      </c>
      <c r="G423" t="s">
        <v>6393</v>
      </c>
      <c r="H423">
        <v>0</v>
      </c>
      <c r="I423" s="65">
        <v>0</v>
      </c>
      <c r="J423" t="s">
        <v>6394</v>
      </c>
      <c r="K423" s="35" t="s">
        <v>1649</v>
      </c>
      <c r="L423" s="35" t="s">
        <v>7261</v>
      </c>
      <c r="M423" s="39" t="str">
        <f>HYPERLINK("http://dx.doi.org/","")</f>
        <v/>
      </c>
      <c r="N423" s="40" t="s">
        <v>3147</v>
      </c>
      <c r="O423" s="40" t="s">
        <v>915</v>
      </c>
      <c r="P423" s="40" t="s">
        <v>6395</v>
      </c>
      <c r="Q423" t="s">
        <v>316</v>
      </c>
    </row>
    <row r="424" spans="1:17" x14ac:dyDescent="0.25">
      <c r="A424" s="2" t="str">
        <f>HYPERLINK("https://www.ncbi.nlm.nih.gov/pubmed/9358201","9358201")</f>
        <v>9358201</v>
      </c>
      <c r="B424">
        <f t="shared" ref="B424:D443" si="28">IF(ISBLANK(B$3),0,(LEN($L424) - LEN(SUBSTITUTE(LOWER($L424),LOWER(B$3),"")))/LEN(B$3))</f>
        <v>7</v>
      </c>
      <c r="C424">
        <f t="shared" si="28"/>
        <v>1</v>
      </c>
      <c r="D424">
        <f t="shared" si="28"/>
        <v>0</v>
      </c>
      <c r="E424">
        <f t="shared" si="26"/>
        <v>8</v>
      </c>
      <c r="F424">
        <v>1997</v>
      </c>
      <c r="G424" t="s">
        <v>6446</v>
      </c>
      <c r="H424">
        <v>0</v>
      </c>
      <c r="I424" s="65">
        <v>0</v>
      </c>
      <c r="J424" t="s">
        <v>6448</v>
      </c>
      <c r="K424" s="35" t="s">
        <v>6449</v>
      </c>
      <c r="L424" s="35" t="s">
        <v>6447</v>
      </c>
      <c r="M424" s="39" t="str">
        <f>HYPERLINK("http://dx.doi.org/10.1007/BF03189809","10.1007/BF03189809")</f>
        <v>10.1007/BF03189809</v>
      </c>
      <c r="N424" s="40" t="s">
        <v>1092</v>
      </c>
      <c r="O424" s="40" t="s">
        <v>750</v>
      </c>
      <c r="P424" s="40" t="s">
        <v>6450</v>
      </c>
      <c r="Q424" t="s">
        <v>316</v>
      </c>
    </row>
    <row r="425" spans="1:17" x14ac:dyDescent="0.25">
      <c r="A425" s="2" t="str">
        <f>HYPERLINK("https://www.ncbi.nlm.nih.gov/pubmed/34120279","34120279")</f>
        <v>34120279</v>
      </c>
      <c r="B425">
        <f t="shared" si="28"/>
        <v>6</v>
      </c>
      <c r="C425">
        <f t="shared" si="28"/>
        <v>0</v>
      </c>
      <c r="D425">
        <f t="shared" si="28"/>
        <v>0</v>
      </c>
      <c r="E425">
        <f t="shared" si="26"/>
        <v>6</v>
      </c>
      <c r="F425">
        <v>2021</v>
      </c>
      <c r="G425" t="s">
        <v>898</v>
      </c>
      <c r="H425">
        <v>0</v>
      </c>
      <c r="I425" s="65">
        <v>0</v>
      </c>
      <c r="J425" t="s">
        <v>900</v>
      </c>
      <c r="K425" s="35" t="s">
        <v>810</v>
      </c>
      <c r="L425" s="35" t="s">
        <v>899</v>
      </c>
      <c r="M425" s="39" t="str">
        <f>HYPERLINK("http://dx.doi.org/10.1007/s11356-021-14651-6","10.1007/s11356-021-14651-6")</f>
        <v>10.1007/s11356-021-14651-6</v>
      </c>
      <c r="N425" s="40" t="s">
        <v>383</v>
      </c>
      <c r="O425" s="40" t="s">
        <v>383</v>
      </c>
      <c r="P425" s="40" t="s">
        <v>383</v>
      </c>
      <c r="Q425" t="s">
        <v>316</v>
      </c>
    </row>
    <row r="426" spans="1:17" x14ac:dyDescent="0.25">
      <c r="A426" s="2" t="str">
        <f>HYPERLINK("https://www.ncbi.nlm.nih.gov/pubmed/34119225","34119225")</f>
        <v>34119225</v>
      </c>
      <c r="B426">
        <f t="shared" si="28"/>
        <v>6</v>
      </c>
      <c r="C426">
        <f t="shared" si="28"/>
        <v>0</v>
      </c>
      <c r="D426">
        <f t="shared" si="28"/>
        <v>0</v>
      </c>
      <c r="E426">
        <f t="shared" si="26"/>
        <v>6</v>
      </c>
      <c r="F426">
        <v>2021</v>
      </c>
      <c r="G426" t="s">
        <v>901</v>
      </c>
      <c r="H426">
        <v>0</v>
      </c>
      <c r="I426" s="65">
        <v>0</v>
      </c>
      <c r="J426" t="s">
        <v>903</v>
      </c>
      <c r="K426" s="35" t="s">
        <v>831</v>
      </c>
      <c r="L426" s="35" t="s">
        <v>902</v>
      </c>
      <c r="M426" s="39" t="str">
        <f>HYPERLINK("http://dx.doi.org/10.1016/j.pestbp.2021.104861","10.1016/j.pestbp.2021.104861")</f>
        <v>10.1016/j.pestbp.2021.104861</v>
      </c>
      <c r="N426" s="40" t="s">
        <v>904</v>
      </c>
      <c r="O426" s="40" t="s">
        <v>383</v>
      </c>
      <c r="P426" s="40" t="s">
        <v>905</v>
      </c>
      <c r="Q426" t="s">
        <v>316</v>
      </c>
    </row>
    <row r="427" spans="1:17" x14ac:dyDescent="0.25">
      <c r="A427" s="2" t="str">
        <f>HYPERLINK("https://www.ncbi.nlm.nih.gov/pubmed/33918013","33918013")</f>
        <v>33918013</v>
      </c>
      <c r="B427">
        <f t="shared" si="28"/>
        <v>6</v>
      </c>
      <c r="C427">
        <f t="shared" si="28"/>
        <v>0</v>
      </c>
      <c r="D427">
        <f t="shared" si="28"/>
        <v>0</v>
      </c>
      <c r="E427">
        <f t="shared" si="26"/>
        <v>6</v>
      </c>
      <c r="F427">
        <v>2021</v>
      </c>
      <c r="G427" t="s">
        <v>988</v>
      </c>
      <c r="H427">
        <v>0</v>
      </c>
      <c r="I427" s="64" t="str">
        <f>HYPERLINK("https://www.ncbi.nlm.nih.gov/research/pubtator/?view=docsum&amp;query=PMC8068406","1")</f>
        <v>1</v>
      </c>
      <c r="J427" t="s">
        <v>990</v>
      </c>
      <c r="K427" s="35" t="s">
        <v>925</v>
      </c>
      <c r="L427" s="35" t="s">
        <v>989</v>
      </c>
      <c r="M427" s="39" t="str">
        <f>HYPERLINK("http://dx.doi.org/10.3390/insects12040334","10.3390/insects12040334")</f>
        <v>10.3390/insects12040334</v>
      </c>
      <c r="N427" s="40" t="s">
        <v>915</v>
      </c>
      <c r="O427" s="40" t="s">
        <v>690</v>
      </c>
      <c r="P427" s="40" t="s">
        <v>383</v>
      </c>
      <c r="Q427" t="s">
        <v>316</v>
      </c>
    </row>
    <row r="428" spans="1:17" x14ac:dyDescent="0.25">
      <c r="A428" s="2" t="str">
        <f>HYPERLINK("https://www.ncbi.nlm.nih.gov/pubmed/33611004","33611004")</f>
        <v>33611004</v>
      </c>
      <c r="B428">
        <f t="shared" si="28"/>
        <v>6</v>
      </c>
      <c r="C428">
        <f t="shared" si="28"/>
        <v>0</v>
      </c>
      <c r="D428">
        <f t="shared" si="28"/>
        <v>0</v>
      </c>
      <c r="E428">
        <f t="shared" si="26"/>
        <v>6</v>
      </c>
      <c r="F428">
        <v>2021</v>
      </c>
      <c r="G428" t="s">
        <v>1076</v>
      </c>
      <c r="H428">
        <v>0</v>
      </c>
      <c r="I428" s="65">
        <v>0</v>
      </c>
      <c r="J428" t="s">
        <v>1078</v>
      </c>
      <c r="K428" s="35" t="s">
        <v>670</v>
      </c>
      <c r="L428" s="35" t="s">
        <v>1077</v>
      </c>
      <c r="M428" s="39" t="str">
        <f>HYPERLINK("http://dx.doi.org/10.1016/j.scitotenv.2021.145679","10.1016/j.scitotenv.2021.145679")</f>
        <v>10.1016/j.scitotenv.2021.145679</v>
      </c>
      <c r="N428" s="40" t="s">
        <v>1079</v>
      </c>
      <c r="O428" s="40" t="s">
        <v>383</v>
      </c>
      <c r="P428" s="40" t="s">
        <v>1080</v>
      </c>
      <c r="Q428" t="s">
        <v>316</v>
      </c>
    </row>
    <row r="429" spans="1:17" x14ac:dyDescent="0.25">
      <c r="A429" s="2" t="str">
        <f>HYPERLINK("https://www.ncbi.nlm.nih.gov/pubmed/33269911","33269911")</f>
        <v>33269911</v>
      </c>
      <c r="B429">
        <f t="shared" si="28"/>
        <v>6</v>
      </c>
      <c r="C429">
        <f t="shared" si="28"/>
        <v>0</v>
      </c>
      <c r="D429">
        <f t="shared" si="28"/>
        <v>0</v>
      </c>
      <c r="E429">
        <f t="shared" si="26"/>
        <v>6</v>
      </c>
      <c r="F429">
        <v>2020</v>
      </c>
      <c r="G429" t="s">
        <v>1198</v>
      </c>
      <c r="H429">
        <v>0</v>
      </c>
      <c r="I429" s="65">
        <v>0</v>
      </c>
      <c r="J429" t="s">
        <v>1199</v>
      </c>
      <c r="K429" s="35" t="s">
        <v>770</v>
      </c>
      <c r="L429" s="35" t="s">
        <v>6572</v>
      </c>
      <c r="M429" s="39" t="str">
        <f>HYPERLINK("http://dx.doi.org/10.1021/acs.jafc.0c02462","10.1021/acs.jafc.0c02462")</f>
        <v>10.1021/acs.jafc.0c02462</v>
      </c>
      <c r="N429" s="40" t="s">
        <v>1200</v>
      </c>
      <c r="O429" s="40" t="s">
        <v>743</v>
      </c>
      <c r="P429" s="40" t="s">
        <v>1201</v>
      </c>
      <c r="Q429" t="s">
        <v>316</v>
      </c>
    </row>
    <row r="430" spans="1:17" x14ac:dyDescent="0.25">
      <c r="A430" s="2" t="str">
        <f>HYPERLINK("https://www.ncbi.nlm.nih.gov/pubmed/33000337","33000337")</f>
        <v>33000337</v>
      </c>
      <c r="B430">
        <f t="shared" si="28"/>
        <v>6</v>
      </c>
      <c r="C430">
        <f t="shared" si="28"/>
        <v>0</v>
      </c>
      <c r="D430">
        <f t="shared" si="28"/>
        <v>0</v>
      </c>
      <c r="E430">
        <f t="shared" si="26"/>
        <v>6</v>
      </c>
      <c r="F430">
        <v>2020</v>
      </c>
      <c r="G430" t="s">
        <v>1328</v>
      </c>
      <c r="H430">
        <v>0</v>
      </c>
      <c r="I430" s="65">
        <v>0</v>
      </c>
      <c r="J430" t="s">
        <v>1330</v>
      </c>
      <c r="K430" s="35" t="s">
        <v>1331</v>
      </c>
      <c r="L430" s="35" t="s">
        <v>1329</v>
      </c>
      <c r="M430" s="39" t="str">
        <f>HYPERLINK("http://dx.doi.org/10.1007/s10493-020-00554-7","10.1007/s10493-020-00554-7")</f>
        <v>10.1007/s10493-020-00554-7</v>
      </c>
      <c r="N430" s="40" t="s">
        <v>1332</v>
      </c>
      <c r="O430" s="40" t="s">
        <v>750</v>
      </c>
      <c r="P430" s="40" t="s">
        <v>1333</v>
      </c>
      <c r="Q430" t="s">
        <v>316</v>
      </c>
    </row>
    <row r="431" spans="1:17" x14ac:dyDescent="0.25">
      <c r="A431" s="2" t="str">
        <f>HYPERLINK("https://www.ncbi.nlm.nih.gov/pubmed/32979768","32979768")</f>
        <v>32979768</v>
      </c>
      <c r="B431">
        <f t="shared" si="28"/>
        <v>6</v>
      </c>
      <c r="C431">
        <f t="shared" si="28"/>
        <v>1</v>
      </c>
      <c r="D431">
        <f t="shared" si="28"/>
        <v>0</v>
      </c>
      <c r="E431">
        <f t="shared" si="26"/>
        <v>7</v>
      </c>
      <c r="F431">
        <v>2020</v>
      </c>
      <c r="G431" t="s">
        <v>1337</v>
      </c>
      <c r="H431">
        <v>0</v>
      </c>
      <c r="I431" s="65">
        <v>0</v>
      </c>
      <c r="J431" t="s">
        <v>1339</v>
      </c>
      <c r="K431" s="35" t="s">
        <v>1340</v>
      </c>
      <c r="L431" s="35" t="s">
        <v>1338</v>
      </c>
      <c r="M431" s="39" t="str">
        <f>HYPERLINK("http://dx.doi.org/10.1016/j.chroma.2020.461568","10.1016/j.chroma.2020.461568")</f>
        <v>10.1016/j.chroma.2020.461568</v>
      </c>
      <c r="N431" s="40" t="s">
        <v>1341</v>
      </c>
      <c r="O431" s="40" t="s">
        <v>383</v>
      </c>
      <c r="P431" s="40" t="s">
        <v>1342</v>
      </c>
      <c r="Q431" t="s">
        <v>316</v>
      </c>
    </row>
    <row r="432" spans="1:17" x14ac:dyDescent="0.25">
      <c r="A432" s="2" t="str">
        <f>HYPERLINK("https://www.ncbi.nlm.nih.gov/pubmed/32942115","32942115")</f>
        <v>32942115</v>
      </c>
      <c r="B432">
        <f t="shared" si="28"/>
        <v>6</v>
      </c>
      <c r="C432">
        <f t="shared" si="28"/>
        <v>1</v>
      </c>
      <c r="D432">
        <f t="shared" si="28"/>
        <v>0</v>
      </c>
      <c r="E432">
        <f t="shared" si="26"/>
        <v>7</v>
      </c>
      <c r="F432">
        <v>2020</v>
      </c>
      <c r="G432" t="s">
        <v>1354</v>
      </c>
      <c r="H432">
        <v>0</v>
      </c>
      <c r="I432" s="65">
        <v>0</v>
      </c>
      <c r="J432" t="s">
        <v>1355</v>
      </c>
      <c r="K432" s="35" t="s">
        <v>763</v>
      </c>
      <c r="L432" s="35" t="s">
        <v>6595</v>
      </c>
      <c r="M432" s="39" t="str">
        <f>HYPERLINK("http://dx.doi.org/10.1016/j.aquatox.2020.105617","10.1016/j.aquatox.2020.105617")</f>
        <v>10.1016/j.aquatox.2020.105617</v>
      </c>
      <c r="N432" s="40" t="s">
        <v>1356</v>
      </c>
      <c r="O432" s="40" t="s">
        <v>383</v>
      </c>
      <c r="P432" s="40" t="s">
        <v>1357</v>
      </c>
      <c r="Q432" t="s">
        <v>316</v>
      </c>
    </row>
    <row r="433" spans="1:17" x14ac:dyDescent="0.25">
      <c r="A433" s="2" t="str">
        <f>HYPERLINK("https://www.ncbi.nlm.nih.gov/pubmed/32841807","32841807")</f>
        <v>32841807</v>
      </c>
      <c r="B433">
        <f t="shared" si="28"/>
        <v>6</v>
      </c>
      <c r="C433">
        <f t="shared" si="28"/>
        <v>0</v>
      </c>
      <c r="D433">
        <f t="shared" si="28"/>
        <v>0</v>
      </c>
      <c r="E433">
        <f t="shared" si="26"/>
        <v>6</v>
      </c>
      <c r="F433">
        <v>2021</v>
      </c>
      <c r="G433" t="s">
        <v>1398</v>
      </c>
      <c r="H433">
        <v>0</v>
      </c>
      <c r="I433" s="65">
        <v>0</v>
      </c>
      <c r="J433" t="s">
        <v>1399</v>
      </c>
      <c r="K433" s="35" t="s">
        <v>670</v>
      </c>
      <c r="L433" s="35" t="s">
        <v>6602</v>
      </c>
      <c r="M433" s="39" t="str">
        <f>HYPERLINK("http://dx.doi.org/10.1016/j.scitotenv.2020.141507","10.1016/j.scitotenv.2020.141507")</f>
        <v>10.1016/j.scitotenv.2020.141507</v>
      </c>
      <c r="N433" s="40" t="s">
        <v>1400</v>
      </c>
      <c r="O433" s="40" t="s">
        <v>383</v>
      </c>
      <c r="P433" s="40" t="s">
        <v>1401</v>
      </c>
      <c r="Q433" t="s">
        <v>316</v>
      </c>
    </row>
    <row r="434" spans="1:17" x14ac:dyDescent="0.25">
      <c r="A434" s="2" t="str">
        <f>HYPERLINK("https://www.ncbi.nlm.nih.gov/pubmed/32822938","32822938")</f>
        <v>32822938</v>
      </c>
      <c r="B434">
        <f t="shared" si="28"/>
        <v>6</v>
      </c>
      <c r="C434">
        <f t="shared" si="28"/>
        <v>0</v>
      </c>
      <c r="D434">
        <f t="shared" si="28"/>
        <v>0</v>
      </c>
      <c r="E434">
        <f t="shared" si="26"/>
        <v>6</v>
      </c>
      <c r="F434">
        <v>2021</v>
      </c>
      <c r="G434" t="s">
        <v>1402</v>
      </c>
      <c r="H434">
        <v>0</v>
      </c>
      <c r="I434" s="65">
        <v>0</v>
      </c>
      <c r="J434" t="s">
        <v>1403</v>
      </c>
      <c r="K434" s="35" t="s">
        <v>822</v>
      </c>
      <c r="L434" s="35" t="s">
        <v>6603</v>
      </c>
      <c r="M434" s="39" t="str">
        <f>HYPERLINK("http://dx.doi.org/10.1016/j.chemosphere.2020.127972","10.1016/j.chemosphere.2020.127972")</f>
        <v>10.1016/j.chemosphere.2020.127972</v>
      </c>
      <c r="N434" s="40" t="s">
        <v>708</v>
      </c>
      <c r="O434" s="40" t="s">
        <v>383</v>
      </c>
      <c r="P434" s="40" t="s">
        <v>1404</v>
      </c>
      <c r="Q434" t="s">
        <v>316</v>
      </c>
    </row>
    <row r="435" spans="1:17" x14ac:dyDescent="0.25">
      <c r="A435" s="2" t="str">
        <f>HYPERLINK("https://www.ncbi.nlm.nih.gov/pubmed/32791279","32791279")</f>
        <v>32791279</v>
      </c>
      <c r="B435">
        <f t="shared" si="28"/>
        <v>6</v>
      </c>
      <c r="C435">
        <f t="shared" si="28"/>
        <v>0</v>
      </c>
      <c r="D435">
        <f t="shared" si="28"/>
        <v>0</v>
      </c>
      <c r="E435">
        <f t="shared" si="26"/>
        <v>6</v>
      </c>
      <c r="F435">
        <v>2020</v>
      </c>
      <c r="G435" t="s">
        <v>1415</v>
      </c>
      <c r="H435">
        <v>0</v>
      </c>
      <c r="I435" s="65">
        <v>0</v>
      </c>
      <c r="J435" t="s">
        <v>1417</v>
      </c>
      <c r="K435" s="35" t="s">
        <v>1418</v>
      </c>
      <c r="L435" s="35" t="s">
        <v>1416</v>
      </c>
      <c r="M435" s="39" t="str">
        <f>HYPERLINK("http://dx.doi.org/10.1016/j.ijbiomac.2020.08.061","10.1016/j.ijbiomac.2020.08.061")</f>
        <v>10.1016/j.ijbiomac.2020.08.061</v>
      </c>
      <c r="N435" s="40" t="s">
        <v>1419</v>
      </c>
      <c r="O435" s="40" t="s">
        <v>383</v>
      </c>
      <c r="P435" s="40" t="s">
        <v>1420</v>
      </c>
      <c r="Q435" t="s">
        <v>316</v>
      </c>
    </row>
    <row r="436" spans="1:17" x14ac:dyDescent="0.25">
      <c r="A436" s="2" t="str">
        <f>HYPERLINK("https://www.ncbi.nlm.nih.gov/pubmed/32683200","32683200")</f>
        <v>32683200</v>
      </c>
      <c r="B436">
        <f t="shared" si="28"/>
        <v>6</v>
      </c>
      <c r="C436">
        <f t="shared" si="28"/>
        <v>0</v>
      </c>
      <c r="D436">
        <f t="shared" si="28"/>
        <v>0</v>
      </c>
      <c r="E436">
        <f t="shared" si="26"/>
        <v>6</v>
      </c>
      <c r="F436">
        <v>2020</v>
      </c>
      <c r="G436" t="s">
        <v>1469</v>
      </c>
      <c r="H436">
        <v>0</v>
      </c>
      <c r="I436" s="65">
        <v>0</v>
      </c>
      <c r="J436" t="s">
        <v>1471</v>
      </c>
      <c r="K436" s="35" t="s">
        <v>1472</v>
      </c>
      <c r="L436" s="35" t="s">
        <v>1470</v>
      </c>
      <c r="M436" s="39" t="str">
        <f>HYPERLINK("http://dx.doi.org/10.1016/j.bpc.2020.106426","10.1016/j.bpc.2020.106426")</f>
        <v>10.1016/j.bpc.2020.106426</v>
      </c>
      <c r="N436" s="40" t="s">
        <v>1473</v>
      </c>
      <c r="O436" s="40" t="s">
        <v>383</v>
      </c>
      <c r="P436" s="40" t="s">
        <v>1474</v>
      </c>
      <c r="Q436" t="s">
        <v>316</v>
      </c>
    </row>
    <row r="437" spans="1:17" x14ac:dyDescent="0.25">
      <c r="A437" s="2" t="str">
        <f>HYPERLINK("https://www.ncbi.nlm.nih.gov/pubmed/32492281","32492281")</f>
        <v>32492281</v>
      </c>
      <c r="B437">
        <f t="shared" si="28"/>
        <v>6</v>
      </c>
      <c r="C437">
        <f t="shared" si="28"/>
        <v>0</v>
      </c>
      <c r="D437">
        <f t="shared" si="28"/>
        <v>0</v>
      </c>
      <c r="E437">
        <f t="shared" si="26"/>
        <v>6</v>
      </c>
      <c r="F437">
        <v>2020</v>
      </c>
      <c r="G437" t="s">
        <v>1504</v>
      </c>
      <c r="H437">
        <v>0</v>
      </c>
      <c r="I437" s="65">
        <v>0</v>
      </c>
      <c r="J437" t="s">
        <v>1506</v>
      </c>
      <c r="K437" s="35" t="s">
        <v>1507</v>
      </c>
      <c r="L437" s="35" t="s">
        <v>1505</v>
      </c>
      <c r="M437" s="39" t="str">
        <f>HYPERLINK("http://dx.doi.org/10.1111/jvec.12375","10.1111/jvec.12375")</f>
        <v>10.1111/jvec.12375</v>
      </c>
      <c r="N437" s="40" t="s">
        <v>765</v>
      </c>
      <c r="O437" s="40" t="s">
        <v>638</v>
      </c>
      <c r="P437" s="40" t="s">
        <v>1508</v>
      </c>
      <c r="Q437" t="s">
        <v>316</v>
      </c>
    </row>
    <row r="438" spans="1:17" x14ac:dyDescent="0.25">
      <c r="A438" s="2" t="str">
        <f>HYPERLINK("https://www.ncbi.nlm.nih.gov/pubmed/32076704","32076704")</f>
        <v>32076704</v>
      </c>
      <c r="B438">
        <f t="shared" si="28"/>
        <v>6</v>
      </c>
      <c r="C438">
        <f t="shared" si="28"/>
        <v>0</v>
      </c>
      <c r="D438">
        <f t="shared" si="28"/>
        <v>0</v>
      </c>
      <c r="E438">
        <f t="shared" si="26"/>
        <v>6</v>
      </c>
      <c r="F438">
        <v>2020</v>
      </c>
      <c r="G438" t="s">
        <v>1618</v>
      </c>
      <c r="H438">
        <v>0</v>
      </c>
      <c r="I438" s="65">
        <v>0</v>
      </c>
      <c r="J438" t="s">
        <v>1620</v>
      </c>
      <c r="K438" s="35" t="s">
        <v>1027</v>
      </c>
      <c r="L438" s="35" t="s">
        <v>1619</v>
      </c>
      <c r="M438" s="39" t="str">
        <f>HYPERLINK("http://dx.doi.org/10.1093/jme/tjaa028","10.1093/jme/tjaa028")</f>
        <v>10.1093/jme/tjaa028</v>
      </c>
      <c r="N438" s="40" t="s">
        <v>764</v>
      </c>
      <c r="O438" s="40" t="s">
        <v>690</v>
      </c>
      <c r="P438" s="40" t="s">
        <v>1621</v>
      </c>
      <c r="Q438" t="s">
        <v>316</v>
      </c>
    </row>
    <row r="439" spans="1:17" x14ac:dyDescent="0.25">
      <c r="A439" s="2" t="str">
        <f>HYPERLINK("https://www.ncbi.nlm.nih.gov/pubmed/31892081","31892081")</f>
        <v>31892081</v>
      </c>
      <c r="B439">
        <f t="shared" si="28"/>
        <v>6</v>
      </c>
      <c r="C439">
        <f t="shared" si="28"/>
        <v>0</v>
      </c>
      <c r="D439">
        <f t="shared" si="28"/>
        <v>0</v>
      </c>
      <c r="E439">
        <f t="shared" si="26"/>
        <v>6</v>
      </c>
      <c r="F439">
        <v>2020</v>
      </c>
      <c r="G439" t="s">
        <v>1666</v>
      </c>
      <c r="H439">
        <v>0</v>
      </c>
      <c r="I439" s="65">
        <v>0</v>
      </c>
      <c r="J439" t="s">
        <v>1668</v>
      </c>
      <c r="K439" s="35" t="s">
        <v>1162</v>
      </c>
      <c r="L439" s="35" t="s">
        <v>1667</v>
      </c>
      <c r="M439" s="39" t="str">
        <f>HYPERLINK("http://dx.doi.org/10.1016/j.talanta.2019.120357","10.1016/j.talanta.2019.120357")</f>
        <v>10.1016/j.talanta.2019.120357</v>
      </c>
      <c r="N439" s="40" t="s">
        <v>1177</v>
      </c>
      <c r="O439" s="40" t="s">
        <v>383</v>
      </c>
      <c r="P439" s="40" t="s">
        <v>1669</v>
      </c>
      <c r="Q439" t="s">
        <v>316</v>
      </c>
    </row>
    <row r="440" spans="1:17" x14ac:dyDescent="0.25">
      <c r="A440" s="2" t="str">
        <f>HYPERLINK("https://www.ncbi.nlm.nih.gov/pubmed/31853763","31853763")</f>
        <v>31853763</v>
      </c>
      <c r="B440">
        <f t="shared" si="28"/>
        <v>6</v>
      </c>
      <c r="C440">
        <f t="shared" si="28"/>
        <v>0</v>
      </c>
      <c r="D440">
        <f t="shared" si="28"/>
        <v>0</v>
      </c>
      <c r="E440">
        <f t="shared" si="26"/>
        <v>6</v>
      </c>
      <c r="F440">
        <v>2020</v>
      </c>
      <c r="G440" t="s">
        <v>1697</v>
      </c>
      <c r="H440">
        <v>0</v>
      </c>
      <c r="I440" s="65">
        <v>0</v>
      </c>
      <c r="J440" t="s">
        <v>1699</v>
      </c>
      <c r="K440" s="35" t="s">
        <v>1331</v>
      </c>
      <c r="L440" s="35" t="s">
        <v>1698</v>
      </c>
      <c r="M440" s="39" t="str">
        <f>HYPERLINK("http://dx.doi.org/10.1007/s10493-019-00452-7","10.1007/s10493-019-00452-7")</f>
        <v>10.1007/s10493-019-00452-7</v>
      </c>
      <c r="N440" s="40" t="s">
        <v>1586</v>
      </c>
      <c r="O440" s="40" t="s">
        <v>638</v>
      </c>
      <c r="P440" s="40" t="s">
        <v>1700</v>
      </c>
      <c r="Q440" t="s">
        <v>316</v>
      </c>
    </row>
    <row r="441" spans="1:17" x14ac:dyDescent="0.25">
      <c r="A441" s="2" t="str">
        <f>HYPERLINK("https://www.ncbi.nlm.nih.gov/pubmed/31825794","31825794")</f>
        <v>31825794</v>
      </c>
      <c r="B441">
        <f t="shared" si="28"/>
        <v>6</v>
      </c>
      <c r="C441">
        <f t="shared" si="28"/>
        <v>0</v>
      </c>
      <c r="D441">
        <f t="shared" si="28"/>
        <v>0</v>
      </c>
      <c r="E441">
        <f t="shared" si="26"/>
        <v>6</v>
      </c>
      <c r="F441">
        <v>2020</v>
      </c>
      <c r="G441" t="s">
        <v>1707</v>
      </c>
      <c r="H441">
        <v>0</v>
      </c>
      <c r="I441" s="65">
        <v>0</v>
      </c>
      <c r="J441" t="s">
        <v>1708</v>
      </c>
      <c r="K441" s="35" t="s">
        <v>714</v>
      </c>
      <c r="L441" s="35" t="s">
        <v>6647</v>
      </c>
      <c r="M441" s="39" t="str">
        <f>HYPERLINK("http://dx.doi.org/10.1016/j.ecoenv.2019.110002","10.1016/j.ecoenv.2019.110002")</f>
        <v>10.1016/j.ecoenv.2019.110002</v>
      </c>
      <c r="N441" s="40" t="s">
        <v>1709</v>
      </c>
      <c r="O441" s="40" t="s">
        <v>383</v>
      </c>
      <c r="P441" s="40" t="s">
        <v>1710</v>
      </c>
      <c r="Q441" t="s">
        <v>316</v>
      </c>
    </row>
    <row r="442" spans="1:17" x14ac:dyDescent="0.25">
      <c r="A442" s="2" t="str">
        <f>HYPERLINK("https://www.ncbi.nlm.nih.gov/pubmed/31453167","31453167")</f>
        <v>31453167</v>
      </c>
      <c r="B442">
        <f t="shared" si="28"/>
        <v>6</v>
      </c>
      <c r="C442">
        <f t="shared" si="28"/>
        <v>8</v>
      </c>
      <c r="D442">
        <f t="shared" si="28"/>
        <v>0</v>
      </c>
      <c r="E442">
        <f t="shared" si="26"/>
        <v>14</v>
      </c>
      <c r="F442">
        <v>2019</v>
      </c>
      <c r="G442" t="s">
        <v>1888</v>
      </c>
      <c r="H442">
        <v>0</v>
      </c>
      <c r="I442" s="64" t="str">
        <f>HYPERLINK("https://www.ncbi.nlm.nih.gov/research/pubtator/?view=docsum&amp;query=PMC6702932","1")</f>
        <v>1</v>
      </c>
      <c r="J442" t="s">
        <v>1890</v>
      </c>
      <c r="K442" s="35" t="s">
        <v>1891</v>
      </c>
      <c r="L442" s="35" t="s">
        <v>1889</v>
      </c>
      <c r="M442" s="39" t="str">
        <f>HYPERLINK("http://dx.doi.org/10.5455/javar.2019.f308","10.5455/javar.2019.f308")</f>
        <v>10.5455/javar.2019.f308</v>
      </c>
      <c r="N442" s="40" t="s">
        <v>741</v>
      </c>
      <c r="O442" s="40" t="s">
        <v>638</v>
      </c>
      <c r="P442" s="40" t="s">
        <v>1892</v>
      </c>
      <c r="Q442" t="s">
        <v>316</v>
      </c>
    </row>
    <row r="443" spans="1:17" x14ac:dyDescent="0.25">
      <c r="A443" s="2" t="str">
        <f>HYPERLINK("https://www.ncbi.nlm.nih.gov/pubmed/31175029","31175029")</f>
        <v>31175029</v>
      </c>
      <c r="B443">
        <f t="shared" si="28"/>
        <v>6</v>
      </c>
      <c r="C443">
        <f t="shared" si="28"/>
        <v>0</v>
      </c>
      <c r="D443">
        <f t="shared" si="28"/>
        <v>0</v>
      </c>
      <c r="E443">
        <f t="shared" si="26"/>
        <v>6</v>
      </c>
      <c r="F443">
        <v>2019</v>
      </c>
      <c r="G443" t="s">
        <v>1973</v>
      </c>
      <c r="H443">
        <v>0</v>
      </c>
      <c r="I443" s="65">
        <v>0</v>
      </c>
      <c r="J443" t="s">
        <v>1974</v>
      </c>
      <c r="K443" s="35" t="s">
        <v>914</v>
      </c>
      <c r="L443" s="35" t="s">
        <v>6675</v>
      </c>
      <c r="M443" s="39" t="str">
        <f>HYPERLINK("http://dx.doi.org/10.1016/j.ttbdis.2019.05.015","10.1016/j.ttbdis.2019.05.015")</f>
        <v>10.1016/j.ttbdis.2019.05.015</v>
      </c>
      <c r="N443" s="40" t="s">
        <v>802</v>
      </c>
      <c r="O443" s="40" t="s">
        <v>746</v>
      </c>
      <c r="P443" s="40" t="s">
        <v>1975</v>
      </c>
      <c r="Q443" t="s">
        <v>316</v>
      </c>
    </row>
    <row r="444" spans="1:17" x14ac:dyDescent="0.25">
      <c r="A444" s="2" t="str">
        <f>HYPERLINK("https://www.ncbi.nlm.nih.gov/pubmed/30649479","30649479")</f>
        <v>30649479</v>
      </c>
      <c r="B444">
        <f t="shared" ref="B444:D463" si="29">IF(ISBLANK(B$3),0,(LEN($L444) - LEN(SUBSTITUTE(LOWER($L444),LOWER(B$3),"")))/LEN(B$3))</f>
        <v>6</v>
      </c>
      <c r="C444">
        <f t="shared" si="29"/>
        <v>0</v>
      </c>
      <c r="D444">
        <f t="shared" si="29"/>
        <v>0</v>
      </c>
      <c r="E444">
        <f t="shared" si="26"/>
        <v>6</v>
      </c>
      <c r="F444">
        <v>2019</v>
      </c>
      <c r="G444" t="s">
        <v>2187</v>
      </c>
      <c r="H444">
        <v>0</v>
      </c>
      <c r="I444" s="65">
        <v>0</v>
      </c>
      <c r="J444" t="s">
        <v>2188</v>
      </c>
      <c r="K444" s="35" t="s">
        <v>1027</v>
      </c>
      <c r="L444" s="35" t="s">
        <v>6708</v>
      </c>
      <c r="M444" s="39" t="str">
        <f>HYPERLINK("http://dx.doi.org/10.1093/jme/tjy239","10.1093/jme/tjy239")</f>
        <v>10.1093/jme/tjy239</v>
      </c>
      <c r="N444" s="40" t="s">
        <v>751</v>
      </c>
      <c r="O444" s="40" t="s">
        <v>750</v>
      </c>
      <c r="P444" s="40" t="s">
        <v>2189</v>
      </c>
      <c r="Q444" t="s">
        <v>316</v>
      </c>
    </row>
    <row r="445" spans="1:17" x14ac:dyDescent="0.25">
      <c r="A445" s="2" t="str">
        <f>HYPERLINK("https://www.ncbi.nlm.nih.gov/pubmed/30343370","30343370")</f>
        <v>30343370</v>
      </c>
      <c r="B445">
        <f t="shared" si="29"/>
        <v>6</v>
      </c>
      <c r="C445">
        <f t="shared" si="29"/>
        <v>0</v>
      </c>
      <c r="D445">
        <f t="shared" si="29"/>
        <v>0</v>
      </c>
      <c r="E445">
        <f t="shared" si="26"/>
        <v>6</v>
      </c>
      <c r="F445">
        <v>2018</v>
      </c>
      <c r="G445" t="s">
        <v>2273</v>
      </c>
      <c r="H445">
        <v>0</v>
      </c>
      <c r="I445" s="64" t="str">
        <f>HYPERLINK("https://www.ncbi.nlm.nih.gov/research/pubtator/?view=docsum&amp;query=PMC6280840","1")</f>
        <v>1</v>
      </c>
      <c r="J445" t="s">
        <v>953</v>
      </c>
      <c r="K445" s="35" t="s">
        <v>810</v>
      </c>
      <c r="L445" s="35" t="s">
        <v>6722</v>
      </c>
      <c r="M445" s="39" t="str">
        <f>HYPERLINK("http://dx.doi.org/10.1007/s11356-018-3440-x","10.1007/s11356-018-3440-x")</f>
        <v>10.1007/s11356-018-3440-x</v>
      </c>
      <c r="N445" s="40" t="s">
        <v>1369</v>
      </c>
      <c r="O445" s="40" t="s">
        <v>2274</v>
      </c>
      <c r="P445" s="40" t="s">
        <v>2275</v>
      </c>
      <c r="Q445" t="s">
        <v>316</v>
      </c>
    </row>
    <row r="446" spans="1:17" x14ac:dyDescent="0.25">
      <c r="A446" s="2" t="str">
        <f>HYPERLINK("https://www.ncbi.nlm.nih.gov/pubmed/30242594","30242594")</f>
        <v>30242594</v>
      </c>
      <c r="B446">
        <f t="shared" si="29"/>
        <v>6</v>
      </c>
      <c r="C446">
        <f t="shared" si="29"/>
        <v>6</v>
      </c>
      <c r="D446">
        <f t="shared" si="29"/>
        <v>0</v>
      </c>
      <c r="E446">
        <f t="shared" si="26"/>
        <v>12</v>
      </c>
      <c r="F446">
        <v>2018</v>
      </c>
      <c r="G446" t="s">
        <v>2314</v>
      </c>
      <c r="H446">
        <v>0</v>
      </c>
      <c r="I446" s="65">
        <v>0</v>
      </c>
      <c r="J446" t="s">
        <v>2316</v>
      </c>
      <c r="K446" s="35" t="s">
        <v>730</v>
      </c>
      <c r="L446" s="35" t="s">
        <v>2315</v>
      </c>
      <c r="M446" s="39" t="str">
        <f>HYPERLINK("http://dx.doi.org/10.1007/s10646-018-1979-4","10.1007/s10646-018-1979-4")</f>
        <v>10.1007/s10646-018-1979-4</v>
      </c>
      <c r="N446" s="40" t="s">
        <v>1116</v>
      </c>
      <c r="O446" s="40" t="s">
        <v>660</v>
      </c>
      <c r="P446" s="40" t="s">
        <v>2317</v>
      </c>
      <c r="Q446" t="s">
        <v>316</v>
      </c>
    </row>
    <row r="447" spans="1:17" x14ac:dyDescent="0.25">
      <c r="A447" s="2" t="str">
        <f>HYPERLINK("https://www.ncbi.nlm.nih.gov/pubmed/30136476","30136476")</f>
        <v>30136476</v>
      </c>
      <c r="B447">
        <f t="shared" si="29"/>
        <v>6</v>
      </c>
      <c r="C447">
        <f t="shared" si="29"/>
        <v>3</v>
      </c>
      <c r="D447">
        <f t="shared" si="29"/>
        <v>0</v>
      </c>
      <c r="E447">
        <f t="shared" si="26"/>
        <v>9</v>
      </c>
      <c r="F447">
        <v>2018</v>
      </c>
      <c r="G447" t="s">
        <v>2345</v>
      </c>
      <c r="H447">
        <v>0</v>
      </c>
      <c r="I447" s="65">
        <v>0</v>
      </c>
      <c r="J447" t="s">
        <v>2347</v>
      </c>
      <c r="K447" s="35" t="s">
        <v>851</v>
      </c>
      <c r="L447" s="35" t="s">
        <v>2346</v>
      </c>
      <c r="M447" s="39" t="str">
        <f>HYPERLINK("http://dx.doi.org/10.3724/SP.J.1123.2017.09043","10.3724/SP.J.1123.2017.09043")</f>
        <v>10.3724/SP.J.1123.2017.09043</v>
      </c>
      <c r="N447" s="40" t="s">
        <v>639</v>
      </c>
      <c r="O447" s="40" t="s">
        <v>741</v>
      </c>
      <c r="P447" s="40" t="s">
        <v>2348</v>
      </c>
      <c r="Q447" t="s">
        <v>316</v>
      </c>
    </row>
    <row r="448" spans="1:17" x14ac:dyDescent="0.25">
      <c r="A448" s="2" t="str">
        <f>HYPERLINK("https://www.ncbi.nlm.nih.gov/pubmed/30018298","30018298")</f>
        <v>30018298</v>
      </c>
      <c r="B448">
        <f t="shared" si="29"/>
        <v>6</v>
      </c>
      <c r="C448">
        <f t="shared" si="29"/>
        <v>0</v>
      </c>
      <c r="D448">
        <f t="shared" si="29"/>
        <v>0</v>
      </c>
      <c r="E448">
        <f t="shared" si="26"/>
        <v>6</v>
      </c>
      <c r="F448">
        <v>2018</v>
      </c>
      <c r="G448" t="s">
        <v>2387</v>
      </c>
      <c r="H448">
        <v>0</v>
      </c>
      <c r="I448" s="64" t="str">
        <f>HYPERLINK("https://www.ncbi.nlm.nih.gov/research/pubtator/?view=docsum&amp;query=PMC6050305","1")</f>
        <v>1</v>
      </c>
      <c r="J448" t="s">
        <v>2389</v>
      </c>
      <c r="K448" s="35" t="s">
        <v>747</v>
      </c>
      <c r="L448" s="35" t="s">
        <v>2388</v>
      </c>
      <c r="M448" s="39" t="str">
        <f>HYPERLINK("http://dx.doi.org/10.1038/s41598-018-29104-3","10.1038/s41598-018-29104-3")</f>
        <v>10.1038/s41598-018-29104-3</v>
      </c>
      <c r="N448" s="40" t="s">
        <v>781</v>
      </c>
      <c r="O448" s="40" t="s">
        <v>638</v>
      </c>
      <c r="P448" s="40" t="s">
        <v>2390</v>
      </c>
      <c r="Q448" t="s">
        <v>316</v>
      </c>
    </row>
    <row r="449" spans="1:17" x14ac:dyDescent="0.25">
      <c r="A449" s="2" t="str">
        <f>HYPERLINK("https://www.ncbi.nlm.nih.gov/pubmed/29945796","29945796")</f>
        <v>29945796</v>
      </c>
      <c r="B449">
        <f t="shared" si="29"/>
        <v>6</v>
      </c>
      <c r="C449">
        <f t="shared" si="29"/>
        <v>0</v>
      </c>
      <c r="D449">
        <f t="shared" si="29"/>
        <v>0</v>
      </c>
      <c r="E449">
        <f t="shared" si="26"/>
        <v>6</v>
      </c>
      <c r="F449">
        <v>2018</v>
      </c>
      <c r="G449" t="s">
        <v>2417</v>
      </c>
      <c r="H449">
        <v>0</v>
      </c>
      <c r="I449" s="65">
        <v>0</v>
      </c>
      <c r="J449" t="s">
        <v>2419</v>
      </c>
      <c r="K449" s="35" t="s">
        <v>2420</v>
      </c>
      <c r="L449" s="35" t="s">
        <v>2418</v>
      </c>
      <c r="M449" s="39" t="str">
        <f>HYPERLINK("http://dx.doi.org/10.1016/j.bmcl.2018.06.036","10.1016/j.bmcl.2018.06.036")</f>
        <v>10.1016/j.bmcl.2018.06.036</v>
      </c>
      <c r="N449" s="40" t="s">
        <v>731</v>
      </c>
      <c r="O449" s="40" t="s">
        <v>929</v>
      </c>
      <c r="P449" s="40" t="s">
        <v>2421</v>
      </c>
      <c r="Q449" t="s">
        <v>316</v>
      </c>
    </row>
    <row r="450" spans="1:17" x14ac:dyDescent="0.25">
      <c r="A450" s="2" t="str">
        <f>HYPERLINK("https://www.ncbi.nlm.nih.gov/pubmed/29854583","29854583")</f>
        <v>29854583</v>
      </c>
      <c r="B450">
        <f t="shared" si="29"/>
        <v>6</v>
      </c>
      <c r="C450">
        <f t="shared" si="29"/>
        <v>1</v>
      </c>
      <c r="D450">
        <f t="shared" si="29"/>
        <v>0</v>
      </c>
      <c r="E450">
        <f t="shared" si="26"/>
        <v>7</v>
      </c>
      <c r="F450">
        <v>2018</v>
      </c>
      <c r="G450" t="s">
        <v>2450</v>
      </c>
      <c r="H450">
        <v>0</v>
      </c>
      <c r="I450" s="64" t="str">
        <f>HYPERLINK("https://www.ncbi.nlm.nih.gov/research/pubtator/?view=docsum&amp;query=PMC5978015","1")</f>
        <v>1</v>
      </c>
      <c r="J450" t="s">
        <v>2451</v>
      </c>
      <c r="K450" s="35" t="s">
        <v>2448</v>
      </c>
      <c r="L450" s="35" t="s">
        <v>6751</v>
      </c>
      <c r="M450" s="39" t="str">
        <f>HYPERLINK("http://dx.doi.org/10.1016/j.toxrep.2017.12.014","10.1016/j.toxrep.2017.12.014")</f>
        <v>10.1016/j.toxrep.2017.12.014</v>
      </c>
      <c r="N450" s="40" t="s">
        <v>746</v>
      </c>
      <c r="O450" s="40" t="s">
        <v>383</v>
      </c>
      <c r="P450" s="40" t="s">
        <v>2452</v>
      </c>
      <c r="Q450" t="s">
        <v>316</v>
      </c>
    </row>
    <row r="451" spans="1:17" x14ac:dyDescent="0.25">
      <c r="A451" s="2" t="str">
        <f>HYPERLINK("https://www.ncbi.nlm.nih.gov/pubmed/29661207","29661207")</f>
        <v>29661207</v>
      </c>
      <c r="B451">
        <f t="shared" si="29"/>
        <v>6</v>
      </c>
      <c r="C451">
        <f t="shared" si="29"/>
        <v>2</v>
      </c>
      <c r="D451">
        <f t="shared" si="29"/>
        <v>0</v>
      </c>
      <c r="E451">
        <f t="shared" si="26"/>
        <v>8</v>
      </c>
      <c r="F451">
        <v>2018</v>
      </c>
      <c r="G451" t="s">
        <v>2488</v>
      </c>
      <c r="H451">
        <v>0</v>
      </c>
      <c r="I451" s="64" t="str">
        <f>HYPERLINK("https://www.ncbi.nlm.nih.gov/research/pubtator/?view=docsum&amp;query=PMC5902978","1")</f>
        <v>1</v>
      </c>
      <c r="J451" t="s">
        <v>2489</v>
      </c>
      <c r="K451" s="35" t="s">
        <v>870</v>
      </c>
      <c r="L451" s="35" t="s">
        <v>6757</v>
      </c>
      <c r="M451" s="39" t="str">
        <f>HYPERLINK("http://dx.doi.org/10.1186/s13071-018-2831-7","10.1186/s13071-018-2831-7")</f>
        <v>10.1186/s13071-018-2831-7</v>
      </c>
      <c r="N451" s="40" t="s">
        <v>678</v>
      </c>
      <c r="O451" s="40" t="s">
        <v>638</v>
      </c>
      <c r="P451" s="40" t="s">
        <v>2490</v>
      </c>
      <c r="Q451" t="s">
        <v>316</v>
      </c>
    </row>
    <row r="452" spans="1:17" x14ac:dyDescent="0.25">
      <c r="A452" s="2" t="str">
        <f>HYPERLINK("https://www.ncbi.nlm.nih.gov/pubmed/29641761","29641761")</f>
        <v>29641761</v>
      </c>
      <c r="B452">
        <f t="shared" si="29"/>
        <v>6</v>
      </c>
      <c r="C452">
        <f t="shared" si="29"/>
        <v>0</v>
      </c>
      <c r="D452">
        <f t="shared" si="29"/>
        <v>0</v>
      </c>
      <c r="E452">
        <f t="shared" ref="E452:E515" si="30">SUM(B452:D452)</f>
        <v>6</v>
      </c>
      <c r="F452">
        <v>2018</v>
      </c>
      <c r="G452" t="s">
        <v>2501</v>
      </c>
      <c r="H452">
        <v>0</v>
      </c>
      <c r="I452" s="65">
        <v>0</v>
      </c>
      <c r="J452" t="s">
        <v>2503</v>
      </c>
      <c r="K452" s="35" t="s">
        <v>2504</v>
      </c>
      <c r="L452" s="35" t="s">
        <v>2502</v>
      </c>
      <c r="M452" s="39" t="str">
        <f>HYPERLINK("http://dx.doi.org/10.1590/0001-3765201820150191","10.1590/0001-3765201820150191")</f>
        <v>10.1590/0001-3765201820150191</v>
      </c>
      <c r="N452" s="40" t="s">
        <v>2505</v>
      </c>
      <c r="O452" s="40" t="s">
        <v>638</v>
      </c>
      <c r="P452" s="40" t="s">
        <v>2506</v>
      </c>
      <c r="Q452" t="s">
        <v>316</v>
      </c>
    </row>
    <row r="453" spans="1:17" x14ac:dyDescent="0.25">
      <c r="A453" s="2" t="str">
        <f>HYPERLINK("https://www.ncbi.nlm.nih.gov/pubmed/29504531","29504531")</f>
        <v>29504531</v>
      </c>
      <c r="B453">
        <f t="shared" si="29"/>
        <v>6</v>
      </c>
      <c r="C453">
        <f t="shared" si="29"/>
        <v>0</v>
      </c>
      <c r="D453">
        <f t="shared" si="29"/>
        <v>0</v>
      </c>
      <c r="E453">
        <f t="shared" si="30"/>
        <v>6</v>
      </c>
      <c r="F453">
        <v>2018</v>
      </c>
      <c r="G453" t="s">
        <v>2527</v>
      </c>
      <c r="H453">
        <v>0</v>
      </c>
      <c r="I453" s="64" t="str">
        <f>HYPERLINK("https://www.ncbi.nlm.nih.gov/research/pubtator/?view=docsum&amp;query=PMC7065497","1")</f>
        <v>1</v>
      </c>
      <c r="J453" t="s">
        <v>2528</v>
      </c>
      <c r="K453" s="35" t="s">
        <v>2529</v>
      </c>
      <c r="L453" s="35" t="s">
        <v>6762</v>
      </c>
      <c r="M453" s="39" t="str">
        <f>HYPERLINK("http://dx.doi.org/10.3233/JAD-170875","10.3233/JAD-170875")</f>
        <v>10.3233/JAD-170875</v>
      </c>
      <c r="N453" s="40" t="s">
        <v>2372</v>
      </c>
      <c r="O453" s="40" t="s">
        <v>690</v>
      </c>
      <c r="P453" s="40" t="s">
        <v>2530</v>
      </c>
      <c r="Q453" t="s">
        <v>316</v>
      </c>
    </row>
    <row r="454" spans="1:17" x14ac:dyDescent="0.25">
      <c r="A454" s="2" t="str">
        <f>HYPERLINK("https://www.ncbi.nlm.nih.gov/pubmed/29407826","29407826")</f>
        <v>29407826</v>
      </c>
      <c r="B454">
        <f t="shared" si="29"/>
        <v>6</v>
      </c>
      <c r="C454">
        <f t="shared" si="29"/>
        <v>0</v>
      </c>
      <c r="D454">
        <f t="shared" si="29"/>
        <v>0</v>
      </c>
      <c r="E454">
        <f t="shared" si="30"/>
        <v>6</v>
      </c>
      <c r="F454">
        <v>2018</v>
      </c>
      <c r="G454" t="s">
        <v>2549</v>
      </c>
      <c r="H454">
        <v>0</v>
      </c>
      <c r="I454" s="64" t="str">
        <f>HYPERLINK("https://www.ncbi.nlm.nih.gov/research/pubtator/?view=docsum&amp;query=PMC5811353","1")</f>
        <v>1</v>
      </c>
      <c r="J454" t="s">
        <v>2550</v>
      </c>
      <c r="K454" s="35" t="s">
        <v>822</v>
      </c>
      <c r="L454" s="35" t="s">
        <v>6767</v>
      </c>
      <c r="M454" s="39" t="str">
        <f>HYPERLINK("http://dx.doi.org/10.1016/j.chemosphere.2018.01.062","10.1016/j.chemosphere.2018.01.062")</f>
        <v>10.1016/j.chemosphere.2018.01.062</v>
      </c>
      <c r="N454" s="40" t="s">
        <v>665</v>
      </c>
      <c r="O454" s="40" t="s">
        <v>383</v>
      </c>
      <c r="P454" s="40" t="s">
        <v>2551</v>
      </c>
      <c r="Q454" t="s">
        <v>316</v>
      </c>
    </row>
    <row r="455" spans="1:17" x14ac:dyDescent="0.25">
      <c r="A455" s="2" t="str">
        <f>HYPERLINK("https://www.ncbi.nlm.nih.gov/pubmed/29173127","29173127")</f>
        <v>29173127</v>
      </c>
      <c r="B455">
        <f t="shared" si="29"/>
        <v>6</v>
      </c>
      <c r="C455">
        <f t="shared" si="29"/>
        <v>0</v>
      </c>
      <c r="D455">
        <f t="shared" si="29"/>
        <v>0</v>
      </c>
      <c r="E455">
        <f t="shared" si="30"/>
        <v>6</v>
      </c>
      <c r="F455">
        <v>2018</v>
      </c>
      <c r="G455" t="s">
        <v>2618</v>
      </c>
      <c r="H455">
        <v>0</v>
      </c>
      <c r="I455" s="65">
        <v>0</v>
      </c>
      <c r="J455" t="s">
        <v>2619</v>
      </c>
      <c r="K455" s="35" t="s">
        <v>2192</v>
      </c>
      <c r="L455" s="35" t="s">
        <v>6776</v>
      </c>
      <c r="M455" s="39" t="str">
        <f>HYPERLINK("http://dx.doi.org/10.1089/vbz.2017.2146","10.1089/vbz.2017.2146")</f>
        <v>10.1089/vbz.2017.2146</v>
      </c>
      <c r="N455" s="40" t="s">
        <v>659</v>
      </c>
      <c r="O455" s="40" t="s">
        <v>638</v>
      </c>
      <c r="P455" s="40" t="s">
        <v>2620</v>
      </c>
      <c r="Q455" t="s">
        <v>316</v>
      </c>
    </row>
    <row r="456" spans="1:17" x14ac:dyDescent="0.25">
      <c r="A456" s="2" t="str">
        <f>HYPERLINK("https://www.ncbi.nlm.nih.gov/pubmed/29107231","29107231")</f>
        <v>29107231</v>
      </c>
      <c r="B456">
        <f t="shared" si="29"/>
        <v>6</v>
      </c>
      <c r="C456">
        <f t="shared" si="29"/>
        <v>0</v>
      </c>
      <c r="D456">
        <f t="shared" si="29"/>
        <v>0</v>
      </c>
      <c r="E456">
        <f t="shared" si="30"/>
        <v>6</v>
      </c>
      <c r="F456">
        <v>2017</v>
      </c>
      <c r="G456" t="s">
        <v>2631</v>
      </c>
      <c r="H456">
        <v>0</v>
      </c>
      <c r="I456" s="64" t="str">
        <f>HYPERLINK("https://www.ncbi.nlm.nih.gov/research/pubtator/?view=docsum&amp;query=PMC5672059","1")</f>
        <v>1</v>
      </c>
      <c r="J456" t="s">
        <v>2632</v>
      </c>
      <c r="K456" s="35" t="s">
        <v>831</v>
      </c>
      <c r="L456" s="35" t="s">
        <v>6780</v>
      </c>
      <c r="M456" s="39" t="str">
        <f>HYPERLINK("http://dx.doi.org/10.1016/j.pestbp.2017.01.007","10.1016/j.pestbp.2017.01.007")</f>
        <v>10.1016/j.pestbp.2017.01.007</v>
      </c>
      <c r="N456" s="40" t="s">
        <v>2633</v>
      </c>
      <c r="O456" s="40" t="s">
        <v>383</v>
      </c>
      <c r="P456" s="40" t="s">
        <v>797</v>
      </c>
      <c r="Q456" t="s">
        <v>316</v>
      </c>
    </row>
    <row r="457" spans="1:17" x14ac:dyDescent="0.25">
      <c r="A457" s="2" t="str">
        <f>HYPERLINK("https://www.ncbi.nlm.nih.gov/pubmed/28991164","28991164")</f>
        <v>28991164</v>
      </c>
      <c r="B457">
        <f t="shared" si="29"/>
        <v>6</v>
      </c>
      <c r="C457">
        <f t="shared" si="29"/>
        <v>0</v>
      </c>
      <c r="D457">
        <f t="shared" si="29"/>
        <v>0</v>
      </c>
      <c r="E457">
        <f t="shared" si="30"/>
        <v>6</v>
      </c>
      <c r="F457">
        <v>2017</v>
      </c>
      <c r="G457" t="s">
        <v>2665</v>
      </c>
      <c r="H457">
        <v>0</v>
      </c>
      <c r="I457" s="64" t="str">
        <f>HYPERLINK("https://www.ncbi.nlm.nih.gov/research/pubtator/?view=docsum&amp;query=PMC5666786","1")</f>
        <v>1</v>
      </c>
      <c r="J457" t="s">
        <v>2666</v>
      </c>
      <c r="K457" s="35" t="s">
        <v>1423</v>
      </c>
      <c r="L457" s="35" t="s">
        <v>6788</v>
      </c>
      <c r="M457" s="39" t="str">
        <f>HYPERLINK("http://dx.doi.org/10.3390/ijms18102104","10.3390/ijms18102104")</f>
        <v>10.3390/ijms18102104</v>
      </c>
      <c r="N457" s="40" t="s">
        <v>659</v>
      </c>
      <c r="O457" s="40" t="s">
        <v>802</v>
      </c>
      <c r="P457" s="40" t="s">
        <v>383</v>
      </c>
      <c r="Q457" t="s">
        <v>316</v>
      </c>
    </row>
    <row r="458" spans="1:17" x14ac:dyDescent="0.25">
      <c r="A458" s="2" t="str">
        <f>HYPERLINK("https://www.ncbi.nlm.nih.gov/pubmed/28902461","28902461")</f>
        <v>28902461</v>
      </c>
      <c r="B458">
        <f t="shared" si="29"/>
        <v>6</v>
      </c>
      <c r="C458">
        <f t="shared" si="29"/>
        <v>0</v>
      </c>
      <c r="D458">
        <f t="shared" si="29"/>
        <v>0</v>
      </c>
      <c r="E458">
        <f t="shared" si="30"/>
        <v>6</v>
      </c>
      <c r="F458">
        <v>2018</v>
      </c>
      <c r="G458" t="s">
        <v>2682</v>
      </c>
      <c r="H458">
        <v>0</v>
      </c>
      <c r="I458" s="65">
        <v>0</v>
      </c>
      <c r="J458" t="s">
        <v>2684</v>
      </c>
      <c r="K458" s="35" t="s">
        <v>968</v>
      </c>
      <c r="L458" s="35" t="s">
        <v>2683</v>
      </c>
      <c r="M458" s="39" t="str">
        <f>HYPERLINK("http://dx.doi.org/10.1002/ps.4732","10.1002/ps.4732")</f>
        <v>10.1002/ps.4732</v>
      </c>
      <c r="N458" s="40" t="s">
        <v>2474</v>
      </c>
      <c r="O458" s="40" t="s">
        <v>750</v>
      </c>
      <c r="P458" s="40" t="s">
        <v>2685</v>
      </c>
      <c r="Q458" t="s">
        <v>316</v>
      </c>
    </row>
    <row r="459" spans="1:17" x14ac:dyDescent="0.25">
      <c r="A459" s="2" t="str">
        <f>HYPERLINK("https://www.ncbi.nlm.nih.gov/pubmed/28736933","28736933")</f>
        <v>28736933</v>
      </c>
      <c r="B459">
        <f t="shared" si="29"/>
        <v>6</v>
      </c>
      <c r="C459">
        <f t="shared" si="29"/>
        <v>0</v>
      </c>
      <c r="D459">
        <f t="shared" si="29"/>
        <v>0</v>
      </c>
      <c r="E459">
        <f t="shared" si="30"/>
        <v>6</v>
      </c>
      <c r="F459">
        <v>2017</v>
      </c>
      <c r="G459" t="s">
        <v>2722</v>
      </c>
      <c r="H459">
        <v>0</v>
      </c>
      <c r="I459" s="64" t="str">
        <f>HYPERLINK("https://www.ncbi.nlm.nih.gov/research/pubtator/?view=docsum&amp;query=PMC5658624","1")</f>
        <v>1</v>
      </c>
      <c r="J459" t="s">
        <v>2724</v>
      </c>
      <c r="K459" s="35" t="s">
        <v>2725</v>
      </c>
      <c r="L459" s="35" t="s">
        <v>2723</v>
      </c>
      <c r="M459" s="39" t="str">
        <f>HYPERLINK("http://dx.doi.org/10.1111/1751-7915.12772","10.1111/1751-7915.12772")</f>
        <v>10.1111/1751-7915.12772</v>
      </c>
      <c r="N459" s="40" t="s">
        <v>802</v>
      </c>
      <c r="O459" s="40" t="s">
        <v>741</v>
      </c>
      <c r="P459" s="40" t="s">
        <v>2726</v>
      </c>
      <c r="Q459" t="s">
        <v>316</v>
      </c>
    </row>
    <row r="460" spans="1:17" x14ac:dyDescent="0.25">
      <c r="A460" s="2" t="str">
        <f>HYPERLINK("https://www.ncbi.nlm.nih.gov/pubmed/28454576","28454576")</f>
        <v>28454576</v>
      </c>
      <c r="B460">
        <f t="shared" si="29"/>
        <v>6</v>
      </c>
      <c r="C460">
        <f t="shared" si="29"/>
        <v>0</v>
      </c>
      <c r="D460">
        <f t="shared" si="29"/>
        <v>0</v>
      </c>
      <c r="E460">
        <f t="shared" si="30"/>
        <v>6</v>
      </c>
      <c r="F460">
        <v>2017</v>
      </c>
      <c r="G460" t="s">
        <v>2816</v>
      </c>
      <c r="H460">
        <v>0</v>
      </c>
      <c r="I460" s="64" t="str">
        <f>HYPERLINK("https://www.ncbi.nlm.nih.gov/research/pubtator/?view=docsum&amp;query=PMC5410079","1")</f>
        <v>1</v>
      </c>
      <c r="J460" t="s">
        <v>2817</v>
      </c>
      <c r="K460" s="35" t="s">
        <v>870</v>
      </c>
      <c r="L460" s="35" t="s">
        <v>6815</v>
      </c>
      <c r="M460" s="39" t="str">
        <f>HYPERLINK("http://dx.doi.org/10.1186/s13071-017-2145-1","10.1186/s13071-017-2145-1")</f>
        <v>10.1186/s13071-017-2145-1</v>
      </c>
      <c r="N460" s="40" t="s">
        <v>802</v>
      </c>
      <c r="O460" s="40" t="s">
        <v>638</v>
      </c>
      <c r="P460" s="40" t="s">
        <v>2749</v>
      </c>
      <c r="Q460" t="s">
        <v>316</v>
      </c>
    </row>
    <row r="461" spans="1:17" x14ac:dyDescent="0.25">
      <c r="A461" s="2" t="str">
        <f>HYPERLINK("https://www.ncbi.nlm.nih.gov/pubmed/28158628","28158628")</f>
        <v>28158628</v>
      </c>
      <c r="B461">
        <f t="shared" si="29"/>
        <v>6</v>
      </c>
      <c r="C461">
        <f t="shared" si="29"/>
        <v>0</v>
      </c>
      <c r="D461">
        <f t="shared" si="29"/>
        <v>0</v>
      </c>
      <c r="E461">
        <f t="shared" si="30"/>
        <v>6</v>
      </c>
      <c r="F461">
        <v>2017</v>
      </c>
      <c r="G461" t="s">
        <v>2880</v>
      </c>
      <c r="H461">
        <v>0</v>
      </c>
      <c r="I461" s="65">
        <v>0</v>
      </c>
      <c r="J461" t="s">
        <v>2881</v>
      </c>
      <c r="K461" s="35" t="s">
        <v>909</v>
      </c>
      <c r="L461" s="35" t="s">
        <v>6825</v>
      </c>
      <c r="M461" s="39" t="str">
        <f>HYPERLINK("http://dx.doi.org/10.1093/jee/tow302","10.1093/jee/tow302")</f>
        <v>10.1093/jee/tow302</v>
      </c>
      <c r="N461" s="40" t="s">
        <v>766</v>
      </c>
      <c r="O461" s="40" t="s">
        <v>744</v>
      </c>
      <c r="P461" s="40" t="s">
        <v>2882</v>
      </c>
      <c r="Q461" t="s">
        <v>316</v>
      </c>
    </row>
    <row r="462" spans="1:17" x14ac:dyDescent="0.25">
      <c r="A462" s="2" t="str">
        <f>HYPERLINK("https://www.ncbi.nlm.nih.gov/pubmed/27464884","27464884")</f>
        <v>27464884</v>
      </c>
      <c r="B462">
        <f t="shared" si="29"/>
        <v>6</v>
      </c>
      <c r="C462">
        <f t="shared" si="29"/>
        <v>0</v>
      </c>
      <c r="D462">
        <f t="shared" si="29"/>
        <v>0</v>
      </c>
      <c r="E462">
        <f t="shared" si="30"/>
        <v>6</v>
      </c>
      <c r="F462">
        <v>2016</v>
      </c>
      <c r="G462" t="s">
        <v>3051</v>
      </c>
      <c r="H462">
        <v>0</v>
      </c>
      <c r="I462" s="65">
        <v>0</v>
      </c>
      <c r="J462" t="s">
        <v>3053</v>
      </c>
      <c r="K462" s="35" t="s">
        <v>3054</v>
      </c>
      <c r="L462" s="35" t="s">
        <v>3052</v>
      </c>
      <c r="M462" s="39" t="str">
        <f>HYPERLINK("http://dx.doi.org/10.5740/jaoacint.16-0108","10.5740/jaoacint.16-0108")</f>
        <v>10.5740/jaoacint.16-0108</v>
      </c>
      <c r="N462" s="40" t="s">
        <v>3055</v>
      </c>
      <c r="O462" s="40" t="s">
        <v>746</v>
      </c>
      <c r="P462" s="40" t="s">
        <v>3056</v>
      </c>
      <c r="Q462" t="s">
        <v>316</v>
      </c>
    </row>
    <row r="463" spans="1:17" x14ac:dyDescent="0.25">
      <c r="A463" s="2" t="str">
        <f>HYPERLINK("https://www.ncbi.nlm.nih.gov/pubmed/29368479","29368479")</f>
        <v>29368479</v>
      </c>
      <c r="B463">
        <f t="shared" si="29"/>
        <v>6</v>
      </c>
      <c r="C463">
        <f t="shared" si="29"/>
        <v>2</v>
      </c>
      <c r="D463">
        <f t="shared" si="29"/>
        <v>0</v>
      </c>
      <c r="E463">
        <f t="shared" si="30"/>
        <v>8</v>
      </c>
      <c r="F463">
        <v>2016</v>
      </c>
      <c r="G463" t="s">
        <v>3132</v>
      </c>
      <c r="H463">
        <v>0</v>
      </c>
      <c r="I463" s="65">
        <v>0</v>
      </c>
      <c r="J463" t="s">
        <v>3134</v>
      </c>
      <c r="K463" s="35" t="s">
        <v>3135</v>
      </c>
      <c r="L463" s="35" t="s">
        <v>3133</v>
      </c>
      <c r="M463" s="39" t="str">
        <f>HYPERLINK("http://dx.doi.org/","")</f>
        <v/>
      </c>
      <c r="N463" s="40" t="s">
        <v>756</v>
      </c>
      <c r="O463" s="40" t="s">
        <v>746</v>
      </c>
      <c r="P463" s="40" t="s">
        <v>3136</v>
      </c>
      <c r="Q463" t="s">
        <v>316</v>
      </c>
    </row>
    <row r="464" spans="1:17" x14ac:dyDescent="0.25">
      <c r="A464" s="2" t="str">
        <f>HYPERLINK("https://www.ncbi.nlm.nih.gov/pubmed/26979488","26979488")</f>
        <v>26979488</v>
      </c>
      <c r="B464">
        <f t="shared" ref="B464:D483" si="31">IF(ISBLANK(B$3),0,(LEN($L464) - LEN(SUBSTITUTE(LOWER($L464),LOWER(B$3),"")))/LEN(B$3))</f>
        <v>6</v>
      </c>
      <c r="C464">
        <f t="shared" si="31"/>
        <v>0</v>
      </c>
      <c r="D464">
        <f t="shared" si="31"/>
        <v>0</v>
      </c>
      <c r="E464">
        <f t="shared" si="30"/>
        <v>6</v>
      </c>
      <c r="F464">
        <v>2016</v>
      </c>
      <c r="G464" t="s">
        <v>3211</v>
      </c>
      <c r="H464">
        <v>0</v>
      </c>
      <c r="I464" s="64" t="str">
        <f>HYPERLINK("https://www.ncbi.nlm.nih.gov/research/pubtator/?view=docsum&amp;query=PMC4793285","1")</f>
        <v>1</v>
      </c>
      <c r="J464" t="s">
        <v>3212</v>
      </c>
      <c r="K464" s="35" t="s">
        <v>747</v>
      </c>
      <c r="L464" s="35" t="s">
        <v>6885</v>
      </c>
      <c r="M464" s="39" t="str">
        <f>HYPERLINK("http://dx.doi.org/10.1038/srep23055","10.1038/srep23055")</f>
        <v>10.1038/srep23055</v>
      </c>
      <c r="N464" s="40" t="s">
        <v>741</v>
      </c>
      <c r="O464" s="40" t="s">
        <v>383</v>
      </c>
      <c r="P464" s="40" t="s">
        <v>3213</v>
      </c>
      <c r="Q464" t="s">
        <v>316</v>
      </c>
    </row>
    <row r="465" spans="1:17" x14ac:dyDescent="0.25">
      <c r="A465" s="2" t="str">
        <f>HYPERLINK("https://www.ncbi.nlm.nih.gov/pubmed/26960908","26960908")</f>
        <v>26960908</v>
      </c>
      <c r="B465">
        <f t="shared" si="31"/>
        <v>6</v>
      </c>
      <c r="C465">
        <f t="shared" si="31"/>
        <v>1</v>
      </c>
      <c r="D465">
        <f t="shared" si="31"/>
        <v>0</v>
      </c>
      <c r="E465">
        <f t="shared" si="30"/>
        <v>7</v>
      </c>
      <c r="F465">
        <v>2016</v>
      </c>
      <c r="G465" t="s">
        <v>3219</v>
      </c>
      <c r="H465">
        <v>0</v>
      </c>
      <c r="I465" s="64" t="str">
        <f>HYPERLINK("https://www.ncbi.nlm.nih.gov/research/pubtator/?view=docsum&amp;query=PMC4785372","1")</f>
        <v>1</v>
      </c>
      <c r="J465" t="s">
        <v>3221</v>
      </c>
      <c r="K465" s="35" t="s">
        <v>747</v>
      </c>
      <c r="L465" s="35" t="s">
        <v>3220</v>
      </c>
      <c r="M465" s="39" t="str">
        <f>HYPERLINK("http://dx.doi.org/10.1038/srep22447","10.1038/srep22447")</f>
        <v>10.1038/srep22447</v>
      </c>
      <c r="N465" s="40" t="s">
        <v>741</v>
      </c>
      <c r="O465" s="40" t="s">
        <v>383</v>
      </c>
      <c r="P465" s="40" t="s">
        <v>3222</v>
      </c>
      <c r="Q465" t="s">
        <v>316</v>
      </c>
    </row>
    <row r="466" spans="1:17" x14ac:dyDescent="0.25">
      <c r="A466" s="2" t="str">
        <f>HYPERLINK("https://www.ncbi.nlm.nih.gov/pubmed/26866756","26866756")</f>
        <v>26866756</v>
      </c>
      <c r="B466">
        <f t="shared" si="31"/>
        <v>6</v>
      </c>
      <c r="C466">
        <f t="shared" si="31"/>
        <v>0</v>
      </c>
      <c r="D466">
        <f t="shared" si="31"/>
        <v>0</v>
      </c>
      <c r="E466">
        <f t="shared" si="30"/>
        <v>6</v>
      </c>
      <c r="F466">
        <v>2016</v>
      </c>
      <c r="G466" t="s">
        <v>3242</v>
      </c>
      <c r="H466">
        <v>0</v>
      </c>
      <c r="I466" s="65">
        <v>0</v>
      </c>
      <c r="J466" t="s">
        <v>3243</v>
      </c>
      <c r="K466" s="35" t="s">
        <v>714</v>
      </c>
      <c r="L466" s="35" t="s">
        <v>6888</v>
      </c>
      <c r="M466" s="39" t="str">
        <f>HYPERLINK("http://dx.doi.org/10.1016/j.ecoenv.2016.01.028","10.1016/j.ecoenv.2016.01.028")</f>
        <v>10.1016/j.ecoenv.2016.01.028</v>
      </c>
      <c r="N466" s="40" t="s">
        <v>1063</v>
      </c>
      <c r="O466" s="40" t="s">
        <v>383</v>
      </c>
      <c r="P466" s="40" t="s">
        <v>3244</v>
      </c>
      <c r="Q466" t="s">
        <v>316</v>
      </c>
    </row>
    <row r="467" spans="1:17" x14ac:dyDescent="0.25">
      <c r="A467" s="2" t="str">
        <f>HYPERLINK("https://www.ncbi.nlm.nih.gov/pubmed/26463998","26463998")</f>
        <v>26463998</v>
      </c>
      <c r="B467">
        <f t="shared" si="31"/>
        <v>6</v>
      </c>
      <c r="C467">
        <f t="shared" si="31"/>
        <v>2</v>
      </c>
      <c r="D467">
        <f t="shared" si="31"/>
        <v>0</v>
      </c>
      <c r="E467">
        <f t="shared" si="30"/>
        <v>8</v>
      </c>
      <c r="F467">
        <v>2015</v>
      </c>
      <c r="G467" t="s">
        <v>3355</v>
      </c>
      <c r="H467">
        <v>0</v>
      </c>
      <c r="I467" s="64" t="str">
        <f>HYPERLINK("https://www.ncbi.nlm.nih.gov/research/pubtator/?view=docsum&amp;query=PMC4605137","1")</f>
        <v>1</v>
      </c>
      <c r="J467" t="s">
        <v>3356</v>
      </c>
      <c r="K467" s="35" t="s">
        <v>870</v>
      </c>
      <c r="L467" s="35" t="s">
        <v>6903</v>
      </c>
      <c r="M467" s="39" t="str">
        <f>HYPERLINK("http://dx.doi.org/10.1186/s13071-015-1150-5","10.1186/s13071-015-1150-5")</f>
        <v>10.1186/s13071-015-1150-5</v>
      </c>
      <c r="N467" s="40" t="s">
        <v>781</v>
      </c>
      <c r="O467" s="40" t="s">
        <v>383</v>
      </c>
      <c r="P467" s="40" t="s">
        <v>2646</v>
      </c>
      <c r="Q467" t="s">
        <v>316</v>
      </c>
    </row>
    <row r="468" spans="1:17" x14ac:dyDescent="0.25">
      <c r="A468" s="2" t="str">
        <f>HYPERLINK("https://www.ncbi.nlm.nih.gov/pubmed/26448319","26448319")</f>
        <v>26448319</v>
      </c>
      <c r="B468">
        <f t="shared" si="31"/>
        <v>6</v>
      </c>
      <c r="C468">
        <f t="shared" si="31"/>
        <v>0</v>
      </c>
      <c r="D468">
        <f t="shared" si="31"/>
        <v>0</v>
      </c>
      <c r="E468">
        <f t="shared" si="30"/>
        <v>6</v>
      </c>
      <c r="F468">
        <v>2015</v>
      </c>
      <c r="G468" t="s">
        <v>3368</v>
      </c>
      <c r="H468">
        <v>0</v>
      </c>
      <c r="I468" s="65">
        <v>0</v>
      </c>
      <c r="J468" t="s">
        <v>3370</v>
      </c>
      <c r="K468" s="35" t="s">
        <v>1058</v>
      </c>
      <c r="L468" s="35" t="s">
        <v>3369</v>
      </c>
      <c r="M468" s="39" t="str">
        <f>HYPERLINK("http://dx.doi.org/10.1021/acs.est.5b03822","10.1021/acs.est.5b03822")</f>
        <v>10.1021/acs.est.5b03822</v>
      </c>
      <c r="N468" s="40" t="s">
        <v>2085</v>
      </c>
      <c r="O468" s="40" t="s">
        <v>1092</v>
      </c>
      <c r="P468" s="40" t="s">
        <v>3371</v>
      </c>
      <c r="Q468" t="s">
        <v>316</v>
      </c>
    </row>
    <row r="469" spans="1:17" x14ac:dyDescent="0.25">
      <c r="A469" s="2" t="str">
        <f>HYPERLINK("https://www.ncbi.nlm.nih.gov/pubmed/25840925","25840925")</f>
        <v>25840925</v>
      </c>
      <c r="B469">
        <f t="shared" si="31"/>
        <v>6</v>
      </c>
      <c r="C469">
        <f t="shared" si="31"/>
        <v>0</v>
      </c>
      <c r="D469">
        <f t="shared" si="31"/>
        <v>0</v>
      </c>
      <c r="E469">
        <f t="shared" si="30"/>
        <v>6</v>
      </c>
      <c r="F469">
        <v>2015</v>
      </c>
      <c r="G469" t="s">
        <v>3540</v>
      </c>
      <c r="H469">
        <v>0</v>
      </c>
      <c r="I469" s="65">
        <v>0</v>
      </c>
      <c r="J469" t="s">
        <v>3542</v>
      </c>
      <c r="K469" s="35" t="s">
        <v>914</v>
      </c>
      <c r="L469" s="35" t="s">
        <v>3541</v>
      </c>
      <c r="M469" s="39" t="str">
        <f>HYPERLINK("http://dx.doi.org/10.1016/j.ttbdis.2015.03.003","10.1016/j.ttbdis.2015.03.003")</f>
        <v>10.1016/j.ttbdis.2015.03.003</v>
      </c>
      <c r="N469" s="40" t="s">
        <v>741</v>
      </c>
      <c r="O469" s="40" t="s">
        <v>750</v>
      </c>
      <c r="P469" s="40" t="s">
        <v>3543</v>
      </c>
      <c r="Q469" t="s">
        <v>316</v>
      </c>
    </row>
    <row r="470" spans="1:17" x14ac:dyDescent="0.25">
      <c r="A470" s="2" t="str">
        <f>HYPERLINK("https://www.ncbi.nlm.nih.gov/pubmed/25716006","25716006")</f>
        <v>25716006</v>
      </c>
      <c r="B470">
        <f t="shared" si="31"/>
        <v>6</v>
      </c>
      <c r="C470">
        <f t="shared" si="31"/>
        <v>0</v>
      </c>
      <c r="D470">
        <f t="shared" si="31"/>
        <v>0</v>
      </c>
      <c r="E470">
        <f t="shared" si="30"/>
        <v>6</v>
      </c>
      <c r="F470">
        <v>2015</v>
      </c>
      <c r="G470" t="s">
        <v>3587</v>
      </c>
      <c r="H470">
        <v>0</v>
      </c>
      <c r="I470" s="65">
        <v>0</v>
      </c>
      <c r="J470" t="s">
        <v>3588</v>
      </c>
      <c r="K470" s="35" t="s">
        <v>1859</v>
      </c>
      <c r="L470" s="35" t="s">
        <v>6938</v>
      </c>
      <c r="M470" s="39" t="str">
        <f>HYPERLINK("http://dx.doi.org/10.1016/j.bmc.2015.02.006","10.1016/j.bmc.2015.02.006")</f>
        <v>10.1016/j.bmc.2015.02.006</v>
      </c>
      <c r="N470" s="40" t="s">
        <v>737</v>
      </c>
      <c r="O470" s="40" t="s">
        <v>748</v>
      </c>
      <c r="P470" s="40" t="s">
        <v>3589</v>
      </c>
      <c r="Q470" t="s">
        <v>316</v>
      </c>
    </row>
    <row r="471" spans="1:17" x14ac:dyDescent="0.25">
      <c r="A471" s="2" t="str">
        <f>HYPERLINK("https://www.ncbi.nlm.nih.gov/pubmed/25630582","25630582")</f>
        <v>25630582</v>
      </c>
      <c r="B471">
        <f t="shared" si="31"/>
        <v>6</v>
      </c>
      <c r="C471">
        <f t="shared" si="31"/>
        <v>0</v>
      </c>
      <c r="D471">
        <f t="shared" si="31"/>
        <v>0</v>
      </c>
      <c r="E471">
        <f t="shared" si="30"/>
        <v>6</v>
      </c>
      <c r="F471">
        <v>2015</v>
      </c>
      <c r="G471" t="s">
        <v>3620</v>
      </c>
      <c r="H471">
        <v>0</v>
      </c>
      <c r="I471" s="64" t="str">
        <f>HYPERLINK("https://www.ncbi.nlm.nih.gov/research/pubtator/?view=docsum&amp;query=PMC4322555","1")</f>
        <v>1</v>
      </c>
      <c r="J471" t="s">
        <v>3621</v>
      </c>
      <c r="K471" s="35" t="s">
        <v>870</v>
      </c>
      <c r="L471" s="35" t="s">
        <v>6942</v>
      </c>
      <c r="M471" s="39" t="str">
        <f>HYPERLINK("http://dx.doi.org/10.1186/s13071-015-0687-7","10.1186/s13071-015-0687-7")</f>
        <v>10.1186/s13071-015-0687-7</v>
      </c>
      <c r="N471" s="40" t="s">
        <v>781</v>
      </c>
      <c r="O471" s="40" t="s">
        <v>383</v>
      </c>
      <c r="P471" s="40" t="s">
        <v>2372</v>
      </c>
      <c r="Q471" t="s">
        <v>316</v>
      </c>
    </row>
    <row r="472" spans="1:17" x14ac:dyDescent="0.25">
      <c r="A472" s="2" t="str">
        <f>HYPERLINK("https://www.ncbi.nlm.nih.gov/pubmed/25624217","25624217")</f>
        <v>25624217</v>
      </c>
      <c r="B472">
        <f t="shared" si="31"/>
        <v>6</v>
      </c>
      <c r="C472">
        <f t="shared" si="31"/>
        <v>0</v>
      </c>
      <c r="D472">
        <f t="shared" si="31"/>
        <v>0</v>
      </c>
      <c r="E472">
        <f t="shared" si="30"/>
        <v>6</v>
      </c>
      <c r="F472">
        <v>2015</v>
      </c>
      <c r="G472" t="s">
        <v>3630</v>
      </c>
      <c r="H472">
        <v>0</v>
      </c>
      <c r="I472" s="65">
        <v>0</v>
      </c>
      <c r="J472" t="s">
        <v>3632</v>
      </c>
      <c r="K472" s="35" t="s">
        <v>786</v>
      </c>
      <c r="L472" s="35" t="s">
        <v>3631</v>
      </c>
      <c r="M472" s="39" t="str">
        <f>HYPERLINK("http://dx.doi.org/10.1016/j.foodchem.2014.12.049","10.1016/j.foodchem.2014.12.049")</f>
        <v>10.1016/j.foodchem.2014.12.049</v>
      </c>
      <c r="N472" s="40" t="s">
        <v>904</v>
      </c>
      <c r="O472" s="40" t="s">
        <v>383</v>
      </c>
      <c r="P472" s="40" t="s">
        <v>3633</v>
      </c>
      <c r="Q472" t="s">
        <v>316</v>
      </c>
    </row>
    <row r="473" spans="1:17" x14ac:dyDescent="0.25">
      <c r="A473" s="2" t="str">
        <f>HYPERLINK("https://www.ncbi.nlm.nih.gov/pubmed/25622922","25622922")</f>
        <v>25622922</v>
      </c>
      <c r="B473">
        <f t="shared" si="31"/>
        <v>6</v>
      </c>
      <c r="C473">
        <f t="shared" si="31"/>
        <v>2</v>
      </c>
      <c r="D473">
        <f t="shared" si="31"/>
        <v>0</v>
      </c>
      <c r="E473">
        <f t="shared" si="30"/>
        <v>8</v>
      </c>
      <c r="F473">
        <v>2015</v>
      </c>
      <c r="G473" t="s">
        <v>3634</v>
      </c>
      <c r="H473">
        <v>0</v>
      </c>
      <c r="I473" s="64" t="str">
        <f>HYPERLINK("https://www.ncbi.nlm.nih.gov/research/pubtator/?view=docsum&amp;query=PMC4316642","1")</f>
        <v>1</v>
      </c>
      <c r="J473" t="s">
        <v>3635</v>
      </c>
      <c r="K473" s="35" t="s">
        <v>870</v>
      </c>
      <c r="L473" s="35" t="s">
        <v>6943</v>
      </c>
      <c r="M473" s="39" t="str">
        <f>HYPERLINK("http://dx.doi.org/10.1186/s13071-015-0683-y","10.1186/s13071-015-0683-y")</f>
        <v>10.1186/s13071-015-0683-y</v>
      </c>
      <c r="N473" s="40" t="s">
        <v>781</v>
      </c>
      <c r="O473" s="40" t="s">
        <v>383</v>
      </c>
      <c r="P473" s="40" t="s">
        <v>2085</v>
      </c>
      <c r="Q473" t="s">
        <v>316</v>
      </c>
    </row>
    <row r="474" spans="1:17" x14ac:dyDescent="0.25">
      <c r="A474" s="2" t="str">
        <f>HYPERLINK("https://www.ncbi.nlm.nih.gov/pubmed/25622656","25622656")</f>
        <v>25622656</v>
      </c>
      <c r="B474">
        <f t="shared" si="31"/>
        <v>6</v>
      </c>
      <c r="C474">
        <f t="shared" si="31"/>
        <v>0</v>
      </c>
      <c r="D474">
        <f t="shared" si="31"/>
        <v>0</v>
      </c>
      <c r="E474">
        <f t="shared" si="30"/>
        <v>6</v>
      </c>
      <c r="F474">
        <v>2015</v>
      </c>
      <c r="G474" t="s">
        <v>3640</v>
      </c>
      <c r="H474">
        <v>0</v>
      </c>
      <c r="I474" s="64" t="str">
        <f>HYPERLINK("https://www.ncbi.nlm.nih.gov/research/pubtator/?view=docsum&amp;query=PMC4316392","1")</f>
        <v>1</v>
      </c>
      <c r="J474" t="s">
        <v>3641</v>
      </c>
      <c r="K474" s="35" t="s">
        <v>870</v>
      </c>
      <c r="L474" s="35" t="s">
        <v>6946</v>
      </c>
      <c r="M474" s="39" t="str">
        <f>HYPERLINK("http://dx.doi.org/10.1186/s13071-015-0680-1","10.1186/s13071-015-0680-1")</f>
        <v>10.1186/s13071-015-0680-1</v>
      </c>
      <c r="N474" s="40" t="s">
        <v>781</v>
      </c>
      <c r="O474" s="40" t="s">
        <v>383</v>
      </c>
      <c r="P474" s="40" t="s">
        <v>756</v>
      </c>
      <c r="Q474" t="s">
        <v>316</v>
      </c>
    </row>
    <row r="475" spans="1:17" x14ac:dyDescent="0.25">
      <c r="A475" s="2" t="str">
        <f>HYPERLINK("https://www.ncbi.nlm.nih.gov/pubmed/25223353","25223353")</f>
        <v>25223353</v>
      </c>
      <c r="B475">
        <f t="shared" si="31"/>
        <v>6</v>
      </c>
      <c r="C475">
        <f t="shared" si="31"/>
        <v>0</v>
      </c>
      <c r="D475">
        <f t="shared" si="31"/>
        <v>0</v>
      </c>
      <c r="E475">
        <f t="shared" si="30"/>
        <v>6</v>
      </c>
      <c r="F475">
        <v>2015</v>
      </c>
      <c r="G475" t="s">
        <v>3743</v>
      </c>
      <c r="H475">
        <v>1</v>
      </c>
      <c r="I475" s="64" t="str">
        <f>HYPERLINK("https://www.ncbi.nlm.nih.gov/research/pubtator/?view=docsum&amp;query=PMC4284392","1")</f>
        <v>1</v>
      </c>
      <c r="J475" t="s">
        <v>3744</v>
      </c>
      <c r="K475" s="35" t="s">
        <v>810</v>
      </c>
      <c r="L475" s="35" t="s">
        <v>6961</v>
      </c>
      <c r="M475" s="39" t="str">
        <f>HYPERLINK("http://dx.doi.org/10.1007/s11356-014-3471-x","10.1007/s11356-014-3471-x")</f>
        <v>10.1007/s11356-014-3471-x</v>
      </c>
      <c r="N475" s="40" t="s">
        <v>1092</v>
      </c>
      <c r="O475" s="40" t="s">
        <v>638</v>
      </c>
      <c r="P475" s="40" t="s">
        <v>3745</v>
      </c>
      <c r="Q475" t="s">
        <v>316</v>
      </c>
    </row>
    <row r="476" spans="1:17" x14ac:dyDescent="0.25">
      <c r="A476" s="2" t="str">
        <f>HYPERLINK("https://www.ncbi.nlm.nih.gov/pubmed/25132224","25132224")</f>
        <v>25132224</v>
      </c>
      <c r="B476">
        <f t="shared" si="31"/>
        <v>6</v>
      </c>
      <c r="C476">
        <f t="shared" si="31"/>
        <v>0</v>
      </c>
      <c r="D476">
        <f t="shared" si="31"/>
        <v>0</v>
      </c>
      <c r="E476">
        <f t="shared" si="30"/>
        <v>6</v>
      </c>
      <c r="F476">
        <v>2015</v>
      </c>
      <c r="G476" t="s">
        <v>3780</v>
      </c>
      <c r="H476">
        <v>0</v>
      </c>
      <c r="I476" s="65">
        <v>0</v>
      </c>
      <c r="J476" t="s">
        <v>3781</v>
      </c>
      <c r="K476" s="35" t="s">
        <v>968</v>
      </c>
      <c r="L476" s="35" t="s">
        <v>6966</v>
      </c>
      <c r="M476" s="39" t="str">
        <f>HYPERLINK("http://dx.doi.org/10.1002/ps.3877","10.1002/ps.3877")</f>
        <v>10.1002/ps.3877</v>
      </c>
      <c r="N476" s="40" t="s">
        <v>3255</v>
      </c>
      <c r="O476" s="40" t="s">
        <v>690</v>
      </c>
      <c r="P476" s="40" t="s">
        <v>3782</v>
      </c>
      <c r="Q476" t="s">
        <v>316</v>
      </c>
    </row>
    <row r="477" spans="1:17" x14ac:dyDescent="0.25">
      <c r="A477" s="2" t="str">
        <f>HYPERLINK("https://www.ncbi.nlm.nih.gov/pubmed/24703080","24703080")</f>
        <v>24703080</v>
      </c>
      <c r="B477">
        <f t="shared" si="31"/>
        <v>6</v>
      </c>
      <c r="C477">
        <f t="shared" si="31"/>
        <v>0</v>
      </c>
      <c r="D477">
        <f t="shared" si="31"/>
        <v>0</v>
      </c>
      <c r="E477">
        <f t="shared" si="30"/>
        <v>6</v>
      </c>
      <c r="F477">
        <v>2014</v>
      </c>
      <c r="G477" t="s">
        <v>3877</v>
      </c>
      <c r="H477">
        <v>0</v>
      </c>
      <c r="I477" s="65">
        <v>0</v>
      </c>
      <c r="J477" t="s">
        <v>3878</v>
      </c>
      <c r="K477" s="35" t="s">
        <v>1052</v>
      </c>
      <c r="L477" s="35" t="s">
        <v>6978</v>
      </c>
      <c r="M477" s="39" t="str">
        <f>HYPERLINK("http://dx.doi.org/10.1016/j.vetpar.2014.02.042","10.1016/j.vetpar.2014.02.042")</f>
        <v>10.1016/j.vetpar.2014.02.042</v>
      </c>
      <c r="N477" s="40" t="s">
        <v>2382</v>
      </c>
      <c r="O477" s="40" t="s">
        <v>3531</v>
      </c>
      <c r="P477" s="40" t="s">
        <v>3879</v>
      </c>
      <c r="Q477" t="s">
        <v>316</v>
      </c>
    </row>
    <row r="478" spans="1:17" x14ac:dyDescent="0.25">
      <c r="A478" s="2" t="str">
        <f>HYPERLINK("https://www.ncbi.nlm.nih.gov/pubmed/24703071","24703071")</f>
        <v>24703071</v>
      </c>
      <c r="B478">
        <f t="shared" si="31"/>
        <v>6</v>
      </c>
      <c r="C478">
        <f t="shared" si="31"/>
        <v>4</v>
      </c>
      <c r="D478">
        <f t="shared" si="31"/>
        <v>0</v>
      </c>
      <c r="E478">
        <f t="shared" si="30"/>
        <v>10</v>
      </c>
      <c r="F478">
        <v>2014</v>
      </c>
      <c r="G478" t="s">
        <v>3905</v>
      </c>
      <c r="H478">
        <v>0</v>
      </c>
      <c r="I478" s="65">
        <v>0</v>
      </c>
      <c r="J478" t="s">
        <v>3906</v>
      </c>
      <c r="K478" s="35" t="s">
        <v>1052</v>
      </c>
      <c r="L478" s="35" t="s">
        <v>6986</v>
      </c>
      <c r="M478" s="39" t="str">
        <f>HYPERLINK("http://dx.doi.org/10.1016/j.vetpar.2014.02.033","10.1016/j.vetpar.2014.02.033")</f>
        <v>10.1016/j.vetpar.2014.02.033</v>
      </c>
      <c r="N478" s="40" t="s">
        <v>2382</v>
      </c>
      <c r="O478" s="40" t="s">
        <v>3531</v>
      </c>
      <c r="P478" s="40" t="s">
        <v>3500</v>
      </c>
      <c r="Q478" t="s">
        <v>316</v>
      </c>
    </row>
    <row r="479" spans="1:17" x14ac:dyDescent="0.25">
      <c r="A479" s="2" t="str">
        <f>HYPERLINK("https://www.ncbi.nlm.nih.gov/pubmed/24703070","24703070")</f>
        <v>24703070</v>
      </c>
      <c r="B479">
        <f t="shared" si="31"/>
        <v>6</v>
      </c>
      <c r="C479">
        <f t="shared" si="31"/>
        <v>0</v>
      </c>
      <c r="D479">
        <f t="shared" si="31"/>
        <v>0</v>
      </c>
      <c r="E479">
        <f t="shared" si="30"/>
        <v>6</v>
      </c>
      <c r="F479">
        <v>2014</v>
      </c>
      <c r="G479" t="s">
        <v>3907</v>
      </c>
      <c r="H479">
        <v>0</v>
      </c>
      <c r="I479" s="65">
        <v>0</v>
      </c>
      <c r="J479" t="s">
        <v>3908</v>
      </c>
      <c r="K479" s="35" t="s">
        <v>1052</v>
      </c>
      <c r="L479" s="35" t="s">
        <v>6987</v>
      </c>
      <c r="M479" s="39" t="str">
        <f>HYPERLINK("http://dx.doi.org/10.1016/j.vetpar.2014.02.032","10.1016/j.vetpar.2014.02.032")</f>
        <v>10.1016/j.vetpar.2014.02.032</v>
      </c>
      <c r="N479" s="40" t="s">
        <v>2382</v>
      </c>
      <c r="O479" s="40" t="s">
        <v>3531</v>
      </c>
      <c r="P479" s="40" t="s">
        <v>3909</v>
      </c>
      <c r="Q479" t="s">
        <v>316</v>
      </c>
    </row>
    <row r="480" spans="1:17" x14ac:dyDescent="0.25">
      <c r="A480" s="2" t="str">
        <f>HYPERLINK("https://www.ncbi.nlm.nih.gov/pubmed/24665717","24665717")</f>
        <v>24665717</v>
      </c>
      <c r="B480">
        <f t="shared" si="31"/>
        <v>6</v>
      </c>
      <c r="C480">
        <f t="shared" si="31"/>
        <v>0</v>
      </c>
      <c r="D480">
        <f t="shared" si="31"/>
        <v>0</v>
      </c>
      <c r="E480">
        <f t="shared" si="30"/>
        <v>6</v>
      </c>
      <c r="F480">
        <v>2014</v>
      </c>
      <c r="G480" t="s">
        <v>3923</v>
      </c>
      <c r="H480">
        <v>0</v>
      </c>
      <c r="I480" s="65">
        <v>0</v>
      </c>
      <c r="J480" t="s">
        <v>3925</v>
      </c>
      <c r="K480" s="35" t="s">
        <v>909</v>
      </c>
      <c r="L480" s="35" t="s">
        <v>3924</v>
      </c>
      <c r="M480" s="39" t="str">
        <f>HYPERLINK("http://dx.doi.org/10.1603/ec13342","10.1603/ec13342")</f>
        <v>10.1603/ec13342</v>
      </c>
      <c r="N480" s="40" t="s">
        <v>1990</v>
      </c>
      <c r="O480" s="40" t="s">
        <v>638</v>
      </c>
      <c r="P480" s="40" t="s">
        <v>3926</v>
      </c>
      <c r="Q480" t="s">
        <v>316</v>
      </c>
    </row>
    <row r="481" spans="1:17" x14ac:dyDescent="0.25">
      <c r="A481" s="2" t="str">
        <f>HYPERLINK("https://www.ncbi.nlm.nih.gov/pubmed/24498766","24498766")</f>
        <v>24498766</v>
      </c>
      <c r="B481">
        <f t="shared" si="31"/>
        <v>6</v>
      </c>
      <c r="C481">
        <f t="shared" si="31"/>
        <v>0</v>
      </c>
      <c r="D481">
        <f t="shared" si="31"/>
        <v>0</v>
      </c>
      <c r="E481">
        <f t="shared" si="30"/>
        <v>6</v>
      </c>
      <c r="F481">
        <v>2013</v>
      </c>
      <c r="G481" t="s">
        <v>3975</v>
      </c>
      <c r="H481">
        <v>0</v>
      </c>
      <c r="I481" s="65">
        <v>0</v>
      </c>
      <c r="J481" t="s">
        <v>3977</v>
      </c>
      <c r="K481" s="35" t="s">
        <v>909</v>
      </c>
      <c r="L481" s="35" t="s">
        <v>3976</v>
      </c>
      <c r="M481" s="39" t="str">
        <f>HYPERLINK("http://dx.doi.org/10.1603/ec13293","10.1603/ec13293")</f>
        <v>10.1603/ec13293</v>
      </c>
      <c r="N481" s="40" t="s">
        <v>3978</v>
      </c>
      <c r="O481" s="40" t="s">
        <v>741</v>
      </c>
      <c r="P481" s="40" t="s">
        <v>3979</v>
      </c>
      <c r="Q481" t="s">
        <v>316</v>
      </c>
    </row>
    <row r="482" spans="1:17" x14ac:dyDescent="0.25">
      <c r="A482" s="2" t="str">
        <f>HYPERLINK("https://www.ncbi.nlm.nih.gov/pubmed/24387593","24387593")</f>
        <v>24387593</v>
      </c>
      <c r="B482">
        <f t="shared" si="31"/>
        <v>6</v>
      </c>
      <c r="C482">
        <f t="shared" si="31"/>
        <v>0</v>
      </c>
      <c r="D482">
        <f t="shared" si="31"/>
        <v>0</v>
      </c>
      <c r="E482">
        <f t="shared" si="30"/>
        <v>6</v>
      </c>
      <c r="F482">
        <v>2014</v>
      </c>
      <c r="G482" t="s">
        <v>3999</v>
      </c>
      <c r="H482">
        <v>0</v>
      </c>
      <c r="I482" s="65">
        <v>0</v>
      </c>
      <c r="J482" t="s">
        <v>4000</v>
      </c>
      <c r="K482" s="35" t="s">
        <v>4001</v>
      </c>
      <c r="L482" s="35" t="s">
        <v>6996</v>
      </c>
      <c r="M482" s="39" t="str">
        <f>HYPERLINK("http://dx.doi.org/10.1111/ina.12093","10.1111/ina.12093")</f>
        <v>10.1111/ina.12093</v>
      </c>
      <c r="N482" s="40" t="s">
        <v>1188</v>
      </c>
      <c r="O482" s="40" t="s">
        <v>690</v>
      </c>
      <c r="P482" s="40" t="s">
        <v>4002</v>
      </c>
      <c r="Q482" t="s">
        <v>316</v>
      </c>
    </row>
    <row r="483" spans="1:17" x14ac:dyDescent="0.25">
      <c r="A483" s="2" t="str">
        <f>HYPERLINK("https://www.ncbi.nlm.nih.gov/pubmed/24369607","24369607")</f>
        <v>24369607</v>
      </c>
      <c r="B483">
        <f t="shared" si="31"/>
        <v>6</v>
      </c>
      <c r="C483">
        <f t="shared" si="31"/>
        <v>0</v>
      </c>
      <c r="D483">
        <f t="shared" si="31"/>
        <v>0</v>
      </c>
      <c r="E483">
        <f t="shared" si="30"/>
        <v>6</v>
      </c>
      <c r="F483">
        <v>2013</v>
      </c>
      <c r="G483" t="s">
        <v>4009</v>
      </c>
      <c r="H483">
        <v>0</v>
      </c>
      <c r="I483" s="65">
        <v>0</v>
      </c>
      <c r="J483" t="s">
        <v>4011</v>
      </c>
      <c r="K483" s="35" t="s">
        <v>851</v>
      </c>
      <c r="L483" s="35" t="s">
        <v>4010</v>
      </c>
      <c r="M483" s="39" t="str">
        <f>HYPERLINK("http://dx.doi.org/10.3724/sp.j.1123.2013.01033","10.3724/sp.j.1123.2013.01033")</f>
        <v>10.3724/sp.j.1123.2013.01033</v>
      </c>
      <c r="N483" s="40" t="s">
        <v>753</v>
      </c>
      <c r="O483" s="40" t="s">
        <v>781</v>
      </c>
      <c r="P483" s="40" t="s">
        <v>4012</v>
      </c>
      <c r="Q483" t="s">
        <v>316</v>
      </c>
    </row>
    <row r="484" spans="1:17" x14ac:dyDescent="0.25">
      <c r="A484" s="2" t="str">
        <f>HYPERLINK("https://www.ncbi.nlm.nih.gov/pubmed/24338055","24338055")</f>
        <v>24338055</v>
      </c>
      <c r="B484">
        <f t="shared" ref="B484:D503" si="32">IF(ISBLANK(B$3),0,(LEN($L484) - LEN(SUBSTITUTE(LOWER($L484),LOWER(B$3),"")))/LEN(B$3))</f>
        <v>6</v>
      </c>
      <c r="C484">
        <f t="shared" si="32"/>
        <v>2</v>
      </c>
      <c r="D484">
        <f t="shared" si="32"/>
        <v>0</v>
      </c>
      <c r="E484">
        <f t="shared" si="30"/>
        <v>8</v>
      </c>
      <c r="F484">
        <v>2014</v>
      </c>
      <c r="G484" t="s">
        <v>4037</v>
      </c>
      <c r="H484">
        <v>0</v>
      </c>
      <c r="I484" s="65">
        <v>0</v>
      </c>
      <c r="J484" t="s">
        <v>4039</v>
      </c>
      <c r="K484" s="35" t="s">
        <v>1013</v>
      </c>
      <c r="L484" s="35" t="s">
        <v>4038</v>
      </c>
      <c r="M484" s="39" t="str">
        <f>HYPERLINK("http://dx.doi.org/10.1007/s10661-013-3577-5","10.1007/s10661-013-3577-5")</f>
        <v>10.1007/s10661-013-3577-5</v>
      </c>
      <c r="N484" s="40" t="s">
        <v>2863</v>
      </c>
      <c r="O484" s="40" t="s">
        <v>746</v>
      </c>
      <c r="P484" s="40" t="s">
        <v>4040</v>
      </c>
      <c r="Q484" t="s">
        <v>316</v>
      </c>
    </row>
    <row r="485" spans="1:17" x14ac:dyDescent="0.25">
      <c r="A485" s="2" t="str">
        <f>HYPERLINK("https://www.ncbi.nlm.nih.gov/pubmed/23712883","23712883")</f>
        <v>23712883</v>
      </c>
      <c r="B485">
        <f t="shared" si="32"/>
        <v>6</v>
      </c>
      <c r="C485">
        <f t="shared" si="32"/>
        <v>0</v>
      </c>
      <c r="D485">
        <f t="shared" si="32"/>
        <v>0</v>
      </c>
      <c r="E485">
        <f t="shared" si="30"/>
        <v>6</v>
      </c>
      <c r="F485">
        <v>2013</v>
      </c>
      <c r="G485" t="s">
        <v>4164</v>
      </c>
      <c r="H485">
        <v>0</v>
      </c>
      <c r="I485" s="65">
        <v>0</v>
      </c>
      <c r="J485" t="s">
        <v>4165</v>
      </c>
      <c r="K485" s="35" t="s">
        <v>755</v>
      </c>
      <c r="L485" s="35" t="s">
        <v>7017</v>
      </c>
      <c r="M485" s="39" t="str">
        <f>HYPERLINK("http://dx.doi.org/10.1002/etc.2288","10.1002/etc.2288")</f>
        <v>10.1002/etc.2288</v>
      </c>
      <c r="N485" s="40" t="s">
        <v>1018</v>
      </c>
      <c r="O485" s="40" t="s">
        <v>660</v>
      </c>
      <c r="P485" s="40" t="s">
        <v>4166</v>
      </c>
      <c r="Q485" t="s">
        <v>316</v>
      </c>
    </row>
    <row r="486" spans="1:17" x14ac:dyDescent="0.25">
      <c r="A486" s="2" t="str">
        <f>HYPERLINK("https://www.ncbi.nlm.nih.gov/pubmed/22899460","22899460")</f>
        <v>22899460</v>
      </c>
      <c r="B486">
        <f t="shared" si="32"/>
        <v>6</v>
      </c>
      <c r="C486">
        <f t="shared" si="32"/>
        <v>0</v>
      </c>
      <c r="D486">
        <f t="shared" si="32"/>
        <v>0</v>
      </c>
      <c r="E486">
        <f t="shared" si="30"/>
        <v>6</v>
      </c>
      <c r="F486">
        <v>2013</v>
      </c>
      <c r="G486" t="s">
        <v>4353</v>
      </c>
      <c r="H486">
        <v>0</v>
      </c>
      <c r="I486" s="65">
        <v>0</v>
      </c>
      <c r="J486" t="s">
        <v>4354</v>
      </c>
      <c r="K486" s="35" t="s">
        <v>1013</v>
      </c>
      <c r="L486" s="35" t="s">
        <v>7038</v>
      </c>
      <c r="M486" s="39" t="str">
        <f>HYPERLINK("http://dx.doi.org/10.1007/s10661-012-2821-8","10.1007/s10661-012-2821-8")</f>
        <v>10.1007/s10661-012-2821-8</v>
      </c>
      <c r="N486" s="40" t="s">
        <v>4129</v>
      </c>
      <c r="O486" s="40" t="s">
        <v>746</v>
      </c>
      <c r="P486" s="40" t="s">
        <v>4355</v>
      </c>
      <c r="Q486" t="s">
        <v>316</v>
      </c>
    </row>
    <row r="487" spans="1:17" x14ac:dyDescent="0.25">
      <c r="A487" s="2" t="str">
        <f>HYPERLINK("https://www.ncbi.nlm.nih.gov/pubmed/22669692","22669692")</f>
        <v>22669692</v>
      </c>
      <c r="B487">
        <f t="shared" si="32"/>
        <v>6</v>
      </c>
      <c r="C487">
        <f t="shared" si="32"/>
        <v>2</v>
      </c>
      <c r="D487">
        <f t="shared" si="32"/>
        <v>0</v>
      </c>
      <c r="E487">
        <f t="shared" si="30"/>
        <v>8</v>
      </c>
      <c r="F487">
        <v>2012</v>
      </c>
      <c r="G487" t="s">
        <v>4384</v>
      </c>
      <c r="H487">
        <v>0</v>
      </c>
      <c r="I487" s="65">
        <v>0</v>
      </c>
      <c r="J487" t="s">
        <v>4385</v>
      </c>
      <c r="K487" s="35" t="s">
        <v>1210</v>
      </c>
      <c r="L487" s="35" t="s">
        <v>7041</v>
      </c>
      <c r="M487" s="39" t="str">
        <f>HYPERLINK("http://dx.doi.org/10.1007/s00436-012-2979-6","10.1007/s00436-012-2979-6")</f>
        <v>10.1007/s00436-012-2979-6</v>
      </c>
      <c r="N487" s="40" t="s">
        <v>2301</v>
      </c>
      <c r="O487" s="40" t="s">
        <v>690</v>
      </c>
      <c r="P487" s="40" t="s">
        <v>4386</v>
      </c>
      <c r="Q487" t="s">
        <v>316</v>
      </c>
    </row>
    <row r="488" spans="1:17" x14ac:dyDescent="0.25">
      <c r="A488" s="2" t="str">
        <f>HYPERLINK("https://www.ncbi.nlm.nih.gov/pubmed/22542256","22542256")</f>
        <v>22542256</v>
      </c>
      <c r="B488">
        <f t="shared" si="32"/>
        <v>6</v>
      </c>
      <c r="C488">
        <f t="shared" si="32"/>
        <v>0</v>
      </c>
      <c r="D488">
        <f t="shared" si="32"/>
        <v>0</v>
      </c>
      <c r="E488">
        <f t="shared" si="30"/>
        <v>6</v>
      </c>
      <c r="F488">
        <v>2012</v>
      </c>
      <c r="G488" t="s">
        <v>4416</v>
      </c>
      <c r="H488">
        <v>0</v>
      </c>
      <c r="I488" s="65">
        <v>0</v>
      </c>
      <c r="J488" t="s">
        <v>4417</v>
      </c>
      <c r="K488" s="35" t="s">
        <v>670</v>
      </c>
      <c r="L488" s="35" t="s">
        <v>7045</v>
      </c>
      <c r="M488" s="39" t="str">
        <f>HYPERLINK("http://dx.doi.org/10.1016/j.scitotenv.2012.04.005","10.1016/j.scitotenv.2012.04.005")</f>
        <v>10.1016/j.scitotenv.2012.04.005</v>
      </c>
      <c r="N488" s="40" t="s">
        <v>4418</v>
      </c>
      <c r="O488" s="40" t="s">
        <v>383</v>
      </c>
      <c r="P488" s="40" t="s">
        <v>4419</v>
      </c>
      <c r="Q488" t="s">
        <v>316</v>
      </c>
    </row>
    <row r="489" spans="1:17" x14ac:dyDescent="0.25">
      <c r="A489" s="2" t="str">
        <f>HYPERLINK("https://www.ncbi.nlm.nih.gov/pubmed/22230087","22230087")</f>
        <v>22230087</v>
      </c>
      <c r="B489">
        <f t="shared" si="32"/>
        <v>6</v>
      </c>
      <c r="C489">
        <f t="shared" si="32"/>
        <v>0</v>
      </c>
      <c r="D489">
        <f t="shared" si="32"/>
        <v>0</v>
      </c>
      <c r="E489">
        <f t="shared" si="30"/>
        <v>6</v>
      </c>
      <c r="F489">
        <v>2012</v>
      </c>
      <c r="G489" t="s">
        <v>4489</v>
      </c>
      <c r="H489">
        <v>0</v>
      </c>
      <c r="I489" s="65">
        <v>0</v>
      </c>
      <c r="J489" t="s">
        <v>4491</v>
      </c>
      <c r="K489" s="35" t="s">
        <v>707</v>
      </c>
      <c r="L489" s="35" t="s">
        <v>4490</v>
      </c>
      <c r="M489" s="39" t="str">
        <f>HYPERLINK("http://dx.doi.org/10.1016/j.envpol.2011.10.029","10.1016/j.envpol.2011.10.029")</f>
        <v>10.1016/j.envpol.2011.10.029</v>
      </c>
      <c r="N489" s="40" t="s">
        <v>1801</v>
      </c>
      <c r="O489" s="40" t="s">
        <v>383</v>
      </c>
      <c r="P489" s="40" t="s">
        <v>3450</v>
      </c>
      <c r="Q489" t="s">
        <v>316</v>
      </c>
    </row>
    <row r="490" spans="1:17" x14ac:dyDescent="0.25">
      <c r="A490" s="2" t="str">
        <f>HYPERLINK("https://www.ncbi.nlm.nih.gov/pubmed/22091463","22091463")</f>
        <v>22091463</v>
      </c>
      <c r="B490">
        <f t="shared" si="32"/>
        <v>6</v>
      </c>
      <c r="C490">
        <f t="shared" si="32"/>
        <v>0</v>
      </c>
      <c r="D490">
        <f t="shared" si="32"/>
        <v>0</v>
      </c>
      <c r="E490">
        <f t="shared" si="30"/>
        <v>6</v>
      </c>
      <c r="F490">
        <v>2011</v>
      </c>
      <c r="G490" t="s">
        <v>4508</v>
      </c>
      <c r="H490">
        <v>0</v>
      </c>
      <c r="I490" s="64" t="str">
        <f>HYPERLINK("https://www.ncbi.nlm.nih.gov/research/pubtator/?view=docsum&amp;query=PMC3677592","1")</f>
        <v>1</v>
      </c>
      <c r="J490" t="s">
        <v>4509</v>
      </c>
      <c r="K490" s="35" t="s">
        <v>2925</v>
      </c>
      <c r="L490" s="35" t="s">
        <v>7057</v>
      </c>
      <c r="M490" s="39" t="str">
        <f>HYPERLINK("http://dx.doi.org/10.1051/parasite/2011184325","10.1051/parasite/2011184325")</f>
        <v>10.1051/parasite/2011184325</v>
      </c>
      <c r="N490" s="40" t="s">
        <v>659</v>
      </c>
      <c r="O490" s="40" t="s">
        <v>690</v>
      </c>
      <c r="P490" s="40" t="s">
        <v>4510</v>
      </c>
      <c r="Q490" t="s">
        <v>316</v>
      </c>
    </row>
    <row r="491" spans="1:17" x14ac:dyDescent="0.25">
      <c r="A491" s="2" t="str">
        <f>HYPERLINK("https://www.ncbi.nlm.nih.gov/pubmed/21971973","21971973")</f>
        <v>21971973</v>
      </c>
      <c r="B491">
        <f t="shared" si="32"/>
        <v>6</v>
      </c>
      <c r="C491">
        <f t="shared" si="32"/>
        <v>0</v>
      </c>
      <c r="D491">
        <f t="shared" si="32"/>
        <v>0</v>
      </c>
      <c r="E491">
        <f t="shared" si="30"/>
        <v>6</v>
      </c>
      <c r="F491">
        <v>2012</v>
      </c>
      <c r="G491" t="s">
        <v>4554</v>
      </c>
      <c r="H491">
        <v>0</v>
      </c>
      <c r="I491" s="65">
        <v>0</v>
      </c>
      <c r="J491" t="s">
        <v>4555</v>
      </c>
      <c r="K491" s="35" t="s">
        <v>730</v>
      </c>
      <c r="L491" s="35" t="s">
        <v>7063</v>
      </c>
      <c r="M491" s="39" t="str">
        <f>HYPERLINK("http://dx.doi.org/10.1007/s10646-011-0802-2","10.1007/s10646-011-0802-2")</f>
        <v>10.1007/s10646-011-0802-2</v>
      </c>
      <c r="N491" s="40" t="s">
        <v>1364</v>
      </c>
      <c r="O491" s="40" t="s">
        <v>744</v>
      </c>
      <c r="P491" s="40" t="s">
        <v>4556</v>
      </c>
      <c r="Q491" t="s">
        <v>316</v>
      </c>
    </row>
    <row r="492" spans="1:17" x14ac:dyDescent="0.25">
      <c r="A492" s="2" t="str">
        <f>HYPERLINK("https://www.ncbi.nlm.nih.gov/pubmed/21684305","21684305")</f>
        <v>21684305</v>
      </c>
      <c r="B492">
        <f t="shared" si="32"/>
        <v>6</v>
      </c>
      <c r="C492">
        <f t="shared" si="32"/>
        <v>0</v>
      </c>
      <c r="D492">
        <f t="shared" si="32"/>
        <v>0</v>
      </c>
      <c r="E492">
        <f t="shared" si="30"/>
        <v>6</v>
      </c>
      <c r="F492">
        <v>2011</v>
      </c>
      <c r="G492" t="s">
        <v>4630</v>
      </c>
      <c r="H492">
        <v>0</v>
      </c>
      <c r="I492" s="65">
        <v>0</v>
      </c>
      <c r="J492" t="s">
        <v>4631</v>
      </c>
      <c r="K492" s="35" t="s">
        <v>937</v>
      </c>
      <c r="L492" s="35" t="s">
        <v>7078</v>
      </c>
      <c r="M492" s="39" t="str">
        <f>HYPERLINK("http://dx.doi.org/10.1016/j.neuro.2011.05.015","10.1016/j.neuro.2011.05.015")</f>
        <v>10.1016/j.neuro.2011.05.015</v>
      </c>
      <c r="N492" s="40" t="s">
        <v>1018</v>
      </c>
      <c r="O492" s="40" t="s">
        <v>741</v>
      </c>
      <c r="P492" s="40" t="s">
        <v>4573</v>
      </c>
      <c r="Q492" t="s">
        <v>316</v>
      </c>
    </row>
    <row r="493" spans="1:17" x14ac:dyDescent="0.25">
      <c r="A493" s="2" t="str">
        <f>HYPERLINK("https://www.ncbi.nlm.nih.gov/pubmed/20579498","20579498")</f>
        <v>20579498</v>
      </c>
      <c r="B493">
        <f t="shared" si="32"/>
        <v>6</v>
      </c>
      <c r="C493">
        <f t="shared" si="32"/>
        <v>0</v>
      </c>
      <c r="D493">
        <f t="shared" si="32"/>
        <v>0</v>
      </c>
      <c r="E493">
        <f t="shared" si="30"/>
        <v>6</v>
      </c>
      <c r="F493">
        <v>2010</v>
      </c>
      <c r="G493" t="s">
        <v>4881</v>
      </c>
      <c r="H493">
        <v>0</v>
      </c>
      <c r="I493" s="65">
        <v>0</v>
      </c>
      <c r="J493" t="s">
        <v>4882</v>
      </c>
      <c r="K493" s="35" t="s">
        <v>1825</v>
      </c>
      <c r="L493" s="35" t="s">
        <v>7103</v>
      </c>
      <c r="M493" s="39" t="str">
        <f>HYPERLINK("http://dx.doi.org/10.1016/j.aca.2010.03.011","10.1016/j.aca.2010.03.011")</f>
        <v>10.1016/j.aca.2010.03.011</v>
      </c>
      <c r="N493" s="40" t="s">
        <v>2068</v>
      </c>
      <c r="O493" s="40" t="s">
        <v>3531</v>
      </c>
      <c r="P493" s="40" t="s">
        <v>4883</v>
      </c>
      <c r="Q493" t="s">
        <v>316</v>
      </c>
    </row>
    <row r="494" spans="1:17" x14ac:dyDescent="0.25">
      <c r="A494" s="2" t="str">
        <f>HYPERLINK("https://www.ncbi.nlm.nih.gov/pubmed/20556429","20556429")</f>
        <v>20556429</v>
      </c>
      <c r="B494">
        <f t="shared" si="32"/>
        <v>6</v>
      </c>
      <c r="C494">
        <f t="shared" si="32"/>
        <v>0</v>
      </c>
      <c r="D494">
        <f t="shared" si="32"/>
        <v>0</v>
      </c>
      <c r="E494">
        <f t="shared" si="30"/>
        <v>6</v>
      </c>
      <c r="F494">
        <v>2010</v>
      </c>
      <c r="G494" t="s">
        <v>4892</v>
      </c>
      <c r="H494">
        <v>0</v>
      </c>
      <c r="I494" s="64" t="str">
        <f>HYPERLINK("https://www.ncbi.nlm.nih.gov/research/pubtator/?view=docsum&amp;query=PMC2913006","1")</f>
        <v>1</v>
      </c>
      <c r="J494" t="s">
        <v>4893</v>
      </c>
      <c r="K494" s="35" t="s">
        <v>1210</v>
      </c>
      <c r="L494" s="35" t="s">
        <v>7104</v>
      </c>
      <c r="M494" s="39" t="str">
        <f>HYPERLINK("http://dx.doi.org/10.1007/s00436-010-1930-y","10.1007/s00436-010-1930-y")</f>
        <v>10.1007/s00436-010-1930-y</v>
      </c>
      <c r="N494" s="40" t="s">
        <v>1990</v>
      </c>
      <c r="O494" s="40" t="s">
        <v>750</v>
      </c>
      <c r="P494" s="40" t="s">
        <v>4894</v>
      </c>
      <c r="Q494" t="s">
        <v>316</v>
      </c>
    </row>
    <row r="495" spans="1:17" x14ac:dyDescent="0.25">
      <c r="A495" s="2" t="str">
        <f>HYPERLINK("https://www.ncbi.nlm.nih.gov/pubmed/20465951","20465951")</f>
        <v>20465951</v>
      </c>
      <c r="B495">
        <f t="shared" si="32"/>
        <v>6</v>
      </c>
      <c r="C495">
        <f t="shared" si="32"/>
        <v>0</v>
      </c>
      <c r="D495">
        <f t="shared" si="32"/>
        <v>0</v>
      </c>
      <c r="E495">
        <f t="shared" si="30"/>
        <v>6</v>
      </c>
      <c r="F495">
        <v>2010</v>
      </c>
      <c r="G495" t="s">
        <v>4902</v>
      </c>
      <c r="H495">
        <v>0</v>
      </c>
      <c r="I495" s="65">
        <v>0</v>
      </c>
      <c r="J495" t="s">
        <v>4904</v>
      </c>
      <c r="K495" s="35" t="s">
        <v>4905</v>
      </c>
      <c r="L495" s="35" t="s">
        <v>4903</v>
      </c>
      <c r="M495" s="39" t="str">
        <f>HYPERLINK("http://dx.doi.org/","")</f>
        <v/>
      </c>
      <c r="N495" s="40" t="s">
        <v>731</v>
      </c>
      <c r="O495" s="40" t="s">
        <v>690</v>
      </c>
      <c r="P495" s="40" t="s">
        <v>4906</v>
      </c>
      <c r="Q495" t="s">
        <v>316</v>
      </c>
    </row>
    <row r="496" spans="1:17" x14ac:dyDescent="0.25">
      <c r="A496" s="2" t="str">
        <f>HYPERLINK("https://www.ncbi.nlm.nih.gov/pubmed/20231772","20231772")</f>
        <v>20231772</v>
      </c>
      <c r="B496">
        <f t="shared" si="32"/>
        <v>6</v>
      </c>
      <c r="C496">
        <f t="shared" si="32"/>
        <v>0</v>
      </c>
      <c r="D496">
        <f t="shared" si="32"/>
        <v>0</v>
      </c>
      <c r="E496">
        <f t="shared" si="30"/>
        <v>6</v>
      </c>
      <c r="F496">
        <v>2010</v>
      </c>
      <c r="G496" t="s">
        <v>4953</v>
      </c>
      <c r="H496">
        <v>0</v>
      </c>
      <c r="I496" s="65">
        <v>0</v>
      </c>
      <c r="J496" t="s">
        <v>4954</v>
      </c>
      <c r="K496" s="35" t="s">
        <v>4955</v>
      </c>
      <c r="L496" s="35" t="s">
        <v>7110</v>
      </c>
      <c r="M496" s="39" t="str">
        <f>HYPERLINK("http://dx.doi.org/","")</f>
        <v/>
      </c>
      <c r="N496" s="40" t="s">
        <v>2814</v>
      </c>
      <c r="O496" s="40" t="s">
        <v>638</v>
      </c>
      <c r="P496" s="40" t="s">
        <v>4956</v>
      </c>
      <c r="Q496" t="s">
        <v>316</v>
      </c>
    </row>
    <row r="497" spans="1:17" x14ac:dyDescent="0.25">
      <c r="A497" s="2" t="str">
        <f>HYPERLINK("https://www.ncbi.nlm.nih.gov/pubmed/20185241","20185241")</f>
        <v>20185241</v>
      </c>
      <c r="B497">
        <f t="shared" si="32"/>
        <v>6</v>
      </c>
      <c r="C497">
        <f t="shared" si="32"/>
        <v>0</v>
      </c>
      <c r="D497">
        <f t="shared" si="32"/>
        <v>0</v>
      </c>
      <c r="E497">
        <f t="shared" si="30"/>
        <v>6</v>
      </c>
      <c r="F497">
        <v>2010</v>
      </c>
      <c r="G497" t="s">
        <v>4964</v>
      </c>
      <c r="H497">
        <v>0</v>
      </c>
      <c r="I497" s="65">
        <v>0</v>
      </c>
      <c r="J497" t="s">
        <v>4965</v>
      </c>
      <c r="K497" s="35" t="s">
        <v>1052</v>
      </c>
      <c r="L497" s="35" t="s">
        <v>7113</v>
      </c>
      <c r="M497" s="39" t="str">
        <f>HYPERLINK("http://dx.doi.org/10.1016/j.vetpar.2010.01.033","10.1016/j.vetpar.2010.01.033")</f>
        <v>10.1016/j.vetpar.2010.01.033</v>
      </c>
      <c r="N497" s="40" t="s">
        <v>1313</v>
      </c>
      <c r="O497" s="40" t="s">
        <v>3531</v>
      </c>
      <c r="P497" s="40" t="s">
        <v>4966</v>
      </c>
      <c r="Q497" t="s">
        <v>316</v>
      </c>
    </row>
    <row r="498" spans="1:17" x14ac:dyDescent="0.25">
      <c r="A498" s="2" t="str">
        <f>HYPERLINK("https://www.ncbi.nlm.nih.gov/pubmed/20079520","20079520")</f>
        <v>20079520</v>
      </c>
      <c r="B498">
        <f t="shared" si="32"/>
        <v>6</v>
      </c>
      <c r="C498">
        <f t="shared" si="32"/>
        <v>0</v>
      </c>
      <c r="D498">
        <f t="shared" si="32"/>
        <v>0</v>
      </c>
      <c r="E498">
        <f t="shared" si="30"/>
        <v>6</v>
      </c>
      <c r="F498">
        <v>2010</v>
      </c>
      <c r="G498" t="s">
        <v>4977</v>
      </c>
      <c r="H498">
        <v>0</v>
      </c>
      <c r="I498" s="65">
        <v>0</v>
      </c>
      <c r="J498" t="s">
        <v>4979</v>
      </c>
      <c r="K498" s="35" t="s">
        <v>822</v>
      </c>
      <c r="L498" s="35" t="s">
        <v>4978</v>
      </c>
      <c r="M498" s="39" t="str">
        <f>HYPERLINK("http://dx.doi.org/10.1016/j.chemosphere.2009.12.060","10.1016/j.chemosphere.2009.12.060")</f>
        <v>10.1016/j.chemosphere.2009.12.060</v>
      </c>
      <c r="N498" s="40" t="s">
        <v>3375</v>
      </c>
      <c r="O498" s="40" t="s">
        <v>802</v>
      </c>
      <c r="P498" s="40" t="s">
        <v>4980</v>
      </c>
      <c r="Q498" t="s">
        <v>316</v>
      </c>
    </row>
    <row r="499" spans="1:17" x14ac:dyDescent="0.25">
      <c r="A499" s="2" t="str">
        <f>HYPERLINK("https://www.ncbi.nlm.nih.gov/pubmed/20069858","20069858")</f>
        <v>20069858</v>
      </c>
      <c r="B499">
        <f t="shared" si="32"/>
        <v>6</v>
      </c>
      <c r="C499">
        <f t="shared" si="32"/>
        <v>0</v>
      </c>
      <c r="D499">
        <f t="shared" si="32"/>
        <v>0</v>
      </c>
      <c r="E499">
        <f t="shared" si="30"/>
        <v>6</v>
      </c>
      <c r="F499">
        <v>2009</v>
      </c>
      <c r="G499" t="s">
        <v>4981</v>
      </c>
      <c r="H499">
        <v>0</v>
      </c>
      <c r="I499" s="65">
        <v>0</v>
      </c>
      <c r="J499" t="s">
        <v>4886</v>
      </c>
      <c r="K499" s="35" t="s">
        <v>909</v>
      </c>
      <c r="L499" s="35" t="s">
        <v>4982</v>
      </c>
      <c r="M499" s="39" t="str">
        <f>HYPERLINK("http://dx.doi.org/10.1603/029.102.0633","10.1603/029.102.0633")</f>
        <v>10.1603/029.102.0633</v>
      </c>
      <c r="N499" s="40" t="s">
        <v>4983</v>
      </c>
      <c r="O499" s="40" t="s">
        <v>741</v>
      </c>
      <c r="P499" s="40" t="s">
        <v>4984</v>
      </c>
      <c r="Q499" t="s">
        <v>316</v>
      </c>
    </row>
    <row r="500" spans="1:17" x14ac:dyDescent="0.25">
      <c r="A500" s="2" t="str">
        <f>HYPERLINK("https://www.ncbi.nlm.nih.gov/pubmed/20056329","20056329")</f>
        <v>20056329</v>
      </c>
      <c r="B500">
        <f t="shared" si="32"/>
        <v>6</v>
      </c>
      <c r="C500">
        <f t="shared" si="32"/>
        <v>0</v>
      </c>
      <c r="D500">
        <f t="shared" si="32"/>
        <v>0</v>
      </c>
      <c r="E500">
        <f t="shared" si="30"/>
        <v>6</v>
      </c>
      <c r="F500">
        <v>2010</v>
      </c>
      <c r="G500" t="s">
        <v>4988</v>
      </c>
      <c r="H500">
        <v>0</v>
      </c>
      <c r="I500" s="65">
        <v>0</v>
      </c>
      <c r="J500" t="s">
        <v>4990</v>
      </c>
      <c r="K500" s="35" t="s">
        <v>1052</v>
      </c>
      <c r="L500" s="35" t="s">
        <v>4989</v>
      </c>
      <c r="M500" s="39" t="str">
        <f>HYPERLINK("http://dx.doi.org/10.1016/j.vetpar.2009.12.017","10.1016/j.vetpar.2009.12.017")</f>
        <v>10.1016/j.vetpar.2009.12.017</v>
      </c>
      <c r="N500" s="40" t="s">
        <v>4991</v>
      </c>
      <c r="O500" s="40" t="s">
        <v>3531</v>
      </c>
      <c r="P500" s="40" t="s">
        <v>4992</v>
      </c>
      <c r="Q500" t="s">
        <v>316</v>
      </c>
    </row>
    <row r="501" spans="1:17" x14ac:dyDescent="0.25">
      <c r="A501" s="2" t="str">
        <f>HYPERLINK("https://www.ncbi.nlm.nih.gov/pubmed/19444624","19444624")</f>
        <v>19444624</v>
      </c>
      <c r="B501">
        <f t="shared" si="32"/>
        <v>6</v>
      </c>
      <c r="C501">
        <f t="shared" si="32"/>
        <v>1</v>
      </c>
      <c r="D501">
        <f t="shared" si="32"/>
        <v>0</v>
      </c>
      <c r="E501">
        <f t="shared" si="30"/>
        <v>7</v>
      </c>
      <c r="F501">
        <v>2010</v>
      </c>
      <c r="G501" t="s">
        <v>5119</v>
      </c>
      <c r="H501">
        <v>0</v>
      </c>
      <c r="I501" s="65">
        <v>0</v>
      </c>
      <c r="J501" t="s">
        <v>5120</v>
      </c>
      <c r="K501" s="35" t="s">
        <v>4088</v>
      </c>
      <c r="L501" s="35" t="s">
        <v>7123</v>
      </c>
      <c r="M501" s="39" t="str">
        <f>HYPERLINK("http://dx.doi.org/10.1007/s10565-009-9126-x","10.1007/s10565-009-9126-x")</f>
        <v>10.1007/s10565-009-9126-x</v>
      </c>
      <c r="N501" s="40" t="s">
        <v>752</v>
      </c>
      <c r="O501" s="40" t="s">
        <v>744</v>
      </c>
      <c r="P501" s="40" t="s">
        <v>5121</v>
      </c>
      <c r="Q501" t="s">
        <v>316</v>
      </c>
    </row>
    <row r="502" spans="1:17" x14ac:dyDescent="0.25">
      <c r="A502" s="2" t="str">
        <f>HYPERLINK("https://www.ncbi.nlm.nih.gov/pubmed/19253656","19253656")</f>
        <v>19253656</v>
      </c>
      <c r="B502">
        <f t="shared" si="32"/>
        <v>6</v>
      </c>
      <c r="C502">
        <f t="shared" si="32"/>
        <v>0</v>
      </c>
      <c r="D502">
        <f t="shared" si="32"/>
        <v>0</v>
      </c>
      <c r="E502">
        <f t="shared" si="30"/>
        <v>6</v>
      </c>
      <c r="F502">
        <v>2009</v>
      </c>
      <c r="G502" t="s">
        <v>5157</v>
      </c>
      <c r="H502">
        <v>0</v>
      </c>
      <c r="I502" s="65">
        <v>0</v>
      </c>
      <c r="J502" t="s">
        <v>5158</v>
      </c>
      <c r="K502" s="35" t="s">
        <v>909</v>
      </c>
      <c r="L502" s="35" t="s">
        <v>7126</v>
      </c>
      <c r="M502" s="39" t="str">
        <f>HYPERLINK("http://dx.doi.org/10.1603/029.102.0147","10.1603/029.102.0147")</f>
        <v>10.1603/029.102.0147</v>
      </c>
      <c r="N502" s="40" t="s">
        <v>4983</v>
      </c>
      <c r="O502" s="40" t="s">
        <v>638</v>
      </c>
      <c r="P502" s="40" t="s">
        <v>5159</v>
      </c>
      <c r="Q502" t="s">
        <v>316</v>
      </c>
    </row>
    <row r="503" spans="1:17" x14ac:dyDescent="0.25">
      <c r="A503" s="2" t="str">
        <f>HYPERLINK("https://www.ncbi.nlm.nih.gov/pubmed/19250957","19250957")</f>
        <v>19250957</v>
      </c>
      <c r="B503">
        <f t="shared" si="32"/>
        <v>6</v>
      </c>
      <c r="C503">
        <f t="shared" si="32"/>
        <v>0</v>
      </c>
      <c r="D503">
        <f t="shared" si="32"/>
        <v>0</v>
      </c>
      <c r="E503">
        <f t="shared" si="30"/>
        <v>6</v>
      </c>
      <c r="F503">
        <v>2009</v>
      </c>
      <c r="G503" t="s">
        <v>5164</v>
      </c>
      <c r="H503">
        <v>0</v>
      </c>
      <c r="I503" s="65">
        <v>0</v>
      </c>
      <c r="J503" t="s">
        <v>5166</v>
      </c>
      <c r="K503" s="35" t="s">
        <v>695</v>
      </c>
      <c r="L503" s="35" t="s">
        <v>5165</v>
      </c>
      <c r="M503" s="39" t="str">
        <f>HYPERLINK("http://dx.doi.org/10.1016/j.fct.2009.02.019","10.1016/j.fct.2009.02.019")</f>
        <v>10.1016/j.fct.2009.02.019</v>
      </c>
      <c r="N503" s="40" t="s">
        <v>2814</v>
      </c>
      <c r="O503" s="40" t="s">
        <v>741</v>
      </c>
      <c r="P503" s="40" t="s">
        <v>5167</v>
      </c>
      <c r="Q503" t="s">
        <v>316</v>
      </c>
    </row>
    <row r="504" spans="1:17" x14ac:dyDescent="0.25">
      <c r="A504" s="2" t="str">
        <f>HYPERLINK("https://www.ncbi.nlm.nih.gov/pubmed/18665985","18665985")</f>
        <v>18665985</v>
      </c>
      <c r="B504">
        <f t="shared" ref="B504:D523" si="33">IF(ISBLANK(B$3),0,(LEN($L504) - LEN(SUBSTITUTE(LOWER($L504),LOWER(B$3),"")))/LEN(B$3))</f>
        <v>6</v>
      </c>
      <c r="C504">
        <f t="shared" si="33"/>
        <v>0</v>
      </c>
      <c r="D504">
        <f t="shared" si="33"/>
        <v>0</v>
      </c>
      <c r="E504">
        <f t="shared" si="30"/>
        <v>6</v>
      </c>
      <c r="F504">
        <v>2008</v>
      </c>
      <c r="G504" t="s">
        <v>5264</v>
      </c>
      <c r="H504">
        <v>0</v>
      </c>
      <c r="I504" s="65">
        <v>0</v>
      </c>
      <c r="J504" t="s">
        <v>5035</v>
      </c>
      <c r="K504" s="35" t="s">
        <v>1413</v>
      </c>
      <c r="L504" s="35" t="s">
        <v>5265</v>
      </c>
      <c r="M504" s="39" t="str">
        <f>HYPERLINK("http://dx.doi.org/10.1080/03601230802174631","10.1080/03601230802174631")</f>
        <v>10.1080/03601230802174631</v>
      </c>
      <c r="N504" s="40" t="s">
        <v>1279</v>
      </c>
      <c r="O504" s="40" t="s">
        <v>741</v>
      </c>
      <c r="P504" s="40" t="s">
        <v>5266</v>
      </c>
      <c r="Q504" t="s">
        <v>316</v>
      </c>
    </row>
    <row r="505" spans="1:17" x14ac:dyDescent="0.25">
      <c r="A505" s="2" t="str">
        <f>HYPERLINK("https://www.ncbi.nlm.nih.gov/pubmed/18602111","18602111")</f>
        <v>18602111</v>
      </c>
      <c r="B505">
        <f t="shared" si="33"/>
        <v>6</v>
      </c>
      <c r="C505">
        <f t="shared" si="33"/>
        <v>0</v>
      </c>
      <c r="D505">
        <f t="shared" si="33"/>
        <v>0</v>
      </c>
      <c r="E505">
        <f t="shared" si="30"/>
        <v>6</v>
      </c>
      <c r="F505">
        <v>2008</v>
      </c>
      <c r="G505" t="s">
        <v>5282</v>
      </c>
      <c r="H505">
        <v>0</v>
      </c>
      <c r="I505" s="65">
        <v>0</v>
      </c>
      <c r="J505" t="s">
        <v>5284</v>
      </c>
      <c r="K505" s="35" t="s">
        <v>1340</v>
      </c>
      <c r="L505" s="35" t="s">
        <v>5283</v>
      </c>
      <c r="M505" s="39" t="str">
        <f>HYPERLINK("http://dx.doi.org/10.1016/j.chroma.2008.06.024","10.1016/j.chroma.2008.06.024")</f>
        <v>10.1016/j.chroma.2008.06.024</v>
      </c>
      <c r="N505" s="40" t="s">
        <v>5285</v>
      </c>
      <c r="O505" s="40" t="s">
        <v>638</v>
      </c>
      <c r="P505" s="40" t="s">
        <v>5286</v>
      </c>
      <c r="Q505" t="s">
        <v>316</v>
      </c>
    </row>
    <row r="506" spans="1:17" x14ac:dyDescent="0.25">
      <c r="A506" s="2" t="str">
        <f>HYPERLINK("https://www.ncbi.nlm.nih.gov/pubmed/18533435","18533435")</f>
        <v>18533435</v>
      </c>
      <c r="B506">
        <f t="shared" si="33"/>
        <v>6</v>
      </c>
      <c r="C506">
        <f t="shared" si="33"/>
        <v>0</v>
      </c>
      <c r="D506">
        <f t="shared" si="33"/>
        <v>0</v>
      </c>
      <c r="E506">
        <f t="shared" si="30"/>
        <v>6</v>
      </c>
      <c r="F506">
        <v>2008</v>
      </c>
      <c r="G506" t="s">
        <v>5299</v>
      </c>
      <c r="H506">
        <v>0</v>
      </c>
      <c r="I506" s="65">
        <v>0</v>
      </c>
      <c r="J506" t="s">
        <v>5301</v>
      </c>
      <c r="K506" s="35" t="s">
        <v>1027</v>
      </c>
      <c r="L506" s="35" t="s">
        <v>5300</v>
      </c>
      <c r="M506" s="39" t="str">
        <f>HYPERLINK("http://dx.doi.org/10.1603/0022-2585(2008)45[421:dpoiri]2.0.co;2","10.1603/0022-2585(2008)45[421:dpoiri]2.0.co;2")</f>
        <v>10.1603/0022-2585(2008)45[421:dpoiri]2.0.co;2</v>
      </c>
      <c r="N506" s="40" t="s">
        <v>765</v>
      </c>
      <c r="O506" s="40" t="s">
        <v>750</v>
      </c>
      <c r="P506" s="40" t="s">
        <v>5302</v>
      </c>
      <c r="Q506" t="s">
        <v>316</v>
      </c>
    </row>
    <row r="507" spans="1:17" x14ac:dyDescent="0.25">
      <c r="A507" s="2" t="str">
        <f>HYPERLINK("https://www.ncbi.nlm.nih.gov/pubmed/18442251","18442251")</f>
        <v>18442251</v>
      </c>
      <c r="B507">
        <f t="shared" si="33"/>
        <v>6</v>
      </c>
      <c r="C507">
        <f t="shared" si="33"/>
        <v>0</v>
      </c>
      <c r="D507">
        <f t="shared" si="33"/>
        <v>0</v>
      </c>
      <c r="E507">
        <f t="shared" si="30"/>
        <v>6</v>
      </c>
      <c r="F507">
        <v>2008</v>
      </c>
      <c r="G507" t="s">
        <v>5329</v>
      </c>
      <c r="H507">
        <v>0</v>
      </c>
      <c r="I507" s="65">
        <v>0</v>
      </c>
      <c r="J507" t="s">
        <v>5331</v>
      </c>
      <c r="K507" s="35" t="s">
        <v>770</v>
      </c>
      <c r="L507" s="35" t="s">
        <v>5330</v>
      </c>
      <c r="M507" s="39" t="str">
        <f>HYPERLINK("http://dx.doi.org/10.1021/jf800043h","10.1021/jf800043h")</f>
        <v>10.1021/jf800043h</v>
      </c>
      <c r="N507" s="40" t="s">
        <v>751</v>
      </c>
      <c r="O507" s="40" t="s">
        <v>802</v>
      </c>
      <c r="P507" s="40" t="s">
        <v>5332</v>
      </c>
      <c r="Q507" t="s">
        <v>316</v>
      </c>
    </row>
    <row r="508" spans="1:17" x14ac:dyDescent="0.25">
      <c r="A508" s="2" t="str">
        <f>HYPERLINK("https://www.ncbi.nlm.nih.gov/pubmed/18415943","18415943")</f>
        <v>18415943</v>
      </c>
      <c r="B508">
        <f t="shared" si="33"/>
        <v>6</v>
      </c>
      <c r="C508">
        <f t="shared" si="33"/>
        <v>0</v>
      </c>
      <c r="D508">
        <f t="shared" si="33"/>
        <v>0</v>
      </c>
      <c r="E508">
        <f t="shared" si="30"/>
        <v>6</v>
      </c>
      <c r="F508">
        <v>2008</v>
      </c>
      <c r="G508" t="s">
        <v>5337</v>
      </c>
      <c r="H508">
        <v>0</v>
      </c>
      <c r="I508" s="65">
        <v>0</v>
      </c>
      <c r="J508" t="s">
        <v>5338</v>
      </c>
      <c r="K508" s="35" t="s">
        <v>5052</v>
      </c>
      <c r="L508" s="35" t="s">
        <v>7137</v>
      </c>
      <c r="M508" s="39" t="str">
        <f>HYPERLINK("http://dx.doi.org/","")</f>
        <v/>
      </c>
      <c r="N508" s="40" t="s">
        <v>660</v>
      </c>
      <c r="O508" s="40" t="s">
        <v>638</v>
      </c>
      <c r="P508" s="40" t="s">
        <v>1212</v>
      </c>
      <c r="Q508" t="s">
        <v>316</v>
      </c>
    </row>
    <row r="509" spans="1:17" x14ac:dyDescent="0.25">
      <c r="A509" s="2" t="str">
        <f>HYPERLINK("https://www.ncbi.nlm.nih.gov/pubmed/18155147","18155147")</f>
        <v>18155147</v>
      </c>
      <c r="B509">
        <f t="shared" si="33"/>
        <v>6</v>
      </c>
      <c r="C509">
        <f t="shared" si="33"/>
        <v>0</v>
      </c>
      <c r="D509">
        <f t="shared" si="33"/>
        <v>0</v>
      </c>
      <c r="E509">
        <f t="shared" si="30"/>
        <v>6</v>
      </c>
      <c r="F509">
        <v>2008</v>
      </c>
      <c r="G509" t="s">
        <v>5384</v>
      </c>
      <c r="H509">
        <v>0</v>
      </c>
      <c r="I509" s="65">
        <v>0</v>
      </c>
      <c r="J509" t="s">
        <v>5386</v>
      </c>
      <c r="K509" s="35" t="s">
        <v>714</v>
      </c>
      <c r="L509" s="35" t="s">
        <v>5385</v>
      </c>
      <c r="M509" s="39" t="str">
        <f>HYPERLINK("http://dx.doi.org/10.1016/j.ecoenv.2007.11.001","10.1016/j.ecoenv.2007.11.001")</f>
        <v>10.1016/j.ecoenv.2007.11.001</v>
      </c>
      <c r="N509" s="40" t="s">
        <v>3255</v>
      </c>
      <c r="O509" s="40" t="s">
        <v>744</v>
      </c>
      <c r="P509" s="40" t="s">
        <v>5387</v>
      </c>
      <c r="Q509" t="s">
        <v>316</v>
      </c>
    </row>
    <row r="510" spans="1:17" x14ac:dyDescent="0.25">
      <c r="A510" s="2" t="str">
        <f>HYPERLINK("https://www.ncbi.nlm.nih.gov/pubmed/17849893","17849893")</f>
        <v>17849893</v>
      </c>
      <c r="B510">
        <f t="shared" si="33"/>
        <v>6</v>
      </c>
      <c r="C510">
        <f t="shared" si="33"/>
        <v>0</v>
      </c>
      <c r="D510">
        <f t="shared" si="33"/>
        <v>0</v>
      </c>
      <c r="E510">
        <f t="shared" si="30"/>
        <v>6</v>
      </c>
      <c r="F510">
        <v>2007</v>
      </c>
      <c r="G510" t="s">
        <v>5440</v>
      </c>
      <c r="H510">
        <v>0</v>
      </c>
      <c r="I510" s="65">
        <v>0</v>
      </c>
      <c r="J510" t="s">
        <v>5441</v>
      </c>
      <c r="K510" s="35" t="s">
        <v>909</v>
      </c>
      <c r="L510" s="35" t="s">
        <v>7155</v>
      </c>
      <c r="M510" s="39" t="str">
        <f>HYPERLINK("http://dx.doi.org/10.1603/0022-0493(2007)100[1391:feopcs]2.0.co;2","10.1603/0022-0493(2007)100[1391:feopcs]2.0.co;2")</f>
        <v>10.1603/0022-0493(2007)100[1391:feopcs]2.0.co;2</v>
      </c>
      <c r="N510" s="40" t="s">
        <v>2221</v>
      </c>
      <c r="O510" s="40" t="s">
        <v>690</v>
      </c>
      <c r="P510" s="40" t="s">
        <v>5442</v>
      </c>
      <c r="Q510" t="s">
        <v>316</v>
      </c>
    </row>
    <row r="511" spans="1:17" x14ac:dyDescent="0.25">
      <c r="A511" s="2" t="str">
        <f>HYPERLINK("https://www.ncbi.nlm.nih.gov/pubmed/17227046","17227046")</f>
        <v>17227046</v>
      </c>
      <c r="B511">
        <f t="shared" si="33"/>
        <v>6</v>
      </c>
      <c r="C511">
        <f t="shared" si="33"/>
        <v>0</v>
      </c>
      <c r="D511">
        <f t="shared" si="33"/>
        <v>0</v>
      </c>
      <c r="E511">
        <f t="shared" si="30"/>
        <v>6</v>
      </c>
      <c r="F511">
        <v>2007</v>
      </c>
      <c r="G511" t="s">
        <v>5513</v>
      </c>
      <c r="H511">
        <v>0</v>
      </c>
      <c r="I511" s="65">
        <v>0</v>
      </c>
      <c r="J511" t="s">
        <v>5515</v>
      </c>
      <c r="K511" s="35" t="s">
        <v>770</v>
      </c>
      <c r="L511" s="35" t="s">
        <v>5514</v>
      </c>
      <c r="M511" s="39" t="str">
        <f>HYPERLINK("http://dx.doi.org/10.1021/jf062045a","10.1021/jf062045a")</f>
        <v>10.1021/jf062045a</v>
      </c>
      <c r="N511" s="40" t="s">
        <v>1059</v>
      </c>
      <c r="O511" s="40" t="s">
        <v>744</v>
      </c>
      <c r="P511" s="40" t="s">
        <v>5516</v>
      </c>
      <c r="Q511" t="s">
        <v>316</v>
      </c>
    </row>
    <row r="512" spans="1:17" x14ac:dyDescent="0.25">
      <c r="A512" s="2" t="str">
        <f>HYPERLINK("https://www.ncbi.nlm.nih.gov/pubmed/17066810","17066810")</f>
        <v>17066810</v>
      </c>
      <c r="B512">
        <f t="shared" si="33"/>
        <v>6</v>
      </c>
      <c r="C512">
        <f t="shared" si="33"/>
        <v>0</v>
      </c>
      <c r="D512">
        <f t="shared" si="33"/>
        <v>0</v>
      </c>
      <c r="E512">
        <f t="shared" si="30"/>
        <v>6</v>
      </c>
      <c r="F512">
        <v>2006</v>
      </c>
      <c r="G512" t="s">
        <v>5555</v>
      </c>
      <c r="H512">
        <v>0</v>
      </c>
      <c r="I512" s="65">
        <v>0</v>
      </c>
      <c r="J512" t="s">
        <v>5556</v>
      </c>
      <c r="K512" s="35" t="s">
        <v>909</v>
      </c>
      <c r="L512" s="35" t="s">
        <v>7169</v>
      </c>
      <c r="M512" s="39" t="str">
        <f>HYPERLINK("http://dx.doi.org/10.1603/0022-0493-99.5.1761","10.1603/0022-0493-99.5.1761")</f>
        <v>10.1603/0022-0493-99.5.1761</v>
      </c>
      <c r="N512" s="40" t="s">
        <v>3055</v>
      </c>
      <c r="O512" s="40" t="s">
        <v>746</v>
      </c>
      <c r="P512" s="40" t="s">
        <v>5557</v>
      </c>
      <c r="Q512" t="s">
        <v>316</v>
      </c>
    </row>
    <row r="513" spans="1:17" x14ac:dyDescent="0.25">
      <c r="A513" s="2" t="str">
        <f>HYPERLINK("https://www.ncbi.nlm.nih.gov/pubmed/16686147","16686147")</f>
        <v>16686147</v>
      </c>
      <c r="B513">
        <f t="shared" si="33"/>
        <v>6</v>
      </c>
      <c r="C513">
        <f t="shared" si="33"/>
        <v>1</v>
      </c>
      <c r="D513">
        <f t="shared" si="33"/>
        <v>0</v>
      </c>
      <c r="E513">
        <f t="shared" si="30"/>
        <v>7</v>
      </c>
      <c r="F513">
        <v>2006</v>
      </c>
      <c r="G513" t="s">
        <v>5643</v>
      </c>
      <c r="H513">
        <v>0</v>
      </c>
      <c r="I513" s="65">
        <v>0</v>
      </c>
      <c r="J513" t="s">
        <v>5645</v>
      </c>
      <c r="K513" s="35" t="s">
        <v>909</v>
      </c>
      <c r="L513" s="35" t="s">
        <v>5644</v>
      </c>
      <c r="M513" s="39" t="str">
        <f>HYPERLINK("http://dx.doi.org/10.1603/0022-0493-99.2.455","10.1603/0022-0493-99.2.455")</f>
        <v>10.1603/0022-0493-99.2.455</v>
      </c>
      <c r="N513" s="40" t="s">
        <v>3055</v>
      </c>
      <c r="O513" s="40" t="s">
        <v>744</v>
      </c>
      <c r="P513" s="40" t="s">
        <v>5646</v>
      </c>
      <c r="Q513" t="s">
        <v>316</v>
      </c>
    </row>
    <row r="514" spans="1:17" x14ac:dyDescent="0.25">
      <c r="A514" s="2" t="str">
        <f>HYPERLINK("https://www.ncbi.nlm.nih.gov/pubmed/16037928","16037928")</f>
        <v>16037928</v>
      </c>
      <c r="B514">
        <f t="shared" si="33"/>
        <v>6</v>
      </c>
      <c r="C514">
        <f t="shared" si="33"/>
        <v>0</v>
      </c>
      <c r="D514">
        <f t="shared" si="33"/>
        <v>0</v>
      </c>
      <c r="E514">
        <f t="shared" si="30"/>
        <v>6</v>
      </c>
      <c r="F514">
        <v>2005</v>
      </c>
      <c r="G514" t="s">
        <v>5753</v>
      </c>
      <c r="H514">
        <v>0</v>
      </c>
      <c r="I514" s="65">
        <v>0</v>
      </c>
      <c r="J514" t="s">
        <v>5755</v>
      </c>
      <c r="K514" s="35" t="s">
        <v>5756</v>
      </c>
      <c r="L514" s="35" t="s">
        <v>5754</v>
      </c>
      <c r="M514" s="39" t="str">
        <f>HYPERLINK("http://dx.doi.org/10.1002/bmc.505","10.1002/bmc.505")</f>
        <v>10.1002/bmc.505</v>
      </c>
      <c r="N514" s="40" t="s">
        <v>1115</v>
      </c>
      <c r="O514" s="40" t="s">
        <v>741</v>
      </c>
      <c r="P514" s="40" t="s">
        <v>5757</v>
      </c>
      <c r="Q514" t="s">
        <v>316</v>
      </c>
    </row>
    <row r="515" spans="1:17" x14ac:dyDescent="0.25">
      <c r="A515" s="2" t="str">
        <f>HYPERLINK("https://www.ncbi.nlm.nih.gov/pubmed/16022320","16022320")</f>
        <v>16022320</v>
      </c>
      <c r="B515">
        <f t="shared" si="33"/>
        <v>6</v>
      </c>
      <c r="C515">
        <f t="shared" si="33"/>
        <v>0</v>
      </c>
      <c r="D515">
        <f t="shared" si="33"/>
        <v>0</v>
      </c>
      <c r="E515">
        <f t="shared" si="30"/>
        <v>6</v>
      </c>
      <c r="F515">
        <v>2005</v>
      </c>
      <c r="G515" t="s">
        <v>5766</v>
      </c>
      <c r="H515">
        <v>0</v>
      </c>
      <c r="I515" s="65">
        <v>0</v>
      </c>
      <c r="J515" t="s">
        <v>5764</v>
      </c>
      <c r="K515" s="35" t="s">
        <v>909</v>
      </c>
      <c r="L515" s="35" t="s">
        <v>5767</v>
      </c>
      <c r="M515" s="39" t="str">
        <f>HYPERLINK("http://dx.doi.org/10.1603/0022-0493-98.3.906","10.1603/0022-0493-98.3.906")</f>
        <v>10.1603/0022-0493-98.3.906</v>
      </c>
      <c r="N515" s="40" t="s">
        <v>3516</v>
      </c>
      <c r="O515" s="40" t="s">
        <v>750</v>
      </c>
      <c r="P515" s="40" t="s">
        <v>5768</v>
      </c>
      <c r="Q515" t="s">
        <v>316</v>
      </c>
    </row>
    <row r="516" spans="1:17" x14ac:dyDescent="0.25">
      <c r="A516" s="2" t="str">
        <f>HYPERLINK("https://www.ncbi.nlm.nih.gov/pubmed/16004693","16004693")</f>
        <v>16004693</v>
      </c>
      <c r="B516">
        <f t="shared" si="33"/>
        <v>6</v>
      </c>
      <c r="C516">
        <f t="shared" si="33"/>
        <v>0</v>
      </c>
      <c r="D516">
        <f t="shared" si="33"/>
        <v>0</v>
      </c>
      <c r="E516">
        <f t="shared" ref="E516:E579" si="34">SUM(B516:D516)</f>
        <v>6</v>
      </c>
      <c r="F516">
        <v>2005</v>
      </c>
      <c r="G516" t="s">
        <v>5781</v>
      </c>
      <c r="H516">
        <v>0</v>
      </c>
      <c r="I516" s="65">
        <v>0</v>
      </c>
      <c r="J516" t="s">
        <v>5783</v>
      </c>
      <c r="K516" s="35" t="s">
        <v>5784</v>
      </c>
      <c r="L516" s="35" t="s">
        <v>5782</v>
      </c>
      <c r="M516" s="39" t="str">
        <f>HYPERLINK("http://dx.doi.org/10.1258/0023677054306980","10.1258/0023677054306980")</f>
        <v>10.1258/0023677054306980</v>
      </c>
      <c r="N516" s="40" t="s">
        <v>852</v>
      </c>
      <c r="O516" s="40" t="s">
        <v>750</v>
      </c>
      <c r="P516" s="40" t="s">
        <v>5785</v>
      </c>
      <c r="Q516" t="s">
        <v>316</v>
      </c>
    </row>
    <row r="517" spans="1:17" x14ac:dyDescent="0.25">
      <c r="A517" s="2" t="str">
        <f>HYPERLINK("https://www.ncbi.nlm.nih.gov/pubmed/15893431","15893431")</f>
        <v>15893431</v>
      </c>
      <c r="B517">
        <f t="shared" si="33"/>
        <v>6</v>
      </c>
      <c r="C517">
        <f t="shared" si="33"/>
        <v>0</v>
      </c>
      <c r="D517">
        <f t="shared" si="33"/>
        <v>0</v>
      </c>
      <c r="E517">
        <f t="shared" si="34"/>
        <v>6</v>
      </c>
      <c r="F517">
        <v>2005</v>
      </c>
      <c r="G517" t="s">
        <v>5792</v>
      </c>
      <c r="H517">
        <v>0</v>
      </c>
      <c r="I517" s="65">
        <v>0</v>
      </c>
      <c r="J517" t="s">
        <v>5793</v>
      </c>
      <c r="K517" s="35" t="s">
        <v>1052</v>
      </c>
      <c r="L517" s="35" t="s">
        <v>7198</v>
      </c>
      <c r="M517" s="39" t="str">
        <f>HYPERLINK("http://dx.doi.org/10.1016/j.vetpar.2005.04.014","10.1016/j.vetpar.2005.04.014")</f>
        <v>10.1016/j.vetpar.2005.04.014</v>
      </c>
      <c r="N517" s="40" t="s">
        <v>5794</v>
      </c>
      <c r="O517" s="40" t="s">
        <v>1741</v>
      </c>
      <c r="P517" s="40" t="s">
        <v>5795</v>
      </c>
      <c r="Q517" t="s">
        <v>316</v>
      </c>
    </row>
    <row r="518" spans="1:17" x14ac:dyDescent="0.25">
      <c r="A518" s="2" t="str">
        <f>HYPERLINK("https://www.ncbi.nlm.nih.gov/pubmed/15859435","15859435")</f>
        <v>15859435</v>
      </c>
      <c r="B518">
        <f t="shared" si="33"/>
        <v>6</v>
      </c>
      <c r="C518">
        <f t="shared" si="33"/>
        <v>2</v>
      </c>
      <c r="D518">
        <f t="shared" si="33"/>
        <v>0</v>
      </c>
      <c r="E518">
        <f t="shared" si="34"/>
        <v>8</v>
      </c>
      <c r="F518">
        <v>2005</v>
      </c>
      <c r="G518" t="s">
        <v>5806</v>
      </c>
      <c r="H518">
        <v>0</v>
      </c>
      <c r="I518" s="65">
        <v>0</v>
      </c>
      <c r="J518" t="s">
        <v>5808</v>
      </c>
      <c r="K518" s="35" t="s">
        <v>3596</v>
      </c>
      <c r="L518" s="35" t="s">
        <v>5807</v>
      </c>
      <c r="M518" s="39" t="str">
        <f>HYPERLINK("http://dx.doi.org/","")</f>
        <v/>
      </c>
      <c r="N518" s="40" t="s">
        <v>752</v>
      </c>
      <c r="O518" s="40" t="s">
        <v>638</v>
      </c>
      <c r="P518" s="40" t="s">
        <v>5809</v>
      </c>
      <c r="Q518" t="s">
        <v>316</v>
      </c>
    </row>
    <row r="519" spans="1:17" x14ac:dyDescent="0.25">
      <c r="A519" s="2" t="str">
        <f>HYPERLINK("https://www.ncbi.nlm.nih.gov/pubmed/15519415","15519415")</f>
        <v>15519415</v>
      </c>
      <c r="B519">
        <f t="shared" si="33"/>
        <v>6</v>
      </c>
      <c r="C519">
        <f t="shared" si="33"/>
        <v>2</v>
      </c>
      <c r="D519">
        <f t="shared" si="33"/>
        <v>0</v>
      </c>
      <c r="E519">
        <f t="shared" si="34"/>
        <v>8</v>
      </c>
      <c r="F519">
        <v>2004</v>
      </c>
      <c r="G519" t="s">
        <v>5886</v>
      </c>
      <c r="H519">
        <v>0</v>
      </c>
      <c r="I519" s="65">
        <v>0</v>
      </c>
      <c r="J519" t="s">
        <v>5888</v>
      </c>
      <c r="K519" s="35" t="s">
        <v>822</v>
      </c>
      <c r="L519" s="35" t="s">
        <v>5887</v>
      </c>
      <c r="M519" s="39" t="str">
        <f>HYPERLINK("http://dx.doi.org/10.1016/j.chemosphere.2004.06.025","10.1016/j.chemosphere.2004.06.025")</f>
        <v>10.1016/j.chemosphere.2004.06.025</v>
      </c>
      <c r="N519" s="40" t="s">
        <v>764</v>
      </c>
      <c r="O519" s="40" t="s">
        <v>678</v>
      </c>
      <c r="P519" s="40" t="s">
        <v>5889</v>
      </c>
      <c r="Q519" t="s">
        <v>316</v>
      </c>
    </row>
    <row r="520" spans="1:17" x14ac:dyDescent="0.25">
      <c r="A520" s="2" t="str">
        <f>HYPERLINK("https://www.ncbi.nlm.nih.gov/pubmed/15214624","15214624")</f>
        <v>15214624</v>
      </c>
      <c r="B520">
        <f t="shared" si="33"/>
        <v>6</v>
      </c>
      <c r="C520">
        <f t="shared" si="33"/>
        <v>0</v>
      </c>
      <c r="D520">
        <f t="shared" si="33"/>
        <v>0</v>
      </c>
      <c r="E520">
        <f t="shared" si="34"/>
        <v>6</v>
      </c>
      <c r="F520">
        <v>2004</v>
      </c>
      <c r="G520" t="s">
        <v>5928</v>
      </c>
      <c r="H520">
        <v>0</v>
      </c>
      <c r="I520" s="65">
        <v>0</v>
      </c>
      <c r="J520" t="s">
        <v>5930</v>
      </c>
      <c r="K520" s="35" t="s">
        <v>5855</v>
      </c>
      <c r="L520" s="35" t="s">
        <v>5929</v>
      </c>
      <c r="M520" s="39" t="str">
        <f>HYPERLINK("http://dx.doi.org/10.1081/clt-120030948","10.1081/clt-120030948")</f>
        <v>10.1081/clt-120030948</v>
      </c>
      <c r="N520" s="40" t="s">
        <v>2803</v>
      </c>
      <c r="O520" s="40" t="s">
        <v>744</v>
      </c>
      <c r="P520" s="40" t="s">
        <v>5931</v>
      </c>
      <c r="Q520" t="s">
        <v>316</v>
      </c>
    </row>
    <row r="521" spans="1:17" x14ac:dyDescent="0.25">
      <c r="A521" s="2" t="str">
        <f>HYPERLINK("https://www.ncbi.nlm.nih.gov/pubmed/12361121","12361121")</f>
        <v>12361121</v>
      </c>
      <c r="B521">
        <f t="shared" si="33"/>
        <v>6</v>
      </c>
      <c r="C521">
        <f t="shared" si="33"/>
        <v>0</v>
      </c>
      <c r="D521">
        <f t="shared" si="33"/>
        <v>0</v>
      </c>
      <c r="E521">
        <f t="shared" si="34"/>
        <v>6</v>
      </c>
      <c r="F521">
        <v>2002</v>
      </c>
      <c r="G521" t="s">
        <v>6134</v>
      </c>
      <c r="H521">
        <v>0</v>
      </c>
      <c r="I521" s="65">
        <v>0</v>
      </c>
      <c r="J521" t="s">
        <v>6136</v>
      </c>
      <c r="K521" s="35" t="s">
        <v>6137</v>
      </c>
      <c r="L521" s="35" t="s">
        <v>6135</v>
      </c>
      <c r="M521" s="39" t="str">
        <f>HYPERLINK("http://dx.doi.org/","")</f>
        <v/>
      </c>
      <c r="N521" s="40" t="s">
        <v>2001</v>
      </c>
      <c r="O521" s="40" t="s">
        <v>746</v>
      </c>
      <c r="P521" s="40" t="s">
        <v>6138</v>
      </c>
      <c r="Q521" t="s">
        <v>316</v>
      </c>
    </row>
    <row r="522" spans="1:17" x14ac:dyDescent="0.25">
      <c r="A522" s="2" t="str">
        <f>HYPERLINK("https://www.ncbi.nlm.nih.gov/pubmed/12192904","12192904")</f>
        <v>12192904</v>
      </c>
      <c r="B522">
        <f t="shared" si="33"/>
        <v>6</v>
      </c>
      <c r="C522">
        <f t="shared" si="33"/>
        <v>0</v>
      </c>
      <c r="D522">
        <f t="shared" si="33"/>
        <v>0</v>
      </c>
      <c r="E522">
        <f t="shared" si="34"/>
        <v>6</v>
      </c>
      <c r="F522">
        <v>2002</v>
      </c>
      <c r="G522" t="s">
        <v>6143</v>
      </c>
      <c r="H522">
        <v>0</v>
      </c>
      <c r="I522" s="65">
        <v>0</v>
      </c>
      <c r="J522" t="s">
        <v>6145</v>
      </c>
      <c r="K522" s="35" t="s">
        <v>968</v>
      </c>
      <c r="L522" s="35" t="s">
        <v>6144</v>
      </c>
      <c r="M522" s="39" t="str">
        <f>HYPERLINK("http://dx.doi.org/10.1002/ps.523","10.1002/ps.523")</f>
        <v>10.1002/ps.523</v>
      </c>
      <c r="N522" s="40" t="s">
        <v>1028</v>
      </c>
      <c r="O522" s="40" t="s">
        <v>781</v>
      </c>
      <c r="P522" s="40" t="s">
        <v>6146</v>
      </c>
      <c r="Q522" t="s">
        <v>316</v>
      </c>
    </row>
    <row r="523" spans="1:17" x14ac:dyDescent="0.25">
      <c r="A523" s="2" t="str">
        <f>HYPERLINK("https://www.ncbi.nlm.nih.gov/pubmed/12118287","12118287")</f>
        <v>12118287</v>
      </c>
      <c r="B523">
        <f t="shared" si="33"/>
        <v>6</v>
      </c>
      <c r="C523">
        <f t="shared" si="33"/>
        <v>1</v>
      </c>
      <c r="D523">
        <f t="shared" si="33"/>
        <v>0</v>
      </c>
      <c r="E523">
        <f t="shared" si="34"/>
        <v>7</v>
      </c>
      <c r="F523">
        <v>2002</v>
      </c>
      <c r="G523" t="s">
        <v>6152</v>
      </c>
      <c r="H523">
        <v>0</v>
      </c>
      <c r="I523" s="65">
        <v>0</v>
      </c>
      <c r="J523" t="s">
        <v>6154</v>
      </c>
      <c r="K523" s="35" t="s">
        <v>4222</v>
      </c>
      <c r="L523" s="35" t="s">
        <v>6153</v>
      </c>
      <c r="M523" s="39" t="str">
        <f>HYPERLINK("http://dx.doi.org/10.1590/s0074-02762002000400016","10.1590/s0074-02762002000400016")</f>
        <v>10.1590/s0074-02762002000400016</v>
      </c>
      <c r="N523" s="40" t="s">
        <v>749</v>
      </c>
      <c r="O523" s="40" t="s">
        <v>690</v>
      </c>
      <c r="P523" s="40" t="s">
        <v>6155</v>
      </c>
      <c r="Q523" t="s">
        <v>316</v>
      </c>
    </row>
    <row r="524" spans="1:17" x14ac:dyDescent="0.25">
      <c r="A524" s="2" t="str">
        <f>HYPERLINK("https://www.ncbi.nlm.nih.gov/pubmed/12072220","12072220")</f>
        <v>12072220</v>
      </c>
      <c r="B524">
        <f t="shared" ref="B524:D543" si="35">IF(ISBLANK(B$3),0,(LEN($L524) - LEN(SUBSTITUTE(LOWER($L524),LOWER(B$3),"")))/LEN(B$3))</f>
        <v>6</v>
      </c>
      <c r="C524">
        <f t="shared" si="35"/>
        <v>0</v>
      </c>
      <c r="D524">
        <f t="shared" si="35"/>
        <v>0</v>
      </c>
      <c r="E524">
        <f t="shared" si="34"/>
        <v>6</v>
      </c>
      <c r="F524">
        <v>2002</v>
      </c>
      <c r="G524" t="s">
        <v>6156</v>
      </c>
      <c r="H524">
        <v>0</v>
      </c>
      <c r="I524" s="65">
        <v>0</v>
      </c>
      <c r="J524" t="s">
        <v>6157</v>
      </c>
      <c r="K524" s="35" t="s">
        <v>1052</v>
      </c>
      <c r="L524" s="35" t="s">
        <v>7235</v>
      </c>
      <c r="M524" s="39" t="str">
        <f>HYPERLINK("http://dx.doi.org/10.1016/s0304-4017(02)00090-0","10.1016/s0304-4017(02)00090-0")</f>
        <v>10.1016/s0304-4017(02)00090-0</v>
      </c>
      <c r="N524" s="40" t="s">
        <v>1990</v>
      </c>
      <c r="O524" s="40" t="s">
        <v>3531</v>
      </c>
      <c r="P524" s="40" t="s">
        <v>6158</v>
      </c>
      <c r="Q524" t="s">
        <v>316</v>
      </c>
    </row>
    <row r="525" spans="1:17" x14ac:dyDescent="0.25">
      <c r="A525" s="2" t="str">
        <f>HYPERLINK("https://www.ncbi.nlm.nih.gov/pubmed/12051802","12051802")</f>
        <v>12051802</v>
      </c>
      <c r="B525">
        <f t="shared" si="35"/>
        <v>6</v>
      </c>
      <c r="C525">
        <f t="shared" si="35"/>
        <v>0</v>
      </c>
      <c r="D525">
        <f t="shared" si="35"/>
        <v>0</v>
      </c>
      <c r="E525">
        <f t="shared" si="34"/>
        <v>6</v>
      </c>
      <c r="F525">
        <v>2002</v>
      </c>
      <c r="G525" t="s">
        <v>6163</v>
      </c>
      <c r="H525">
        <v>0</v>
      </c>
      <c r="I525" s="65">
        <v>0</v>
      </c>
      <c r="J525" t="s">
        <v>6165</v>
      </c>
      <c r="K525" s="35" t="s">
        <v>714</v>
      </c>
      <c r="L525" s="35" t="s">
        <v>6164</v>
      </c>
      <c r="M525" s="39" t="str">
        <f>HYPERLINK("http://dx.doi.org/10.1006/eesa.2002.2166","10.1006/eesa.2002.2166")</f>
        <v>10.1006/eesa.2002.2166</v>
      </c>
      <c r="N525" s="40" t="s">
        <v>756</v>
      </c>
      <c r="O525" s="40" t="s">
        <v>638</v>
      </c>
      <c r="P525" s="40" t="s">
        <v>6166</v>
      </c>
      <c r="Q525" t="s">
        <v>316</v>
      </c>
    </row>
    <row r="526" spans="1:17" x14ac:dyDescent="0.25">
      <c r="A526" s="2" t="str">
        <f>HYPERLINK("https://www.ncbi.nlm.nih.gov/pubmed/11931250","11931250")</f>
        <v>11931250</v>
      </c>
      <c r="B526">
        <f t="shared" si="35"/>
        <v>6</v>
      </c>
      <c r="C526">
        <f t="shared" si="35"/>
        <v>1</v>
      </c>
      <c r="D526">
        <f t="shared" si="35"/>
        <v>0</v>
      </c>
      <c r="E526">
        <f t="shared" si="34"/>
        <v>7</v>
      </c>
      <c r="F526">
        <v>2002</v>
      </c>
      <c r="G526" t="s">
        <v>6180</v>
      </c>
      <c r="H526">
        <v>0</v>
      </c>
      <c r="I526" s="65">
        <v>0</v>
      </c>
      <c r="J526" t="s">
        <v>6181</v>
      </c>
      <c r="K526" s="35" t="s">
        <v>1027</v>
      </c>
      <c r="L526" s="35" t="s">
        <v>7236</v>
      </c>
      <c r="M526" s="39" t="str">
        <f>HYPERLINK("http://dx.doi.org/10.1603/0022-2585-39.1.152","10.1603/0022-2585-39.1.152")</f>
        <v>10.1603/0022-2585-39.1.152</v>
      </c>
      <c r="N526" s="40" t="s">
        <v>852</v>
      </c>
      <c r="O526" s="40" t="s">
        <v>638</v>
      </c>
      <c r="P526" s="40" t="s">
        <v>4928</v>
      </c>
      <c r="Q526" t="s">
        <v>316</v>
      </c>
    </row>
    <row r="527" spans="1:17" x14ac:dyDescent="0.25">
      <c r="A527" s="2" t="str">
        <f>HYPERLINK("https://www.ncbi.nlm.nih.gov/pubmed/19753710","19753710")</f>
        <v>19753710</v>
      </c>
      <c r="B527">
        <f t="shared" si="35"/>
        <v>6</v>
      </c>
      <c r="C527">
        <f t="shared" si="35"/>
        <v>0</v>
      </c>
      <c r="D527">
        <f t="shared" si="35"/>
        <v>0</v>
      </c>
      <c r="E527">
        <f t="shared" si="34"/>
        <v>6</v>
      </c>
      <c r="F527">
        <v>2001</v>
      </c>
      <c r="G527" t="s">
        <v>6294</v>
      </c>
      <c r="H527">
        <v>0</v>
      </c>
      <c r="I527" s="65">
        <v>0</v>
      </c>
      <c r="J527" t="s">
        <v>6295</v>
      </c>
      <c r="K527" s="35" t="s">
        <v>5052</v>
      </c>
      <c r="L527" s="35" t="s">
        <v>7249</v>
      </c>
      <c r="M527" s="39" t="str">
        <f>HYPERLINK("http://dx.doi.org/","")</f>
        <v/>
      </c>
      <c r="N527" s="40" t="s">
        <v>744</v>
      </c>
      <c r="O527" s="40" t="s">
        <v>744</v>
      </c>
      <c r="P527" s="40" t="s">
        <v>6296</v>
      </c>
      <c r="Q527" t="s">
        <v>316</v>
      </c>
    </row>
    <row r="528" spans="1:17" x14ac:dyDescent="0.25">
      <c r="A528" s="2" t="str">
        <f>HYPERLINK("https://www.ncbi.nlm.nih.gov/pubmed/11233133","11233133")</f>
        <v>11233133</v>
      </c>
      <c r="B528">
        <f t="shared" si="35"/>
        <v>6</v>
      </c>
      <c r="C528">
        <f t="shared" si="35"/>
        <v>0</v>
      </c>
      <c r="D528">
        <f t="shared" si="35"/>
        <v>0</v>
      </c>
      <c r="E528">
        <f t="shared" si="34"/>
        <v>6</v>
      </c>
      <c r="F528">
        <v>2001</v>
      </c>
      <c r="G528" t="s">
        <v>6305</v>
      </c>
      <c r="H528">
        <v>0</v>
      </c>
      <c r="I528" s="65">
        <v>0</v>
      </c>
      <c r="J528" t="s">
        <v>6306</v>
      </c>
      <c r="K528" s="35" t="s">
        <v>909</v>
      </c>
      <c r="L528" s="35" t="s">
        <v>7252</v>
      </c>
      <c r="M528" s="39" t="str">
        <f>HYPERLINK("http://dx.doi.org/10.1603/0022-0493-94.1.55","10.1603/0022-0493-94.1.55")</f>
        <v>10.1603/0022-0493-94.1.55</v>
      </c>
      <c r="N528" s="40" t="s">
        <v>1562</v>
      </c>
      <c r="O528" s="40" t="s">
        <v>638</v>
      </c>
      <c r="P528" s="40" t="s">
        <v>6307</v>
      </c>
      <c r="Q528" t="s">
        <v>316</v>
      </c>
    </row>
    <row r="529" spans="1:17" x14ac:dyDescent="0.25">
      <c r="A529" s="2" t="str">
        <f>HYPERLINK("https://www.ncbi.nlm.nih.gov/pubmed/11110457","11110457")</f>
        <v>11110457</v>
      </c>
      <c r="B529">
        <f t="shared" si="35"/>
        <v>6</v>
      </c>
      <c r="C529">
        <f t="shared" si="35"/>
        <v>6</v>
      </c>
      <c r="D529">
        <f t="shared" si="35"/>
        <v>0</v>
      </c>
      <c r="E529">
        <f t="shared" si="34"/>
        <v>12</v>
      </c>
      <c r="F529">
        <v>2000</v>
      </c>
      <c r="G529" t="s">
        <v>6320</v>
      </c>
      <c r="H529">
        <v>0</v>
      </c>
      <c r="I529" s="65">
        <v>0</v>
      </c>
      <c r="J529" t="s">
        <v>6321</v>
      </c>
      <c r="K529" s="35" t="s">
        <v>1649</v>
      </c>
      <c r="L529" s="35" t="s">
        <v>7255</v>
      </c>
      <c r="M529" s="39" t="str">
        <f>HYPERLINK("http://dx.doi.org/10.2460/javma.2000.217.1669","10.2460/javma.2000.217.1669")</f>
        <v>10.2460/javma.2000.217.1669</v>
      </c>
      <c r="N529" s="40" t="s">
        <v>6322</v>
      </c>
      <c r="O529" s="40" t="s">
        <v>678</v>
      </c>
      <c r="P529" s="40" t="s">
        <v>6323</v>
      </c>
      <c r="Q529" t="s">
        <v>316</v>
      </c>
    </row>
    <row r="530" spans="1:17" x14ac:dyDescent="0.25">
      <c r="A530" s="2" t="str">
        <f>HYPERLINK("https://www.ncbi.nlm.nih.gov/pubmed/11110456","11110456")</f>
        <v>11110456</v>
      </c>
      <c r="B530">
        <f t="shared" si="35"/>
        <v>6</v>
      </c>
      <c r="C530">
        <f t="shared" si="35"/>
        <v>4</v>
      </c>
      <c r="D530">
        <f t="shared" si="35"/>
        <v>0</v>
      </c>
      <c r="E530">
        <f t="shared" si="34"/>
        <v>10</v>
      </c>
      <c r="F530">
        <v>2000</v>
      </c>
      <c r="G530" t="s">
        <v>6324</v>
      </c>
      <c r="H530">
        <v>0</v>
      </c>
      <c r="I530" s="65">
        <v>0</v>
      </c>
      <c r="J530" t="s">
        <v>6321</v>
      </c>
      <c r="K530" s="35" t="s">
        <v>1649</v>
      </c>
      <c r="L530" s="35" t="s">
        <v>6325</v>
      </c>
      <c r="M530" s="39" t="str">
        <f>HYPERLINK("http://dx.doi.org/10.2460/javma.2000.217.1666","10.2460/javma.2000.217.1666")</f>
        <v>10.2460/javma.2000.217.1666</v>
      </c>
      <c r="N530" s="40" t="s">
        <v>6322</v>
      </c>
      <c r="O530" s="40" t="s">
        <v>678</v>
      </c>
      <c r="P530" s="40" t="s">
        <v>6326</v>
      </c>
      <c r="Q530" t="s">
        <v>316</v>
      </c>
    </row>
    <row r="531" spans="1:17" x14ac:dyDescent="0.25">
      <c r="A531" s="2" t="str">
        <f>HYPERLINK("https://www.ncbi.nlm.nih.gov/pubmed/11027862","11027862")</f>
        <v>11027862</v>
      </c>
      <c r="B531">
        <f t="shared" si="35"/>
        <v>6</v>
      </c>
      <c r="C531">
        <f t="shared" si="35"/>
        <v>0</v>
      </c>
      <c r="D531">
        <f t="shared" si="35"/>
        <v>0</v>
      </c>
      <c r="E531">
        <f t="shared" si="34"/>
        <v>6</v>
      </c>
      <c r="F531">
        <v>2000</v>
      </c>
      <c r="G531" t="s">
        <v>6331</v>
      </c>
      <c r="H531">
        <v>0</v>
      </c>
      <c r="I531" s="65">
        <v>0</v>
      </c>
      <c r="J531" t="s">
        <v>6333</v>
      </c>
      <c r="K531" s="35" t="s">
        <v>1052</v>
      </c>
      <c r="L531" s="35" t="s">
        <v>6332</v>
      </c>
      <c r="M531" s="39" t="str">
        <f>HYPERLINK("http://dx.doi.org/10.1016/s0304-4017(00)00318-6","10.1016/s0304-4017(00)00318-6")</f>
        <v>10.1016/s0304-4017(00)00318-6</v>
      </c>
      <c r="N531" s="40" t="s">
        <v>1900</v>
      </c>
      <c r="O531" s="40" t="s">
        <v>638</v>
      </c>
      <c r="P531" s="40" t="s">
        <v>732</v>
      </c>
      <c r="Q531" t="s">
        <v>316</v>
      </c>
    </row>
    <row r="532" spans="1:17" x14ac:dyDescent="0.25">
      <c r="A532" s="2" t="str">
        <f>HYPERLINK("https://www.ncbi.nlm.nih.gov/pubmed/10212398","10212398")</f>
        <v>10212398</v>
      </c>
      <c r="B532">
        <f t="shared" si="35"/>
        <v>6</v>
      </c>
      <c r="C532">
        <f t="shared" si="35"/>
        <v>0</v>
      </c>
      <c r="D532">
        <f t="shared" si="35"/>
        <v>0</v>
      </c>
      <c r="E532">
        <f t="shared" si="34"/>
        <v>6</v>
      </c>
      <c r="F532">
        <v>1998</v>
      </c>
      <c r="G532" t="s">
        <v>6400</v>
      </c>
      <c r="H532">
        <v>0</v>
      </c>
      <c r="I532" s="65">
        <v>0</v>
      </c>
      <c r="J532" t="s">
        <v>6401</v>
      </c>
      <c r="K532" s="35" t="s">
        <v>5039</v>
      </c>
      <c r="L532" s="35" t="s">
        <v>7262</v>
      </c>
      <c r="M532" s="39" t="str">
        <f>HYPERLINK("http://dx.doi.org/10.1007/BF02577690","10.1007/BF02577690")</f>
        <v>10.1007/BF02577690</v>
      </c>
      <c r="N532" s="40" t="s">
        <v>750</v>
      </c>
      <c r="O532" s="40" t="s">
        <v>690</v>
      </c>
      <c r="P532" s="40" t="s">
        <v>6402</v>
      </c>
      <c r="Q532" t="s">
        <v>316</v>
      </c>
    </row>
    <row r="533" spans="1:17" x14ac:dyDescent="0.25">
      <c r="A533" s="2" t="str">
        <f>HYPERLINK("https://www.ncbi.nlm.nih.gov/pubmed/9631359","9631359")</f>
        <v>9631359</v>
      </c>
      <c r="B533">
        <f t="shared" si="35"/>
        <v>6</v>
      </c>
      <c r="C533">
        <f t="shared" si="35"/>
        <v>0</v>
      </c>
      <c r="D533">
        <f t="shared" si="35"/>
        <v>0</v>
      </c>
      <c r="E533">
        <f t="shared" si="34"/>
        <v>6</v>
      </c>
      <c r="F533">
        <v>1998</v>
      </c>
      <c r="G533" t="s">
        <v>6423</v>
      </c>
      <c r="H533">
        <v>0</v>
      </c>
      <c r="I533" s="65">
        <v>0</v>
      </c>
      <c r="J533" t="s">
        <v>6425</v>
      </c>
      <c r="K533" s="35" t="s">
        <v>6084</v>
      </c>
      <c r="L533" s="35" t="s">
        <v>6424</v>
      </c>
      <c r="M533" s="39" t="str">
        <f>HYPERLINK("http://dx.doi.org/10.1111/j.1748-5827.1998.tb03641.x","10.1111/j.1748-5827.1998.tb03641.x")</f>
        <v>10.1111/j.1748-5827.1998.tb03641.x</v>
      </c>
      <c r="N533" s="40" t="s">
        <v>852</v>
      </c>
      <c r="O533" s="40" t="s">
        <v>746</v>
      </c>
      <c r="P533" s="40" t="s">
        <v>6426</v>
      </c>
      <c r="Q533" t="s">
        <v>316</v>
      </c>
    </row>
    <row r="534" spans="1:17" x14ac:dyDescent="0.25">
      <c r="A534" s="2" t="str">
        <f>HYPERLINK("https://www.ncbi.nlm.nih.gov/pubmed/8917493","8917493")</f>
        <v>8917493</v>
      </c>
      <c r="B534">
        <f t="shared" si="35"/>
        <v>6</v>
      </c>
      <c r="C534">
        <f t="shared" si="35"/>
        <v>0</v>
      </c>
      <c r="D534">
        <f t="shared" si="35"/>
        <v>0</v>
      </c>
      <c r="E534">
        <f t="shared" si="34"/>
        <v>6</v>
      </c>
      <c r="F534">
        <v>1996</v>
      </c>
      <c r="G534" t="s">
        <v>6462</v>
      </c>
      <c r="H534">
        <v>0</v>
      </c>
      <c r="I534" s="64" t="str">
        <f>HYPERLINK("https://www.ncbi.nlm.nih.gov/research/pubtator/?view=docsum&amp;query=PMC23994","1")</f>
        <v>1</v>
      </c>
      <c r="J534" t="s">
        <v>6464</v>
      </c>
      <c r="K534" s="35" t="s">
        <v>1947</v>
      </c>
      <c r="L534" s="35" t="s">
        <v>6463</v>
      </c>
      <c r="M534" s="39" t="str">
        <f>HYPERLINK("http://dx.doi.org/10.1073/pnas.93.23.12764","10.1073/pnas.93.23.12764")</f>
        <v>10.1073/pnas.93.23.12764</v>
      </c>
      <c r="N534" s="40" t="s">
        <v>1900</v>
      </c>
      <c r="O534" s="40" t="s">
        <v>737</v>
      </c>
      <c r="P534" s="40" t="s">
        <v>6465</v>
      </c>
      <c r="Q534" t="s">
        <v>316</v>
      </c>
    </row>
    <row r="535" spans="1:17" x14ac:dyDescent="0.25">
      <c r="A535" s="2" t="str">
        <f>HYPERLINK("https://www.ncbi.nlm.nih.gov/pubmed/33982404","33982404")</f>
        <v>33982404</v>
      </c>
      <c r="B535">
        <f t="shared" si="35"/>
        <v>5</v>
      </c>
      <c r="C535">
        <f t="shared" si="35"/>
        <v>0</v>
      </c>
      <c r="D535">
        <f t="shared" si="35"/>
        <v>0</v>
      </c>
      <c r="E535">
        <f t="shared" si="34"/>
        <v>5</v>
      </c>
      <c r="F535">
        <v>2021</v>
      </c>
      <c r="G535" t="s">
        <v>965</v>
      </c>
      <c r="H535">
        <v>0</v>
      </c>
      <c r="I535" s="65">
        <v>0</v>
      </c>
      <c r="J535" t="s">
        <v>967</v>
      </c>
      <c r="K535" s="35" t="s">
        <v>968</v>
      </c>
      <c r="L535" s="35" t="s">
        <v>966</v>
      </c>
      <c r="M535" s="39" t="str">
        <f>HYPERLINK("http://dx.doi.org/10.1002/ps.6475","10.1002/ps.6475")</f>
        <v>10.1002/ps.6475</v>
      </c>
      <c r="N535" s="40" t="s">
        <v>383</v>
      </c>
      <c r="O535" s="40" t="s">
        <v>383</v>
      </c>
      <c r="P535" s="40" t="s">
        <v>383</v>
      </c>
      <c r="Q535" t="s">
        <v>316</v>
      </c>
    </row>
    <row r="536" spans="1:17" x14ac:dyDescent="0.25">
      <c r="A536" s="2" t="str">
        <f>HYPERLINK("https://www.ncbi.nlm.nih.gov/pubmed/33964773","33964773")</f>
        <v>33964773</v>
      </c>
      <c r="B536">
        <f t="shared" si="35"/>
        <v>5</v>
      </c>
      <c r="C536">
        <f t="shared" si="35"/>
        <v>0</v>
      </c>
      <c r="D536">
        <f t="shared" si="35"/>
        <v>0</v>
      </c>
      <c r="E536">
        <f t="shared" si="34"/>
        <v>5</v>
      </c>
      <c r="F536">
        <v>2021</v>
      </c>
      <c r="G536" t="s">
        <v>973</v>
      </c>
      <c r="H536">
        <v>0</v>
      </c>
      <c r="I536" s="65">
        <v>0</v>
      </c>
      <c r="J536" t="s">
        <v>974</v>
      </c>
      <c r="K536" s="35" t="s">
        <v>670</v>
      </c>
      <c r="L536" s="35" t="s">
        <v>6547</v>
      </c>
      <c r="M536" s="39" t="str">
        <f>HYPERLINK("http://dx.doi.org/10.1016/j.scitotenv.2021.147342","10.1016/j.scitotenv.2021.147342")</f>
        <v>10.1016/j.scitotenv.2021.147342</v>
      </c>
      <c r="N536" s="40" t="s">
        <v>975</v>
      </c>
      <c r="O536" s="40" t="s">
        <v>383</v>
      </c>
      <c r="P536" s="40" t="s">
        <v>976</v>
      </c>
      <c r="Q536" t="s">
        <v>316</v>
      </c>
    </row>
    <row r="537" spans="1:17" x14ac:dyDescent="0.25">
      <c r="A537" s="2" t="str">
        <f>HYPERLINK("https://www.ncbi.nlm.nih.gov/pubmed/33733415","33733415")</f>
        <v>33733415</v>
      </c>
      <c r="B537">
        <f t="shared" si="35"/>
        <v>5</v>
      </c>
      <c r="C537">
        <f t="shared" si="35"/>
        <v>1</v>
      </c>
      <c r="D537">
        <f t="shared" si="35"/>
        <v>0</v>
      </c>
      <c r="E537">
        <f t="shared" si="34"/>
        <v>6</v>
      </c>
      <c r="F537">
        <v>2021</v>
      </c>
      <c r="G537" t="s">
        <v>1046</v>
      </c>
      <c r="H537">
        <v>0</v>
      </c>
      <c r="I537" s="65">
        <v>0</v>
      </c>
      <c r="J537" t="s">
        <v>1048</v>
      </c>
      <c r="K537" s="35" t="s">
        <v>810</v>
      </c>
      <c r="L537" s="35" t="s">
        <v>1047</v>
      </c>
      <c r="M537" s="39" t="str">
        <f>HYPERLINK("http://dx.doi.org/10.1007/s11356-021-13296-9","10.1007/s11356-021-13296-9")</f>
        <v>10.1007/s11356-021-13296-9</v>
      </c>
      <c r="N537" s="40" t="s">
        <v>731</v>
      </c>
      <c r="O537" s="40" t="s">
        <v>731</v>
      </c>
      <c r="P537" s="40" t="s">
        <v>1049</v>
      </c>
      <c r="Q537" t="s">
        <v>316</v>
      </c>
    </row>
    <row r="538" spans="1:17" x14ac:dyDescent="0.25">
      <c r="A538" s="2" t="str">
        <f>HYPERLINK("https://www.ncbi.nlm.nih.gov/pubmed/33304195","33304195")</f>
        <v>33304195</v>
      </c>
      <c r="B538">
        <f t="shared" si="35"/>
        <v>5</v>
      </c>
      <c r="C538">
        <f t="shared" si="35"/>
        <v>0</v>
      </c>
      <c r="D538">
        <f t="shared" si="35"/>
        <v>0</v>
      </c>
      <c r="E538">
        <f t="shared" si="34"/>
        <v>5</v>
      </c>
      <c r="F538">
        <v>2020</v>
      </c>
      <c r="G538" t="s">
        <v>1193</v>
      </c>
      <c r="H538">
        <v>0</v>
      </c>
      <c r="I538" s="64" t="str">
        <f>HYPERLINK("https://www.ncbi.nlm.nih.gov/research/pubtator/?view=docsum&amp;query=PMC7691561","1")</f>
        <v>1</v>
      </c>
      <c r="J538" t="s">
        <v>1195</v>
      </c>
      <c r="K538" s="35" t="s">
        <v>1196</v>
      </c>
      <c r="L538" s="35" t="s">
        <v>1194</v>
      </c>
      <c r="M538" s="39" t="str">
        <f>HYPERLINK("http://dx.doi.org/10.1584/jpestics.D20-044","10.1584/jpestics.D20-044")</f>
        <v>10.1584/jpestics.D20-044</v>
      </c>
      <c r="N538" s="40" t="s">
        <v>765</v>
      </c>
      <c r="O538" s="40" t="s">
        <v>690</v>
      </c>
      <c r="P538" s="40" t="s">
        <v>1197</v>
      </c>
      <c r="Q538" t="s">
        <v>316</v>
      </c>
    </row>
    <row r="539" spans="1:17" x14ac:dyDescent="0.25">
      <c r="A539" s="2" t="str">
        <f>HYPERLINK("https://www.ncbi.nlm.nih.gov/pubmed/33247360","33247360")</f>
        <v>33247360</v>
      </c>
      <c r="B539">
        <f t="shared" si="35"/>
        <v>5</v>
      </c>
      <c r="C539">
        <f t="shared" si="35"/>
        <v>1</v>
      </c>
      <c r="D539">
        <f t="shared" si="35"/>
        <v>0</v>
      </c>
      <c r="E539">
        <f t="shared" si="34"/>
        <v>6</v>
      </c>
      <c r="F539">
        <v>2020</v>
      </c>
      <c r="G539" t="s">
        <v>1202</v>
      </c>
      <c r="H539">
        <v>0</v>
      </c>
      <c r="I539" s="65">
        <v>0</v>
      </c>
      <c r="J539" t="s">
        <v>1203</v>
      </c>
      <c r="K539" s="35" t="s">
        <v>1013</v>
      </c>
      <c r="L539" s="35" t="s">
        <v>6573</v>
      </c>
      <c r="M539" s="39" t="str">
        <f>HYPERLINK("http://dx.doi.org/10.1007/s10661-020-08776-3","10.1007/s10661-020-08776-3")</f>
        <v>10.1007/s10661-020-08776-3</v>
      </c>
      <c r="N539" s="40" t="s">
        <v>761</v>
      </c>
      <c r="O539" s="40" t="s">
        <v>915</v>
      </c>
      <c r="P539" s="40" t="s">
        <v>1204</v>
      </c>
      <c r="Q539" t="s">
        <v>316</v>
      </c>
    </row>
    <row r="540" spans="1:17" x14ac:dyDescent="0.25">
      <c r="A540" s="2" t="str">
        <f>HYPERLINK("https://www.ncbi.nlm.nih.gov/pubmed/33155657","33155657")</f>
        <v>33155657</v>
      </c>
      <c r="B540">
        <f t="shared" si="35"/>
        <v>5</v>
      </c>
      <c r="C540">
        <f t="shared" si="35"/>
        <v>0</v>
      </c>
      <c r="D540">
        <f t="shared" si="35"/>
        <v>0</v>
      </c>
      <c r="E540">
        <f t="shared" si="34"/>
        <v>5</v>
      </c>
      <c r="F540">
        <v>2021</v>
      </c>
      <c r="G540" t="s">
        <v>1234</v>
      </c>
      <c r="H540">
        <v>0</v>
      </c>
      <c r="I540" s="65">
        <v>0</v>
      </c>
      <c r="J540" t="s">
        <v>1235</v>
      </c>
      <c r="K540" s="35" t="s">
        <v>1027</v>
      </c>
      <c r="L540" s="35" t="s">
        <v>6578</v>
      </c>
      <c r="M540" s="39" t="str">
        <f>HYPERLINK("http://dx.doi.org/10.1093/jme/tjaa201","10.1093/jme/tjaa201")</f>
        <v>10.1093/jme/tjaa201</v>
      </c>
      <c r="N540" s="40" t="s">
        <v>1028</v>
      </c>
      <c r="O540" s="40" t="s">
        <v>744</v>
      </c>
      <c r="P540" s="40" t="s">
        <v>1236</v>
      </c>
      <c r="Q540" t="s">
        <v>316</v>
      </c>
    </row>
    <row r="541" spans="1:17" x14ac:dyDescent="0.25">
      <c r="A541" s="2" t="str">
        <f>HYPERLINK("https://www.ncbi.nlm.nih.gov/pubmed/33068908","33068908")</f>
        <v>33068908</v>
      </c>
      <c r="B541">
        <f t="shared" si="35"/>
        <v>5</v>
      </c>
      <c r="C541">
        <f t="shared" si="35"/>
        <v>0</v>
      </c>
      <c r="D541">
        <f t="shared" si="35"/>
        <v>0</v>
      </c>
      <c r="E541">
        <f t="shared" si="34"/>
        <v>5</v>
      </c>
      <c r="F541">
        <v>2021</v>
      </c>
      <c r="G541" t="s">
        <v>1287</v>
      </c>
      <c r="H541">
        <v>0</v>
      </c>
      <c r="I541" s="65">
        <v>0</v>
      </c>
      <c r="J541" t="s">
        <v>1288</v>
      </c>
      <c r="K541" s="35" t="s">
        <v>1289</v>
      </c>
      <c r="L541" s="35" t="s">
        <v>6585</v>
      </c>
      <c r="M541" s="39" t="str">
        <f>HYPERLINK("http://dx.doi.org/10.1016/j.watres.2020.116510","10.1016/j.watres.2020.116510")</f>
        <v>10.1016/j.watres.2020.116510</v>
      </c>
      <c r="N541" s="40" t="s">
        <v>1290</v>
      </c>
      <c r="O541" s="40" t="s">
        <v>383</v>
      </c>
      <c r="P541" s="40" t="s">
        <v>1291</v>
      </c>
      <c r="Q541" t="s">
        <v>316</v>
      </c>
    </row>
    <row r="542" spans="1:17" x14ac:dyDescent="0.25">
      <c r="A542" s="2" t="str">
        <f>HYPERLINK("https://www.ncbi.nlm.nih.gov/pubmed/33032197","33032197")</f>
        <v>33032197</v>
      </c>
      <c r="B542">
        <f t="shared" si="35"/>
        <v>5</v>
      </c>
      <c r="C542">
        <f t="shared" si="35"/>
        <v>0</v>
      </c>
      <c r="D542">
        <f t="shared" si="35"/>
        <v>0</v>
      </c>
      <c r="E542">
        <f t="shared" si="34"/>
        <v>5</v>
      </c>
      <c r="F542">
        <v>2020</v>
      </c>
      <c r="G542" t="s">
        <v>1310</v>
      </c>
      <c r="H542">
        <v>0</v>
      </c>
      <c r="I542" s="65">
        <v>0</v>
      </c>
      <c r="J542" t="s">
        <v>1311</v>
      </c>
      <c r="K542" s="35" t="s">
        <v>1312</v>
      </c>
      <c r="L542" s="35" t="s">
        <v>6588</v>
      </c>
      <c r="M542" s="39" t="str">
        <f>HYPERLINK("http://dx.doi.org/10.1016/j.bios.2020.112677","10.1016/j.bios.2020.112677")</f>
        <v>10.1016/j.bios.2020.112677</v>
      </c>
      <c r="N542" s="40" t="s">
        <v>1313</v>
      </c>
      <c r="O542" s="40" t="s">
        <v>383</v>
      </c>
      <c r="P542" s="40" t="s">
        <v>1314</v>
      </c>
      <c r="Q542" t="s">
        <v>316</v>
      </c>
    </row>
    <row r="543" spans="1:17" x14ac:dyDescent="0.25">
      <c r="A543" s="2" t="str">
        <f>HYPERLINK("https://www.ncbi.nlm.nih.gov/pubmed/32861006","32861006")</f>
        <v>32861006</v>
      </c>
      <c r="B543">
        <f t="shared" si="35"/>
        <v>5</v>
      </c>
      <c r="C543">
        <f t="shared" si="35"/>
        <v>0</v>
      </c>
      <c r="D543">
        <f t="shared" si="35"/>
        <v>0</v>
      </c>
      <c r="E543">
        <f t="shared" si="34"/>
        <v>5</v>
      </c>
      <c r="F543">
        <v>2020</v>
      </c>
      <c r="G543" t="s">
        <v>1382</v>
      </c>
      <c r="H543">
        <v>0</v>
      </c>
      <c r="I543" s="65">
        <v>0</v>
      </c>
      <c r="J543" t="s">
        <v>1383</v>
      </c>
      <c r="K543" s="35" t="s">
        <v>714</v>
      </c>
      <c r="L543" s="35" t="s">
        <v>6598</v>
      </c>
      <c r="M543" s="39" t="str">
        <f>HYPERLINK("http://dx.doi.org/10.1016/j.ecoenv.2020.111180","10.1016/j.ecoenv.2020.111180")</f>
        <v>10.1016/j.ecoenv.2020.111180</v>
      </c>
      <c r="N543" s="40" t="s">
        <v>1384</v>
      </c>
      <c r="O543" s="40" t="s">
        <v>383</v>
      </c>
      <c r="P543" s="40" t="s">
        <v>1385</v>
      </c>
      <c r="Q543" t="s">
        <v>316</v>
      </c>
    </row>
    <row r="544" spans="1:17" x14ac:dyDescent="0.25">
      <c r="A544" s="2" t="str">
        <f>HYPERLINK("https://www.ncbi.nlm.nih.gov/pubmed/32811300","32811300")</f>
        <v>32811300</v>
      </c>
      <c r="B544">
        <f t="shared" ref="B544:D563" si="36">IF(ISBLANK(B$3),0,(LEN($L544) - LEN(SUBSTITUTE(LOWER($L544),LOWER(B$3),"")))/LEN(B$3))</f>
        <v>5</v>
      </c>
      <c r="C544">
        <f t="shared" si="36"/>
        <v>0</v>
      </c>
      <c r="D544">
        <f t="shared" si="36"/>
        <v>0</v>
      </c>
      <c r="E544">
        <f t="shared" si="34"/>
        <v>5</v>
      </c>
      <c r="F544">
        <v>2020</v>
      </c>
      <c r="G544" t="s">
        <v>1410</v>
      </c>
      <c r="H544">
        <v>0</v>
      </c>
      <c r="I544" s="65">
        <v>0</v>
      </c>
      <c r="J544" t="s">
        <v>1412</v>
      </c>
      <c r="K544" s="35" t="s">
        <v>1413</v>
      </c>
      <c r="L544" s="35" t="s">
        <v>1411</v>
      </c>
      <c r="M544" s="39" t="str">
        <f>HYPERLINK("http://dx.doi.org/10.1080/03601234.2020.1808417","10.1080/03601234.2020.1808417")</f>
        <v>10.1080/03601234.2020.1808417</v>
      </c>
      <c r="N544" s="40" t="s">
        <v>1059</v>
      </c>
      <c r="O544" s="40" t="s">
        <v>915</v>
      </c>
      <c r="P544" s="40" t="s">
        <v>1414</v>
      </c>
      <c r="Q544" t="s">
        <v>316</v>
      </c>
    </row>
    <row r="545" spans="1:17" x14ac:dyDescent="0.25">
      <c r="A545" s="2" t="str">
        <f>HYPERLINK("https://www.ncbi.nlm.nih.gov/pubmed/32697393","32697393")</f>
        <v>32697393</v>
      </c>
      <c r="B545">
        <f t="shared" si="36"/>
        <v>5</v>
      </c>
      <c r="C545">
        <f t="shared" si="36"/>
        <v>0</v>
      </c>
      <c r="D545">
        <f t="shared" si="36"/>
        <v>0</v>
      </c>
      <c r="E545">
        <f t="shared" si="34"/>
        <v>5</v>
      </c>
      <c r="F545">
        <v>2020</v>
      </c>
      <c r="G545" t="s">
        <v>1464</v>
      </c>
      <c r="H545">
        <v>0</v>
      </c>
      <c r="I545" s="65">
        <v>0</v>
      </c>
      <c r="J545" t="s">
        <v>1465</v>
      </c>
      <c r="K545" s="35" t="s">
        <v>1466</v>
      </c>
      <c r="L545" s="35" t="s">
        <v>6614</v>
      </c>
      <c r="M545" s="39" t="str">
        <f>HYPERLINK("http://dx.doi.org/10.1111/mve.12462","10.1111/mve.12462")</f>
        <v>10.1111/mve.12462</v>
      </c>
      <c r="N545" s="40" t="s">
        <v>1467</v>
      </c>
      <c r="O545" s="40" t="s">
        <v>690</v>
      </c>
      <c r="P545" s="40" t="s">
        <v>1468</v>
      </c>
      <c r="Q545" t="s">
        <v>316</v>
      </c>
    </row>
    <row r="546" spans="1:17" x14ac:dyDescent="0.25">
      <c r="A546" s="2" t="str">
        <f>HYPERLINK("https://www.ncbi.nlm.nih.gov/pubmed/32497845","32497845")</f>
        <v>32497845</v>
      </c>
      <c r="B546">
        <f t="shared" si="36"/>
        <v>5</v>
      </c>
      <c r="C546">
        <f t="shared" si="36"/>
        <v>0</v>
      </c>
      <c r="D546">
        <f t="shared" si="36"/>
        <v>0</v>
      </c>
      <c r="E546">
        <f t="shared" si="34"/>
        <v>5</v>
      </c>
      <c r="F546">
        <v>2020</v>
      </c>
      <c r="G546" t="s">
        <v>1500</v>
      </c>
      <c r="H546">
        <v>0</v>
      </c>
      <c r="I546" s="65">
        <v>0</v>
      </c>
      <c r="J546" t="s">
        <v>1501</v>
      </c>
      <c r="K546" s="35" t="s">
        <v>786</v>
      </c>
      <c r="L546" s="35" t="s">
        <v>6619</v>
      </c>
      <c r="M546" s="39" t="str">
        <f>HYPERLINK("http://dx.doi.org/10.1016/j.foodchem.2020.127159","10.1016/j.foodchem.2020.127159")</f>
        <v>10.1016/j.foodchem.2020.127159</v>
      </c>
      <c r="N546" s="40" t="s">
        <v>1502</v>
      </c>
      <c r="O546" s="40" t="s">
        <v>383</v>
      </c>
      <c r="P546" s="40" t="s">
        <v>1503</v>
      </c>
      <c r="Q546" t="s">
        <v>316</v>
      </c>
    </row>
    <row r="547" spans="1:17" x14ac:dyDescent="0.25">
      <c r="A547" s="2" t="str">
        <f>HYPERLINK("https://www.ncbi.nlm.nih.gov/pubmed/32224362","32224362")</f>
        <v>32224362</v>
      </c>
      <c r="B547">
        <f t="shared" si="36"/>
        <v>5</v>
      </c>
      <c r="C547">
        <f t="shared" si="36"/>
        <v>0</v>
      </c>
      <c r="D547">
        <f t="shared" si="36"/>
        <v>0</v>
      </c>
      <c r="E547">
        <f t="shared" si="34"/>
        <v>5</v>
      </c>
      <c r="F547">
        <v>2020</v>
      </c>
      <c r="G547" t="s">
        <v>1570</v>
      </c>
      <c r="H547">
        <v>0</v>
      </c>
      <c r="I547" s="65">
        <v>0</v>
      </c>
      <c r="J547" t="s">
        <v>1572</v>
      </c>
      <c r="K547" s="35" t="s">
        <v>822</v>
      </c>
      <c r="L547" s="35" t="s">
        <v>1571</v>
      </c>
      <c r="M547" s="39" t="str">
        <f>HYPERLINK("http://dx.doi.org/10.1016/j.chemosphere.2020.126572","10.1016/j.chemosphere.2020.126572")</f>
        <v>10.1016/j.chemosphere.2020.126572</v>
      </c>
      <c r="N547" s="40" t="s">
        <v>1573</v>
      </c>
      <c r="O547" s="40" t="s">
        <v>383</v>
      </c>
      <c r="P547" s="40" t="s">
        <v>1574</v>
      </c>
      <c r="Q547" t="s">
        <v>316</v>
      </c>
    </row>
    <row r="548" spans="1:17" x14ac:dyDescent="0.25">
      <c r="A548" s="2" t="str">
        <f>HYPERLINK("https://www.ncbi.nlm.nih.gov/pubmed/31956242","31956242")</f>
        <v>31956242</v>
      </c>
      <c r="B548">
        <f t="shared" si="36"/>
        <v>5</v>
      </c>
      <c r="C548">
        <f t="shared" si="36"/>
        <v>0</v>
      </c>
      <c r="D548">
        <f t="shared" si="36"/>
        <v>0</v>
      </c>
      <c r="E548">
        <f t="shared" si="34"/>
        <v>5</v>
      </c>
      <c r="F548">
        <v>2019</v>
      </c>
      <c r="G548" t="s">
        <v>1652</v>
      </c>
      <c r="H548">
        <v>0</v>
      </c>
      <c r="I548" s="65">
        <v>0</v>
      </c>
      <c r="J548" t="s">
        <v>1654</v>
      </c>
      <c r="K548" s="35" t="s">
        <v>1247</v>
      </c>
      <c r="L548" s="35" t="s">
        <v>1653</v>
      </c>
      <c r="M548" s="39" t="str">
        <f>HYPERLINK("http://dx.doi.org/10.3358/shokueishi.60.154","10.3358/shokueishi.60.154")</f>
        <v>10.3358/shokueishi.60.154</v>
      </c>
      <c r="N548" s="40" t="s">
        <v>1655</v>
      </c>
      <c r="O548" s="40" t="s">
        <v>746</v>
      </c>
      <c r="P548" s="40" t="s">
        <v>1656</v>
      </c>
      <c r="Q548" t="s">
        <v>316</v>
      </c>
    </row>
    <row r="549" spans="1:17" x14ac:dyDescent="0.25">
      <c r="A549" s="2" t="str">
        <f>HYPERLINK("https://www.ncbi.nlm.nih.gov/pubmed/31889272","31889272")</f>
        <v>31889272</v>
      </c>
      <c r="B549">
        <f t="shared" si="36"/>
        <v>5</v>
      </c>
      <c r="C549">
        <f t="shared" si="36"/>
        <v>6</v>
      </c>
      <c r="D549">
        <f t="shared" si="36"/>
        <v>0</v>
      </c>
      <c r="E549">
        <f t="shared" si="34"/>
        <v>11</v>
      </c>
      <c r="F549">
        <v>2020</v>
      </c>
      <c r="G549" t="s">
        <v>1670</v>
      </c>
      <c r="H549">
        <v>0</v>
      </c>
      <c r="I549" s="65">
        <v>0</v>
      </c>
      <c r="J549" t="s">
        <v>1671</v>
      </c>
      <c r="K549" s="35" t="s">
        <v>810</v>
      </c>
      <c r="L549" s="35" t="s">
        <v>6638</v>
      </c>
      <c r="M549" s="39" t="str">
        <f>HYPERLINK("http://dx.doi.org/10.1007/s11356-019-06579-9","10.1007/s11356-019-06579-9")</f>
        <v>10.1007/s11356-019-06579-9</v>
      </c>
      <c r="N549" s="40" t="s">
        <v>1116</v>
      </c>
      <c r="O549" s="40" t="s">
        <v>781</v>
      </c>
      <c r="P549" s="40" t="s">
        <v>1672</v>
      </c>
      <c r="Q549" t="s">
        <v>316</v>
      </c>
    </row>
    <row r="550" spans="1:17" x14ac:dyDescent="0.25">
      <c r="A550" s="2" t="str">
        <f>HYPERLINK("https://www.ncbi.nlm.nih.gov/pubmed/31765865","31765865")</f>
        <v>31765865</v>
      </c>
      <c r="B550">
        <f t="shared" si="36"/>
        <v>5</v>
      </c>
      <c r="C550">
        <f t="shared" si="36"/>
        <v>2</v>
      </c>
      <c r="D550">
        <f t="shared" si="36"/>
        <v>0</v>
      </c>
      <c r="E550">
        <f t="shared" si="34"/>
        <v>7</v>
      </c>
      <c r="F550">
        <v>2019</v>
      </c>
      <c r="G550" t="s">
        <v>1752</v>
      </c>
      <c r="H550">
        <v>0</v>
      </c>
      <c r="I550" s="65">
        <v>0</v>
      </c>
      <c r="J550" t="s">
        <v>1754</v>
      </c>
      <c r="K550" s="35" t="s">
        <v>1052</v>
      </c>
      <c r="L550" s="35" t="s">
        <v>1753</v>
      </c>
      <c r="M550" s="39" t="str">
        <f>HYPERLINK("http://dx.doi.org/10.1016/j.vetpar.2019.108978","10.1016/j.vetpar.2019.108978")</f>
        <v>10.1016/j.vetpar.2019.108978</v>
      </c>
      <c r="N550" s="40" t="s">
        <v>920</v>
      </c>
      <c r="O550" s="40" t="s">
        <v>383</v>
      </c>
      <c r="P550" s="40" t="s">
        <v>1755</v>
      </c>
      <c r="Q550" t="s">
        <v>316</v>
      </c>
    </row>
    <row r="551" spans="1:17" x14ac:dyDescent="0.25">
      <c r="A551" s="2" t="str">
        <f>HYPERLINK("https://www.ncbi.nlm.nih.gov/pubmed/31742187","31742187")</f>
        <v>31742187</v>
      </c>
      <c r="B551">
        <f t="shared" si="36"/>
        <v>5</v>
      </c>
      <c r="C551">
        <f t="shared" si="36"/>
        <v>0</v>
      </c>
      <c r="D551">
        <f t="shared" si="36"/>
        <v>0</v>
      </c>
      <c r="E551">
        <f t="shared" si="34"/>
        <v>5</v>
      </c>
      <c r="F551">
        <v>2019</v>
      </c>
      <c r="G551" t="s">
        <v>1764</v>
      </c>
      <c r="H551">
        <v>0</v>
      </c>
      <c r="I551" s="64" t="str">
        <f>HYPERLINK("https://www.ncbi.nlm.nih.gov/research/pubtator/?view=docsum&amp;query=PMC6857411","1")</f>
        <v>1</v>
      </c>
      <c r="J551" t="s">
        <v>1766</v>
      </c>
      <c r="K551" s="35" t="s">
        <v>1767</v>
      </c>
      <c r="L551" s="35" t="s">
        <v>1765</v>
      </c>
      <c r="M551" s="39" t="str">
        <f>HYPERLINK("http://dx.doi.org/10.4103/jfmpc.jfmpc_486_19","10.4103/jfmpc.jfmpc_486_19")</f>
        <v>10.4103/jfmpc.jfmpc_486_19</v>
      </c>
      <c r="N551" s="40" t="s">
        <v>781</v>
      </c>
      <c r="O551" s="40" t="s">
        <v>802</v>
      </c>
      <c r="P551" s="40" t="s">
        <v>1768</v>
      </c>
      <c r="Q551" t="s">
        <v>316</v>
      </c>
    </row>
    <row r="552" spans="1:17" x14ac:dyDescent="0.25">
      <c r="A552" s="2" t="str">
        <f>HYPERLINK("https://www.ncbi.nlm.nih.gov/pubmed/31487951","31487951")</f>
        <v>31487951</v>
      </c>
      <c r="B552">
        <f t="shared" si="36"/>
        <v>5</v>
      </c>
      <c r="C552">
        <f t="shared" si="36"/>
        <v>0</v>
      </c>
      <c r="D552">
        <f t="shared" si="36"/>
        <v>0</v>
      </c>
      <c r="E552">
        <f t="shared" si="34"/>
        <v>5</v>
      </c>
      <c r="F552">
        <v>2019</v>
      </c>
      <c r="G552" t="s">
        <v>1864</v>
      </c>
      <c r="H552">
        <v>0</v>
      </c>
      <c r="I552" s="64" t="str">
        <f>HYPERLINK("https://www.ncbi.nlm.nih.gov/research/pubtator/?view=docsum&amp;query=PMC6767227","1")</f>
        <v>1</v>
      </c>
      <c r="J552" t="s">
        <v>1866</v>
      </c>
      <c r="K552" s="35" t="s">
        <v>736</v>
      </c>
      <c r="L552" s="35" t="s">
        <v>1865</v>
      </c>
      <c r="M552" s="39" t="str">
        <f>HYPERLINK("http://dx.doi.org/10.3390/molecules24183223","10.3390/molecules24183223")</f>
        <v>10.3390/molecules24183223</v>
      </c>
      <c r="N552" s="40" t="s">
        <v>1188</v>
      </c>
      <c r="O552" s="40" t="s">
        <v>659</v>
      </c>
      <c r="P552" s="40" t="s">
        <v>383</v>
      </c>
      <c r="Q552" t="s">
        <v>316</v>
      </c>
    </row>
    <row r="553" spans="1:17" x14ac:dyDescent="0.25">
      <c r="A553" s="2" t="str">
        <f>HYPERLINK("https://www.ncbi.nlm.nih.gov/pubmed/31366195","31366195")</f>
        <v>31366195</v>
      </c>
      <c r="B553">
        <f t="shared" si="36"/>
        <v>5</v>
      </c>
      <c r="C553">
        <f t="shared" si="36"/>
        <v>0</v>
      </c>
      <c r="D553">
        <f t="shared" si="36"/>
        <v>0</v>
      </c>
      <c r="E553">
        <f t="shared" si="34"/>
        <v>5</v>
      </c>
      <c r="F553">
        <v>2019</v>
      </c>
      <c r="G553" t="s">
        <v>1920</v>
      </c>
      <c r="H553">
        <v>0</v>
      </c>
      <c r="I553" s="65">
        <v>0</v>
      </c>
      <c r="J553" t="s">
        <v>1922</v>
      </c>
      <c r="K553" s="35" t="s">
        <v>1058</v>
      </c>
      <c r="L553" s="35" t="s">
        <v>1921</v>
      </c>
      <c r="M553" s="39" t="str">
        <f>HYPERLINK("http://dx.doi.org/10.1021/acs.est.9b02825","10.1021/acs.est.9b02825")</f>
        <v>10.1021/acs.est.9b02825</v>
      </c>
      <c r="N553" s="40" t="s">
        <v>1730</v>
      </c>
      <c r="O553" s="40" t="s">
        <v>780</v>
      </c>
      <c r="P553" s="40" t="s">
        <v>1923</v>
      </c>
      <c r="Q553" t="s">
        <v>316</v>
      </c>
    </row>
    <row r="554" spans="1:17" x14ac:dyDescent="0.25">
      <c r="A554" s="2" t="str">
        <f>HYPERLINK("https://www.ncbi.nlm.nih.gov/pubmed/31150148","31150148")</f>
        <v>31150148</v>
      </c>
      <c r="B554">
        <f t="shared" si="36"/>
        <v>5</v>
      </c>
      <c r="C554">
        <f t="shared" si="36"/>
        <v>0</v>
      </c>
      <c r="D554">
        <f t="shared" si="36"/>
        <v>0</v>
      </c>
      <c r="E554">
        <f t="shared" si="34"/>
        <v>5</v>
      </c>
      <c r="F554">
        <v>2020</v>
      </c>
      <c r="G554" t="s">
        <v>1995</v>
      </c>
      <c r="H554">
        <v>0</v>
      </c>
      <c r="I554" s="65">
        <v>0</v>
      </c>
      <c r="J554" t="s">
        <v>1996</v>
      </c>
      <c r="K554" s="35" t="s">
        <v>968</v>
      </c>
      <c r="L554" s="35" t="s">
        <v>6681</v>
      </c>
      <c r="M554" s="39" t="str">
        <f>HYPERLINK("http://dx.doi.org/10.1002/ps.5500","10.1002/ps.5500")</f>
        <v>10.1002/ps.5500</v>
      </c>
      <c r="N554" s="40" t="s">
        <v>1485</v>
      </c>
      <c r="O554" s="40" t="s">
        <v>638</v>
      </c>
      <c r="P554" s="40" t="s">
        <v>1997</v>
      </c>
      <c r="Q554" t="s">
        <v>316</v>
      </c>
    </row>
    <row r="555" spans="1:17" x14ac:dyDescent="0.25">
      <c r="A555" s="2" t="str">
        <f>HYPERLINK("https://www.ncbi.nlm.nih.gov/pubmed/30914264","30914264")</f>
        <v>30914264</v>
      </c>
      <c r="B555">
        <f t="shared" si="36"/>
        <v>5</v>
      </c>
      <c r="C555">
        <f t="shared" si="36"/>
        <v>2</v>
      </c>
      <c r="D555">
        <f t="shared" si="36"/>
        <v>0</v>
      </c>
      <c r="E555">
        <f t="shared" si="34"/>
        <v>7</v>
      </c>
      <c r="F555">
        <v>2019</v>
      </c>
      <c r="G555" t="s">
        <v>2074</v>
      </c>
      <c r="H555">
        <v>0</v>
      </c>
      <c r="I555" s="65">
        <v>0</v>
      </c>
      <c r="J555" t="s">
        <v>2075</v>
      </c>
      <c r="K555" s="35" t="s">
        <v>1052</v>
      </c>
      <c r="L555" s="35" t="s">
        <v>6691</v>
      </c>
      <c r="M555" s="39" t="str">
        <f>HYPERLINK("http://dx.doi.org/10.1016/j.vetpar.2019.01.008","10.1016/j.vetpar.2019.01.008")</f>
        <v>10.1016/j.vetpar.2019.01.008</v>
      </c>
      <c r="N555" s="40" t="s">
        <v>2076</v>
      </c>
      <c r="O555" s="40" t="s">
        <v>383</v>
      </c>
      <c r="P555" s="40" t="s">
        <v>2077</v>
      </c>
      <c r="Q555" t="s">
        <v>316</v>
      </c>
    </row>
    <row r="556" spans="1:17" x14ac:dyDescent="0.25">
      <c r="A556" s="2" t="str">
        <f>HYPERLINK("https://www.ncbi.nlm.nih.gov/pubmed/30704715","30704715")</f>
        <v>30704715</v>
      </c>
      <c r="B556">
        <f t="shared" si="36"/>
        <v>5</v>
      </c>
      <c r="C556">
        <f t="shared" si="36"/>
        <v>0</v>
      </c>
      <c r="D556">
        <f t="shared" si="36"/>
        <v>0</v>
      </c>
      <c r="E556">
        <f t="shared" si="34"/>
        <v>5</v>
      </c>
      <c r="F556">
        <v>2018</v>
      </c>
      <c r="G556" t="s">
        <v>2161</v>
      </c>
      <c r="H556">
        <v>0</v>
      </c>
      <c r="I556" s="65">
        <v>0</v>
      </c>
      <c r="J556" t="s">
        <v>2162</v>
      </c>
      <c r="K556" s="35" t="s">
        <v>831</v>
      </c>
      <c r="L556" s="35" t="s">
        <v>6705</v>
      </c>
      <c r="M556" s="39" t="str">
        <f>HYPERLINK("http://dx.doi.org/10.1016/j.pestbp.2018.02.002","10.1016/j.pestbp.2018.02.002")</f>
        <v>10.1016/j.pestbp.2018.02.002</v>
      </c>
      <c r="N556" s="40" t="s">
        <v>2163</v>
      </c>
      <c r="O556" s="40" t="s">
        <v>383</v>
      </c>
      <c r="P556" s="40" t="s">
        <v>2164</v>
      </c>
      <c r="Q556" t="s">
        <v>316</v>
      </c>
    </row>
    <row r="557" spans="1:17" x14ac:dyDescent="0.25">
      <c r="A557" s="2" t="str">
        <f>HYPERLINK("https://www.ncbi.nlm.nih.gov/pubmed/30704110","30704110")</f>
        <v>30704110</v>
      </c>
      <c r="B557">
        <f t="shared" si="36"/>
        <v>5</v>
      </c>
      <c r="C557">
        <f t="shared" si="36"/>
        <v>0</v>
      </c>
      <c r="D557">
        <f t="shared" si="36"/>
        <v>0</v>
      </c>
      <c r="E557">
        <f t="shared" si="34"/>
        <v>5</v>
      </c>
      <c r="F557">
        <v>2019</v>
      </c>
      <c r="G557" t="s">
        <v>2169</v>
      </c>
      <c r="H557">
        <v>0</v>
      </c>
      <c r="I557" s="64" t="str">
        <f>HYPERLINK("https://www.ncbi.nlm.nih.gov/research/pubtator/?view=docsum&amp;query=PMC6410312","1")</f>
        <v>1</v>
      </c>
      <c r="J557" t="s">
        <v>2171</v>
      </c>
      <c r="K557" s="35" t="s">
        <v>925</v>
      </c>
      <c r="L557" s="35" t="s">
        <v>2170</v>
      </c>
      <c r="M557" s="39" t="str">
        <f>HYPERLINK("http://dx.doi.org/10.3390/insects10020037","10.3390/insects10020037")</f>
        <v>10.3390/insects10020037</v>
      </c>
      <c r="N557" s="40" t="s">
        <v>802</v>
      </c>
      <c r="O557" s="40" t="s">
        <v>744</v>
      </c>
      <c r="P557" s="40" t="s">
        <v>383</v>
      </c>
      <c r="Q557" t="s">
        <v>316</v>
      </c>
    </row>
    <row r="558" spans="1:17" x14ac:dyDescent="0.25">
      <c r="A558" s="2" t="str">
        <f>HYPERLINK("https://www.ncbi.nlm.nih.gov/pubmed/30550974","30550974")</f>
        <v>30550974</v>
      </c>
      <c r="B558">
        <f t="shared" si="36"/>
        <v>5</v>
      </c>
      <c r="C558">
        <f t="shared" si="36"/>
        <v>0</v>
      </c>
      <c r="D558">
        <f t="shared" si="36"/>
        <v>0</v>
      </c>
      <c r="E558">
        <f t="shared" si="34"/>
        <v>5</v>
      </c>
      <c r="F558">
        <v>2019</v>
      </c>
      <c r="G558" t="s">
        <v>2204</v>
      </c>
      <c r="H558">
        <v>0</v>
      </c>
      <c r="I558" s="65">
        <v>0</v>
      </c>
      <c r="J558" t="s">
        <v>2205</v>
      </c>
      <c r="K558" s="35" t="s">
        <v>2206</v>
      </c>
      <c r="L558" s="35" t="s">
        <v>6710</v>
      </c>
      <c r="M558" s="39" t="str">
        <f>HYPERLINK("http://dx.doi.org/10.1016/j.ibmb.2018.12.005","10.1016/j.ibmb.2018.12.005")</f>
        <v>10.1016/j.ibmb.2018.12.005</v>
      </c>
      <c r="N558" s="40" t="s">
        <v>2207</v>
      </c>
      <c r="O558" s="40" t="s">
        <v>383</v>
      </c>
      <c r="P558" s="40" t="s">
        <v>2208</v>
      </c>
      <c r="Q558" t="s">
        <v>316</v>
      </c>
    </row>
    <row r="559" spans="1:17" x14ac:dyDescent="0.25">
      <c r="A559" s="2" t="str">
        <f>HYPERLINK("https://www.ncbi.nlm.nih.gov/pubmed/30387063","30387063")</f>
        <v>30387063</v>
      </c>
      <c r="B559">
        <f t="shared" si="36"/>
        <v>5</v>
      </c>
      <c r="C559">
        <f t="shared" si="36"/>
        <v>4</v>
      </c>
      <c r="D559">
        <f t="shared" si="36"/>
        <v>0</v>
      </c>
      <c r="E559">
        <f t="shared" si="34"/>
        <v>9</v>
      </c>
      <c r="F559">
        <v>2019</v>
      </c>
      <c r="G559" t="s">
        <v>2248</v>
      </c>
      <c r="H559">
        <v>0</v>
      </c>
      <c r="I559" s="65">
        <v>0</v>
      </c>
      <c r="J559" t="s">
        <v>2249</v>
      </c>
      <c r="K559" s="35" t="s">
        <v>810</v>
      </c>
      <c r="L559" s="35" t="s">
        <v>6718</v>
      </c>
      <c r="M559" s="39" t="str">
        <f>HYPERLINK("http://dx.doi.org/10.1007/s11356-018-3615-5","10.1007/s11356-018-3615-5")</f>
        <v>10.1007/s11356-018-3615-5</v>
      </c>
      <c r="N559" s="40" t="s">
        <v>752</v>
      </c>
      <c r="O559" s="40" t="s">
        <v>638</v>
      </c>
      <c r="P559" s="40" t="s">
        <v>2250</v>
      </c>
      <c r="Q559" t="s">
        <v>316</v>
      </c>
    </row>
    <row r="560" spans="1:17" x14ac:dyDescent="0.25">
      <c r="A560" s="2" t="str">
        <f>HYPERLINK("https://www.ncbi.nlm.nih.gov/pubmed/30251497","30251497")</f>
        <v>30251497</v>
      </c>
      <c r="B560">
        <f t="shared" si="36"/>
        <v>5</v>
      </c>
      <c r="C560">
        <f t="shared" si="36"/>
        <v>0</v>
      </c>
      <c r="D560">
        <f t="shared" si="36"/>
        <v>0</v>
      </c>
      <c r="E560">
        <f t="shared" si="34"/>
        <v>5</v>
      </c>
      <c r="F560">
        <v>2018</v>
      </c>
      <c r="G560" t="s">
        <v>2310</v>
      </c>
      <c r="H560">
        <v>0</v>
      </c>
      <c r="I560" s="65">
        <v>0</v>
      </c>
      <c r="J560" t="s">
        <v>2312</v>
      </c>
      <c r="K560" s="35" t="s">
        <v>851</v>
      </c>
      <c r="L560" s="35" t="s">
        <v>2311</v>
      </c>
      <c r="M560" s="39" t="str">
        <f>HYPERLINK("http://dx.doi.org/10.3724/SP.J.1123.2018.03012","10.3724/SP.J.1123.2018.03012")</f>
        <v>10.3724/SP.J.1123.2018.03012</v>
      </c>
      <c r="N560" s="40" t="s">
        <v>639</v>
      </c>
      <c r="O560" s="40" t="s">
        <v>781</v>
      </c>
      <c r="P560" s="40" t="s">
        <v>2313</v>
      </c>
      <c r="Q560" t="s">
        <v>316</v>
      </c>
    </row>
    <row r="561" spans="1:17" x14ac:dyDescent="0.25">
      <c r="A561" s="2" t="str">
        <f>HYPERLINK("https://www.ncbi.nlm.nih.gov/pubmed/30136534","30136534")</f>
        <v>30136534</v>
      </c>
      <c r="B561">
        <f t="shared" si="36"/>
        <v>5</v>
      </c>
      <c r="C561">
        <f t="shared" si="36"/>
        <v>0</v>
      </c>
      <c r="D561">
        <f t="shared" si="36"/>
        <v>0</v>
      </c>
      <c r="E561">
        <f t="shared" si="34"/>
        <v>5</v>
      </c>
      <c r="F561">
        <v>2018</v>
      </c>
      <c r="G561" t="s">
        <v>2341</v>
      </c>
      <c r="H561">
        <v>0</v>
      </c>
      <c r="I561" s="65">
        <v>0</v>
      </c>
      <c r="J561" t="s">
        <v>2343</v>
      </c>
      <c r="K561" s="35" t="s">
        <v>851</v>
      </c>
      <c r="L561" s="35" t="s">
        <v>2342</v>
      </c>
      <c r="M561" s="39" t="str">
        <f>HYPERLINK("http://dx.doi.org/10.3724/SP.J.1123.2018.01049","10.3724/SP.J.1123.2018.01049")</f>
        <v>10.3724/SP.J.1123.2018.01049</v>
      </c>
      <c r="N561" s="40" t="s">
        <v>639</v>
      </c>
      <c r="O561" s="40" t="s">
        <v>748</v>
      </c>
      <c r="P561" s="40" t="s">
        <v>2344</v>
      </c>
      <c r="Q561" t="s">
        <v>316</v>
      </c>
    </row>
    <row r="562" spans="1:17" x14ac:dyDescent="0.25">
      <c r="A562" s="2" t="str">
        <f>HYPERLINK("https://www.ncbi.nlm.nih.gov/pubmed/30010998","30010998")</f>
        <v>30010998</v>
      </c>
      <c r="B562">
        <f t="shared" si="36"/>
        <v>5</v>
      </c>
      <c r="C562">
        <f t="shared" si="36"/>
        <v>0</v>
      </c>
      <c r="D562">
        <f t="shared" si="36"/>
        <v>0</v>
      </c>
      <c r="E562">
        <f t="shared" si="34"/>
        <v>5</v>
      </c>
      <c r="F562">
        <v>2018</v>
      </c>
      <c r="G562" t="s">
        <v>2394</v>
      </c>
      <c r="H562">
        <v>0</v>
      </c>
      <c r="I562" s="65">
        <v>0</v>
      </c>
      <c r="J562" t="s">
        <v>2395</v>
      </c>
      <c r="K562" s="35" t="s">
        <v>909</v>
      </c>
      <c r="L562" s="35" t="s">
        <v>6741</v>
      </c>
      <c r="M562" s="39" t="str">
        <f>HYPERLINK("http://dx.doi.org/10.1093/jee/toy210","10.1093/jee/toy210")</f>
        <v>10.1093/jee/toy210</v>
      </c>
      <c r="N562" s="40" t="s">
        <v>2301</v>
      </c>
      <c r="O562" s="40" t="s">
        <v>746</v>
      </c>
      <c r="P562" s="40" t="s">
        <v>2396</v>
      </c>
      <c r="Q562" t="s">
        <v>316</v>
      </c>
    </row>
    <row r="563" spans="1:17" x14ac:dyDescent="0.25">
      <c r="A563" s="2" t="str">
        <f>HYPERLINK("https://www.ncbi.nlm.nih.gov/pubmed/29944366","29944366")</f>
        <v>29944366</v>
      </c>
      <c r="B563">
        <f t="shared" si="36"/>
        <v>5</v>
      </c>
      <c r="C563">
        <f t="shared" si="36"/>
        <v>0</v>
      </c>
      <c r="D563">
        <f t="shared" si="36"/>
        <v>0</v>
      </c>
      <c r="E563">
        <f t="shared" si="34"/>
        <v>5</v>
      </c>
      <c r="F563">
        <v>2018</v>
      </c>
      <c r="G563" t="s">
        <v>2422</v>
      </c>
      <c r="H563">
        <v>0</v>
      </c>
      <c r="I563" s="65">
        <v>0</v>
      </c>
      <c r="J563" t="s">
        <v>2423</v>
      </c>
      <c r="K563" s="35" t="s">
        <v>770</v>
      </c>
      <c r="L563" s="35" t="s">
        <v>6748</v>
      </c>
      <c r="M563" s="39" t="str">
        <f>HYPERLINK("http://dx.doi.org/10.1021/acs.jafc.8b02287","10.1021/acs.jafc.8b02287")</f>
        <v>10.1021/acs.jafc.8b02287</v>
      </c>
      <c r="N563" s="40" t="s">
        <v>2424</v>
      </c>
      <c r="O563" s="40" t="s">
        <v>858</v>
      </c>
      <c r="P563" s="40" t="s">
        <v>2425</v>
      </c>
      <c r="Q563" t="s">
        <v>316</v>
      </c>
    </row>
    <row r="564" spans="1:17" x14ac:dyDescent="0.25">
      <c r="A564" s="2" t="str">
        <f>HYPERLINK("https://www.ncbi.nlm.nih.gov/pubmed/29859885","29859885")</f>
        <v>29859885</v>
      </c>
      <c r="B564">
        <f t="shared" ref="B564:D583" si="37">IF(ISBLANK(B$3),0,(LEN($L564) - LEN(SUBSTITUTE(LOWER($L564),LOWER(B$3),"")))/LEN(B$3))</f>
        <v>5</v>
      </c>
      <c r="C564">
        <f t="shared" si="37"/>
        <v>0</v>
      </c>
      <c r="D564">
        <f t="shared" si="37"/>
        <v>0</v>
      </c>
      <c r="E564">
        <f t="shared" si="34"/>
        <v>5</v>
      </c>
      <c r="F564">
        <v>2018</v>
      </c>
      <c r="G564" t="s">
        <v>2442</v>
      </c>
      <c r="H564">
        <v>0</v>
      </c>
      <c r="I564" s="65">
        <v>0</v>
      </c>
      <c r="J564" t="s">
        <v>2443</v>
      </c>
      <c r="K564" s="35" t="s">
        <v>914</v>
      </c>
      <c r="L564" s="35" t="s">
        <v>6750</v>
      </c>
      <c r="M564" s="39" t="str">
        <f>HYPERLINK("http://dx.doi.org/10.1016/j.ttbdis.2018.05.014","10.1016/j.ttbdis.2018.05.014")</f>
        <v>10.1016/j.ttbdis.2018.05.014</v>
      </c>
      <c r="N564" s="40" t="s">
        <v>660</v>
      </c>
      <c r="O564" s="40" t="s">
        <v>746</v>
      </c>
      <c r="P564" s="40" t="s">
        <v>2444</v>
      </c>
      <c r="Q564" t="s">
        <v>316</v>
      </c>
    </row>
    <row r="565" spans="1:17" x14ac:dyDescent="0.25">
      <c r="A565" s="2" t="str">
        <f>HYPERLINK("https://www.ncbi.nlm.nih.gov/pubmed/29372771","29372771")</f>
        <v>29372771</v>
      </c>
      <c r="B565">
        <f t="shared" si="37"/>
        <v>5</v>
      </c>
      <c r="C565">
        <f t="shared" si="37"/>
        <v>1</v>
      </c>
      <c r="D565">
        <f t="shared" si="37"/>
        <v>0</v>
      </c>
      <c r="E565">
        <f t="shared" si="34"/>
        <v>6</v>
      </c>
      <c r="F565">
        <v>2017</v>
      </c>
      <c r="G565" t="s">
        <v>2559</v>
      </c>
      <c r="H565">
        <v>0</v>
      </c>
      <c r="I565" s="65">
        <v>0</v>
      </c>
      <c r="J565" t="s">
        <v>2561</v>
      </c>
      <c r="K565" s="35" t="s">
        <v>851</v>
      </c>
      <c r="L565" s="35" t="s">
        <v>2560</v>
      </c>
      <c r="M565" s="39" t="str">
        <f>HYPERLINK("http://dx.doi.org/10.3724/SP.J.1123.2017.09033","10.3724/SP.J.1123.2017.09033")</f>
        <v>10.3724/SP.J.1123.2017.09033</v>
      </c>
      <c r="N565" s="40" t="s">
        <v>2274</v>
      </c>
      <c r="O565" s="40" t="s">
        <v>915</v>
      </c>
      <c r="P565" s="40" t="s">
        <v>2562</v>
      </c>
      <c r="Q565" t="s">
        <v>316</v>
      </c>
    </row>
    <row r="566" spans="1:17" x14ac:dyDescent="0.25">
      <c r="A566" s="2" t="str">
        <f>HYPERLINK("https://www.ncbi.nlm.nih.gov/pubmed/29291857","29291857")</f>
        <v>29291857</v>
      </c>
      <c r="B566">
        <f t="shared" si="37"/>
        <v>5</v>
      </c>
      <c r="C566">
        <f t="shared" si="37"/>
        <v>0</v>
      </c>
      <c r="D566">
        <f t="shared" si="37"/>
        <v>0</v>
      </c>
      <c r="E566">
        <f t="shared" si="34"/>
        <v>5</v>
      </c>
      <c r="F566">
        <v>2018</v>
      </c>
      <c r="G566" t="s">
        <v>2580</v>
      </c>
      <c r="H566">
        <v>0</v>
      </c>
      <c r="I566" s="65">
        <v>0</v>
      </c>
      <c r="J566" t="s">
        <v>2582</v>
      </c>
      <c r="K566" s="35" t="s">
        <v>786</v>
      </c>
      <c r="L566" s="35" t="s">
        <v>2581</v>
      </c>
      <c r="M566" s="39" t="str">
        <f>HYPERLINK("http://dx.doi.org/10.1016/j.foodchem.2017.11.017","10.1016/j.foodchem.2017.11.017")</f>
        <v>10.1016/j.foodchem.2017.11.017</v>
      </c>
      <c r="N566" s="40" t="s">
        <v>1982</v>
      </c>
      <c r="O566" s="40" t="s">
        <v>383</v>
      </c>
      <c r="P566" s="40" t="s">
        <v>2583</v>
      </c>
      <c r="Q566" t="s">
        <v>316</v>
      </c>
    </row>
    <row r="567" spans="1:17" x14ac:dyDescent="0.25">
      <c r="A567" s="2" t="str">
        <f>HYPERLINK("https://www.ncbi.nlm.nih.gov/pubmed/29198202","29198202")</f>
        <v>29198202</v>
      </c>
      <c r="B567">
        <f t="shared" si="37"/>
        <v>5</v>
      </c>
      <c r="C567">
        <f t="shared" si="37"/>
        <v>0</v>
      </c>
      <c r="D567">
        <f t="shared" si="37"/>
        <v>0</v>
      </c>
      <c r="E567">
        <f t="shared" si="34"/>
        <v>5</v>
      </c>
      <c r="F567">
        <v>2018</v>
      </c>
      <c r="G567" t="s">
        <v>2604</v>
      </c>
      <c r="H567">
        <v>0</v>
      </c>
      <c r="I567" s="65">
        <v>0</v>
      </c>
      <c r="J567" t="s">
        <v>2605</v>
      </c>
      <c r="K567" s="35" t="s">
        <v>796</v>
      </c>
      <c r="L567" s="35" t="s">
        <v>6772</v>
      </c>
      <c r="M567" s="39" t="str">
        <f>HYPERLINK("http://dx.doi.org/10.1017/S0007485317001195","10.1017/S0007485317001195")</f>
        <v>10.1017/S0007485317001195</v>
      </c>
      <c r="N567" s="40" t="s">
        <v>2606</v>
      </c>
      <c r="O567" s="40" t="s">
        <v>746</v>
      </c>
      <c r="P567" s="40" t="s">
        <v>2607</v>
      </c>
      <c r="Q567" t="s">
        <v>316</v>
      </c>
    </row>
    <row r="568" spans="1:17" x14ac:dyDescent="0.25">
      <c r="A568" s="2" t="str">
        <f>HYPERLINK("https://www.ncbi.nlm.nih.gov/pubmed/29105037","29105037")</f>
        <v>29105037</v>
      </c>
      <c r="B568">
        <f t="shared" si="37"/>
        <v>5</v>
      </c>
      <c r="C568">
        <f t="shared" si="37"/>
        <v>0</v>
      </c>
      <c r="D568">
        <f t="shared" si="37"/>
        <v>0</v>
      </c>
      <c r="E568">
        <f t="shared" si="34"/>
        <v>5</v>
      </c>
      <c r="F568">
        <v>2021</v>
      </c>
      <c r="G568" t="s">
        <v>2634</v>
      </c>
      <c r="H568">
        <v>1</v>
      </c>
      <c r="I568" s="64" t="str">
        <f>HYPERLINK("https://www.ncbi.nlm.nih.gov/research/pubtator/?view=docsum&amp;query=PMC7920890","1")</f>
        <v>1</v>
      </c>
      <c r="J568" t="s">
        <v>2636</v>
      </c>
      <c r="K568" s="35" t="s">
        <v>810</v>
      </c>
      <c r="L568" s="35" t="s">
        <v>2635</v>
      </c>
      <c r="M568" s="39" t="str">
        <f>HYPERLINK("http://dx.doi.org/10.1007/s11356-017-0394-3","10.1007/s11356-017-0394-3")</f>
        <v>10.1007/s11356-017-0394-3</v>
      </c>
      <c r="N568" s="40" t="s">
        <v>731</v>
      </c>
      <c r="O568" s="40" t="s">
        <v>802</v>
      </c>
      <c r="P568" s="40" t="s">
        <v>2637</v>
      </c>
      <c r="Q568" t="s">
        <v>316</v>
      </c>
    </row>
    <row r="569" spans="1:17" x14ac:dyDescent="0.25">
      <c r="A569" s="2" t="str">
        <f>HYPERLINK("https://www.ncbi.nlm.nih.gov/pubmed/28760483","28760483")</f>
        <v>28760483</v>
      </c>
      <c r="B569">
        <f t="shared" si="37"/>
        <v>5</v>
      </c>
      <c r="C569">
        <f t="shared" si="37"/>
        <v>1</v>
      </c>
      <c r="D569">
        <f t="shared" si="37"/>
        <v>0</v>
      </c>
      <c r="E569">
        <f t="shared" si="34"/>
        <v>6</v>
      </c>
      <c r="F569">
        <v>2017</v>
      </c>
      <c r="G569" t="s">
        <v>2718</v>
      </c>
      <c r="H569">
        <v>0</v>
      </c>
      <c r="I569" s="64" t="str">
        <f>HYPERLINK("https://www.ncbi.nlm.nih.gov/research/pubtator/?view=docsum&amp;query=PMC5644835","1")</f>
        <v>1</v>
      </c>
      <c r="J569" t="s">
        <v>2719</v>
      </c>
      <c r="K569" s="35" t="s">
        <v>2720</v>
      </c>
      <c r="L569" s="35" t="s">
        <v>6798</v>
      </c>
      <c r="M569" s="39" t="str">
        <f>HYPERLINK("http://dx.doi.org/10.1016/j.actatropica.2017.07.030","10.1016/j.actatropica.2017.07.030")</f>
        <v>10.1016/j.actatropica.2017.07.030</v>
      </c>
      <c r="N569" s="40" t="s">
        <v>904</v>
      </c>
      <c r="O569" s="40" t="s">
        <v>383</v>
      </c>
      <c r="P569" s="40" t="s">
        <v>2721</v>
      </c>
      <c r="Q569" t="s">
        <v>316</v>
      </c>
    </row>
    <row r="570" spans="1:17" x14ac:dyDescent="0.25">
      <c r="A570" s="2" t="str">
        <f>HYPERLINK("https://www.ncbi.nlm.nih.gov/pubmed/28639697","28639697")</f>
        <v>28639697</v>
      </c>
      <c r="B570">
        <f t="shared" si="37"/>
        <v>5</v>
      </c>
      <c r="C570">
        <f t="shared" si="37"/>
        <v>0</v>
      </c>
      <c r="D570">
        <f t="shared" si="37"/>
        <v>0</v>
      </c>
      <c r="E570">
        <f t="shared" si="34"/>
        <v>5</v>
      </c>
      <c r="F570">
        <v>2017</v>
      </c>
      <c r="G570" t="s">
        <v>2754</v>
      </c>
      <c r="H570">
        <v>0</v>
      </c>
      <c r="I570" s="65">
        <v>0</v>
      </c>
      <c r="J570" t="s">
        <v>2756</v>
      </c>
      <c r="K570" s="35" t="s">
        <v>1466</v>
      </c>
      <c r="L570" s="35" t="s">
        <v>2755</v>
      </c>
      <c r="M570" s="39" t="str">
        <f>HYPERLINK("http://dx.doi.org/10.1111/mve.12240","10.1111/mve.12240")</f>
        <v>10.1111/mve.12240</v>
      </c>
      <c r="N570" s="40" t="s">
        <v>753</v>
      </c>
      <c r="O570" s="40" t="s">
        <v>750</v>
      </c>
      <c r="P570" s="40" t="s">
        <v>2757</v>
      </c>
      <c r="Q570" t="s">
        <v>316</v>
      </c>
    </row>
    <row r="571" spans="1:17" x14ac:dyDescent="0.25">
      <c r="A571" s="2" t="str">
        <f>HYPERLINK("https://www.ncbi.nlm.nih.gov/pubmed/28504448","28504448")</f>
        <v>28504448</v>
      </c>
      <c r="B571">
        <f t="shared" si="37"/>
        <v>5</v>
      </c>
      <c r="C571">
        <f t="shared" si="37"/>
        <v>0</v>
      </c>
      <c r="D571">
        <f t="shared" si="37"/>
        <v>0</v>
      </c>
      <c r="E571">
        <f t="shared" si="34"/>
        <v>5</v>
      </c>
      <c r="F571">
        <v>2017</v>
      </c>
      <c r="G571" t="s">
        <v>2800</v>
      </c>
      <c r="H571">
        <v>0</v>
      </c>
      <c r="I571" s="65">
        <v>0</v>
      </c>
      <c r="J571" t="s">
        <v>2802</v>
      </c>
      <c r="K571" s="35" t="s">
        <v>1507</v>
      </c>
      <c r="L571" s="35" t="s">
        <v>2801</v>
      </c>
      <c r="M571" s="39" t="str">
        <f>HYPERLINK("http://dx.doi.org/10.1111/jvec.12252","10.1111/jvec.12252")</f>
        <v>10.1111/jvec.12252</v>
      </c>
      <c r="N571" s="40" t="s">
        <v>2803</v>
      </c>
      <c r="O571" s="40" t="s">
        <v>638</v>
      </c>
      <c r="P571" s="40" t="s">
        <v>1248</v>
      </c>
      <c r="Q571" t="s">
        <v>316</v>
      </c>
    </row>
    <row r="572" spans="1:17" x14ac:dyDescent="0.25">
      <c r="A572" s="2" t="str">
        <f>HYPERLINK("https://www.ncbi.nlm.nih.gov/pubmed/28291815","28291815")</f>
        <v>28291815</v>
      </c>
      <c r="B572">
        <f t="shared" si="37"/>
        <v>5</v>
      </c>
      <c r="C572">
        <f t="shared" si="37"/>
        <v>2</v>
      </c>
      <c r="D572">
        <f t="shared" si="37"/>
        <v>0</v>
      </c>
      <c r="E572">
        <f t="shared" si="34"/>
        <v>7</v>
      </c>
      <c r="F572">
        <v>2017</v>
      </c>
      <c r="G572" t="s">
        <v>2857</v>
      </c>
      <c r="H572">
        <v>0</v>
      </c>
      <c r="I572" s="64" t="str">
        <f>HYPERLINK("https://www.ncbi.nlm.nih.gov/research/pubtator/?view=docsum&amp;query=PMC5349471","1")</f>
        <v>1</v>
      </c>
      <c r="J572" t="s">
        <v>2859</v>
      </c>
      <c r="K572" s="35" t="s">
        <v>779</v>
      </c>
      <c r="L572" s="35" t="s">
        <v>2858</v>
      </c>
      <c r="M572" s="39" t="str">
        <f>HYPERLINK("http://dx.doi.org/10.1371/journal.pone.0173690","10.1371/journal.pone.0173690")</f>
        <v>10.1371/journal.pone.0173690</v>
      </c>
      <c r="N572" s="40" t="s">
        <v>915</v>
      </c>
      <c r="O572" s="40" t="s">
        <v>750</v>
      </c>
      <c r="P572" s="40" t="s">
        <v>2860</v>
      </c>
      <c r="Q572" t="s">
        <v>316</v>
      </c>
    </row>
    <row r="573" spans="1:17" x14ac:dyDescent="0.25">
      <c r="A573" s="2" t="str">
        <f>HYPERLINK("https://www.ncbi.nlm.nih.gov/pubmed/28131090","28131090")</f>
        <v>28131090</v>
      </c>
      <c r="B573">
        <f t="shared" si="37"/>
        <v>5</v>
      </c>
      <c r="C573">
        <f t="shared" si="37"/>
        <v>5</v>
      </c>
      <c r="D573">
        <f t="shared" si="37"/>
        <v>0</v>
      </c>
      <c r="E573">
        <f t="shared" si="34"/>
        <v>10</v>
      </c>
      <c r="F573">
        <v>2017</v>
      </c>
      <c r="G573" t="s">
        <v>2886</v>
      </c>
      <c r="H573">
        <v>0</v>
      </c>
      <c r="I573" s="65">
        <v>0</v>
      </c>
      <c r="J573" t="s">
        <v>2887</v>
      </c>
      <c r="K573" s="35" t="s">
        <v>822</v>
      </c>
      <c r="L573" s="35" t="s">
        <v>6827</v>
      </c>
      <c r="M573" s="39" t="str">
        <f>HYPERLINK("http://dx.doi.org/10.1016/j.chemosphere.2017.01.069","10.1016/j.chemosphere.2017.01.069")</f>
        <v>10.1016/j.chemosphere.2017.01.069</v>
      </c>
      <c r="N573" s="40" t="s">
        <v>1037</v>
      </c>
      <c r="O573" s="40" t="s">
        <v>383</v>
      </c>
      <c r="P573" s="40" t="s">
        <v>2888</v>
      </c>
      <c r="Q573" t="s">
        <v>316</v>
      </c>
    </row>
    <row r="574" spans="1:17" x14ac:dyDescent="0.25">
      <c r="A574" s="2" t="str">
        <f>HYPERLINK("https://www.ncbi.nlm.nih.gov/pubmed/27991415","27991415")</f>
        <v>27991415</v>
      </c>
      <c r="B574">
        <f t="shared" si="37"/>
        <v>5</v>
      </c>
      <c r="C574">
        <f t="shared" si="37"/>
        <v>2</v>
      </c>
      <c r="D574">
        <f t="shared" si="37"/>
        <v>0</v>
      </c>
      <c r="E574">
        <f t="shared" si="34"/>
        <v>7</v>
      </c>
      <c r="F574">
        <v>2016</v>
      </c>
      <c r="G574" t="s">
        <v>2923</v>
      </c>
      <c r="H574">
        <v>0</v>
      </c>
      <c r="I574" s="64" t="str">
        <f>HYPERLINK("https://www.ncbi.nlm.nih.gov/research/pubtator/?view=docsum&amp;query=PMC5178383","1")</f>
        <v>1</v>
      </c>
      <c r="J574" t="s">
        <v>2924</v>
      </c>
      <c r="K574" s="35" t="s">
        <v>2925</v>
      </c>
      <c r="L574" s="35" t="s">
        <v>6836</v>
      </c>
      <c r="M574" s="39" t="str">
        <f>HYPERLINK("http://dx.doi.org/10.1051/parasite/2016068","10.1051/parasite/2016068")</f>
        <v>10.1051/parasite/2016068</v>
      </c>
      <c r="N574" s="40" t="s">
        <v>737</v>
      </c>
      <c r="O574" s="40" t="s">
        <v>383</v>
      </c>
      <c r="P574" s="40" t="s">
        <v>764</v>
      </c>
      <c r="Q574" t="s">
        <v>316</v>
      </c>
    </row>
    <row r="575" spans="1:17" x14ac:dyDescent="0.25">
      <c r="A575" s="2" t="str">
        <f>HYPERLINK("https://www.ncbi.nlm.nih.gov/pubmed/27766740","27766740")</f>
        <v>27766740</v>
      </c>
      <c r="B575">
        <f t="shared" si="37"/>
        <v>5</v>
      </c>
      <c r="C575">
        <f t="shared" si="37"/>
        <v>0</v>
      </c>
      <c r="D575">
        <f t="shared" si="37"/>
        <v>0</v>
      </c>
      <c r="E575">
        <f t="shared" si="34"/>
        <v>5</v>
      </c>
      <c r="F575">
        <v>2017</v>
      </c>
      <c r="G575" t="s">
        <v>2969</v>
      </c>
      <c r="H575">
        <v>0</v>
      </c>
      <c r="I575" s="64" t="str">
        <f>HYPERLINK("https://www.ncbi.nlm.nih.gov/research/pubtator/?view=docsum&amp;query=PMC5288133","1")</f>
        <v>1</v>
      </c>
      <c r="J575" t="s">
        <v>2970</v>
      </c>
      <c r="K575" s="35" t="s">
        <v>968</v>
      </c>
      <c r="L575" s="35" t="s">
        <v>6846</v>
      </c>
      <c r="M575" s="39" t="str">
        <f>HYPERLINK("http://dx.doi.org/10.1002/ps.4464","10.1002/ps.4464")</f>
        <v>10.1002/ps.4464</v>
      </c>
      <c r="N575" s="40" t="s">
        <v>2599</v>
      </c>
      <c r="O575" s="40" t="s">
        <v>750</v>
      </c>
      <c r="P575" s="40" t="s">
        <v>2971</v>
      </c>
      <c r="Q575" t="s">
        <v>316</v>
      </c>
    </row>
    <row r="576" spans="1:17" x14ac:dyDescent="0.25">
      <c r="A576" s="2" t="str">
        <f>HYPERLINK("https://www.ncbi.nlm.nih.gov/pubmed/27595653","27595653")</f>
        <v>27595653</v>
      </c>
      <c r="B576">
        <f t="shared" si="37"/>
        <v>5</v>
      </c>
      <c r="C576">
        <f t="shared" si="37"/>
        <v>1</v>
      </c>
      <c r="D576">
        <f t="shared" si="37"/>
        <v>0</v>
      </c>
      <c r="E576">
        <f t="shared" si="34"/>
        <v>6</v>
      </c>
      <c r="F576">
        <v>2016</v>
      </c>
      <c r="G576" t="s">
        <v>3020</v>
      </c>
      <c r="H576">
        <v>0</v>
      </c>
      <c r="I576" s="65">
        <v>0</v>
      </c>
      <c r="J576" t="s">
        <v>3021</v>
      </c>
      <c r="K576" s="35" t="s">
        <v>763</v>
      </c>
      <c r="L576" s="35" t="s">
        <v>6852</v>
      </c>
      <c r="M576" s="39" t="str">
        <f>HYPERLINK("http://dx.doi.org/10.1016/j.aquatox.2016.08.012","10.1016/j.aquatox.2016.08.012")</f>
        <v>10.1016/j.aquatox.2016.08.012</v>
      </c>
      <c r="N576" s="40" t="s">
        <v>3022</v>
      </c>
      <c r="O576" s="40" t="s">
        <v>383</v>
      </c>
      <c r="P576" s="40" t="s">
        <v>3023</v>
      </c>
      <c r="Q576" t="s">
        <v>316</v>
      </c>
    </row>
    <row r="577" spans="1:17" x14ac:dyDescent="0.25">
      <c r="A577" s="2" t="str">
        <f>HYPERLINK("https://www.ncbi.nlm.nih.gov/pubmed/27105165","27105165")</f>
        <v>27105165</v>
      </c>
      <c r="B577">
        <f t="shared" si="37"/>
        <v>5</v>
      </c>
      <c r="C577">
        <f t="shared" si="37"/>
        <v>0</v>
      </c>
      <c r="D577">
        <f t="shared" si="37"/>
        <v>0</v>
      </c>
      <c r="E577">
        <f t="shared" si="34"/>
        <v>5</v>
      </c>
      <c r="F577">
        <v>2016</v>
      </c>
      <c r="G577" t="s">
        <v>3145</v>
      </c>
      <c r="H577">
        <v>0</v>
      </c>
      <c r="I577" s="65">
        <v>0</v>
      </c>
      <c r="J577" t="s">
        <v>3146</v>
      </c>
      <c r="K577" s="35" t="s">
        <v>707</v>
      </c>
      <c r="L577" s="35" t="s">
        <v>6871</v>
      </c>
      <c r="M577" s="39" t="str">
        <f>HYPERLINK("http://dx.doi.org/10.1016/j.envpol.2016.04.025","10.1016/j.envpol.2016.04.025")</f>
        <v>10.1016/j.envpol.2016.04.025</v>
      </c>
      <c r="N577" s="40" t="s">
        <v>3147</v>
      </c>
      <c r="O577" s="40" t="s">
        <v>383</v>
      </c>
      <c r="P577" s="40" t="s">
        <v>3148</v>
      </c>
      <c r="Q577" t="s">
        <v>316</v>
      </c>
    </row>
    <row r="578" spans="1:17" x14ac:dyDescent="0.25">
      <c r="A578" s="2" t="str">
        <f>HYPERLINK("https://www.ncbi.nlm.nih.gov/pubmed/27016714","27016714")</f>
        <v>27016714</v>
      </c>
      <c r="B578">
        <f t="shared" si="37"/>
        <v>5</v>
      </c>
      <c r="C578">
        <f t="shared" si="37"/>
        <v>5</v>
      </c>
      <c r="D578">
        <f t="shared" si="37"/>
        <v>0</v>
      </c>
      <c r="E578">
        <f t="shared" si="34"/>
        <v>10</v>
      </c>
      <c r="F578">
        <v>2016</v>
      </c>
      <c r="G578" t="s">
        <v>3190</v>
      </c>
      <c r="H578">
        <v>0</v>
      </c>
      <c r="I578" s="65">
        <v>0</v>
      </c>
      <c r="J578" t="s">
        <v>3191</v>
      </c>
      <c r="K578" s="35" t="s">
        <v>1407</v>
      </c>
      <c r="L578" s="35" t="s">
        <v>6880</v>
      </c>
      <c r="M578" s="39" t="str">
        <f>HYPERLINK("http://dx.doi.org/10.1016/j.jenvman.2016.03.019","10.1016/j.jenvman.2016.03.019")</f>
        <v>10.1016/j.jenvman.2016.03.019</v>
      </c>
      <c r="N578" s="40" t="s">
        <v>3192</v>
      </c>
      <c r="O578" s="40" t="s">
        <v>383</v>
      </c>
      <c r="P578" s="40" t="s">
        <v>3193</v>
      </c>
      <c r="Q578" t="s">
        <v>316</v>
      </c>
    </row>
    <row r="579" spans="1:17" x14ac:dyDescent="0.25">
      <c r="A579" s="2" t="str">
        <f>HYPERLINK("https://www.ncbi.nlm.nih.gov/pubmed/26982576","26982576")</f>
        <v>26982576</v>
      </c>
      <c r="B579">
        <f t="shared" si="37"/>
        <v>5</v>
      </c>
      <c r="C579">
        <f t="shared" si="37"/>
        <v>0</v>
      </c>
      <c r="D579">
        <f t="shared" si="37"/>
        <v>0</v>
      </c>
      <c r="E579">
        <f t="shared" si="34"/>
        <v>5</v>
      </c>
      <c r="F579">
        <v>2016</v>
      </c>
      <c r="G579" t="s">
        <v>3208</v>
      </c>
      <c r="H579">
        <v>0</v>
      </c>
      <c r="I579" s="64" t="str">
        <f>HYPERLINK("https://www.ncbi.nlm.nih.gov/research/pubtator/?view=docsum&amp;query=PMC4794187","1")</f>
        <v>1</v>
      </c>
      <c r="J579" t="s">
        <v>3209</v>
      </c>
      <c r="K579" s="35" t="s">
        <v>779</v>
      </c>
      <c r="L579" s="35" t="s">
        <v>6884</v>
      </c>
      <c r="M579" s="39" t="str">
        <f>HYPERLINK("http://dx.doi.org/10.1371/journal.pone.0150915","10.1371/journal.pone.0150915")</f>
        <v>10.1371/journal.pone.0150915</v>
      </c>
      <c r="N579" s="40" t="s">
        <v>678</v>
      </c>
      <c r="O579" s="40" t="s">
        <v>750</v>
      </c>
      <c r="P579" s="40" t="s">
        <v>3210</v>
      </c>
      <c r="Q579" t="s">
        <v>316</v>
      </c>
    </row>
    <row r="580" spans="1:17" x14ac:dyDescent="0.25">
      <c r="A580" s="2" t="str">
        <f>HYPERLINK("https://www.ncbi.nlm.nih.gov/pubmed/26971210","26971210")</f>
        <v>26971210</v>
      </c>
      <c r="B580">
        <f t="shared" si="37"/>
        <v>5</v>
      </c>
      <c r="C580">
        <f t="shared" si="37"/>
        <v>0</v>
      </c>
      <c r="D580">
        <f t="shared" si="37"/>
        <v>0</v>
      </c>
      <c r="E580">
        <f t="shared" ref="E580:E643" si="38">SUM(B580:D580)</f>
        <v>5</v>
      </c>
      <c r="F580">
        <v>2016</v>
      </c>
      <c r="G580" t="s">
        <v>3214</v>
      </c>
      <c r="H580">
        <v>0</v>
      </c>
      <c r="I580" s="65">
        <v>0</v>
      </c>
      <c r="J580" t="s">
        <v>3216</v>
      </c>
      <c r="K580" s="35" t="s">
        <v>670</v>
      </c>
      <c r="L580" s="35" t="s">
        <v>3215</v>
      </c>
      <c r="M580" s="39" t="str">
        <f>HYPERLINK("http://dx.doi.org/10.1016/j.scitotenv.2016.02.165","10.1016/j.scitotenv.2016.02.165")</f>
        <v>10.1016/j.scitotenv.2016.02.165</v>
      </c>
      <c r="N580" s="40" t="s">
        <v>3217</v>
      </c>
      <c r="O580" s="40" t="s">
        <v>383</v>
      </c>
      <c r="P580" s="40" t="s">
        <v>3218</v>
      </c>
      <c r="Q580" t="s">
        <v>316</v>
      </c>
    </row>
    <row r="581" spans="1:17" x14ac:dyDescent="0.25">
      <c r="A581" s="2" t="str">
        <f>HYPERLINK("https://www.ncbi.nlm.nih.gov/pubmed/26833202","26833202")</f>
        <v>26833202</v>
      </c>
      <c r="B581">
        <f t="shared" si="37"/>
        <v>5</v>
      </c>
      <c r="C581">
        <f t="shared" si="37"/>
        <v>0</v>
      </c>
      <c r="D581">
        <f t="shared" si="37"/>
        <v>0</v>
      </c>
      <c r="E581">
        <f t="shared" si="38"/>
        <v>5</v>
      </c>
      <c r="F581">
        <v>2016</v>
      </c>
      <c r="G581" t="s">
        <v>3254</v>
      </c>
      <c r="H581">
        <v>0</v>
      </c>
      <c r="I581" s="64" t="str">
        <f>HYPERLINK("https://www.ncbi.nlm.nih.gov/research/pubtator/?view=docsum&amp;query=PMC6993841","1")</f>
        <v>1</v>
      </c>
      <c r="J581" t="s">
        <v>2550</v>
      </c>
      <c r="K581" s="35" t="s">
        <v>1395</v>
      </c>
      <c r="L581" s="35" t="s">
        <v>6889</v>
      </c>
      <c r="M581" s="39" t="str">
        <f>HYPERLINK("http://dx.doi.org/10.1007/s00244-016-0264-x","10.1007/s00244-016-0264-x")</f>
        <v>10.1007/s00244-016-0264-x</v>
      </c>
      <c r="N581" s="40" t="s">
        <v>3255</v>
      </c>
      <c r="O581" s="40" t="s">
        <v>638</v>
      </c>
      <c r="P581" s="40" t="s">
        <v>3256</v>
      </c>
      <c r="Q581" t="s">
        <v>316</v>
      </c>
    </row>
    <row r="582" spans="1:17" x14ac:dyDescent="0.25">
      <c r="A582" s="2" t="str">
        <f>HYPERLINK("https://www.ncbi.nlm.nih.gov/pubmed/26774772","26774772")</f>
        <v>26774772</v>
      </c>
      <c r="B582">
        <f t="shared" si="37"/>
        <v>5</v>
      </c>
      <c r="C582">
        <f t="shared" si="37"/>
        <v>0</v>
      </c>
      <c r="D582">
        <f t="shared" si="37"/>
        <v>0</v>
      </c>
      <c r="E582">
        <f t="shared" si="38"/>
        <v>5</v>
      </c>
      <c r="F582">
        <v>2016</v>
      </c>
      <c r="G582" t="s">
        <v>3286</v>
      </c>
      <c r="H582">
        <v>0</v>
      </c>
      <c r="I582" s="65">
        <v>0</v>
      </c>
      <c r="J582" t="s">
        <v>3288</v>
      </c>
      <c r="K582" s="35" t="s">
        <v>707</v>
      </c>
      <c r="L582" s="35" t="s">
        <v>3287</v>
      </c>
      <c r="M582" s="39" t="str">
        <f>HYPERLINK("http://dx.doi.org/10.1016/j.envpol.2016.01.016","10.1016/j.envpol.2016.01.016")</f>
        <v>10.1016/j.envpol.2016.01.016</v>
      </c>
      <c r="N582" s="40" t="s">
        <v>3289</v>
      </c>
      <c r="O582" s="40" t="s">
        <v>383</v>
      </c>
      <c r="P582" s="40" t="s">
        <v>3290</v>
      </c>
      <c r="Q582" t="s">
        <v>316</v>
      </c>
    </row>
    <row r="583" spans="1:17" x14ac:dyDescent="0.25">
      <c r="A583" s="2" t="str">
        <f>HYPERLINK("https://www.ncbi.nlm.nih.gov/pubmed/26586365","26586365")</f>
        <v>26586365</v>
      </c>
      <c r="B583">
        <f t="shared" si="37"/>
        <v>5</v>
      </c>
      <c r="C583">
        <f t="shared" si="37"/>
        <v>0</v>
      </c>
      <c r="D583">
        <f t="shared" si="37"/>
        <v>0</v>
      </c>
      <c r="E583">
        <f t="shared" si="38"/>
        <v>5</v>
      </c>
      <c r="F583">
        <v>2015</v>
      </c>
      <c r="G583" t="s">
        <v>3319</v>
      </c>
      <c r="H583">
        <v>0</v>
      </c>
      <c r="I583" s="64" t="str">
        <f>HYPERLINK("https://www.ncbi.nlm.nih.gov/research/pubtator/?view=docsum&amp;query=PMC4653891","1")</f>
        <v>1</v>
      </c>
      <c r="J583" t="s">
        <v>3320</v>
      </c>
      <c r="K583" s="35" t="s">
        <v>870</v>
      </c>
      <c r="L583" s="35" t="s">
        <v>6896</v>
      </c>
      <c r="M583" s="39" t="str">
        <f>HYPERLINK("http://dx.doi.org/10.1186/s13071-015-1207-5","10.1186/s13071-015-1207-5")</f>
        <v>10.1186/s13071-015-1207-5</v>
      </c>
      <c r="N583" s="40" t="s">
        <v>781</v>
      </c>
      <c r="O583" s="40" t="s">
        <v>383</v>
      </c>
      <c r="P583" s="40" t="s">
        <v>3321</v>
      </c>
      <c r="Q583" t="s">
        <v>316</v>
      </c>
    </row>
    <row r="584" spans="1:17" x14ac:dyDescent="0.25">
      <c r="A584" s="2" t="str">
        <f>HYPERLINK("https://www.ncbi.nlm.nih.gov/pubmed/26377691","26377691")</f>
        <v>26377691</v>
      </c>
      <c r="B584">
        <f t="shared" ref="B584:D603" si="39">IF(ISBLANK(B$3),0,(LEN($L584) - LEN(SUBSTITUTE(LOWER($L584),LOWER(B$3),"")))/LEN(B$3))</f>
        <v>5</v>
      </c>
      <c r="C584">
        <f t="shared" si="39"/>
        <v>7</v>
      </c>
      <c r="D584">
        <f t="shared" si="39"/>
        <v>0</v>
      </c>
      <c r="E584">
        <f t="shared" si="38"/>
        <v>12</v>
      </c>
      <c r="F584">
        <v>2015</v>
      </c>
      <c r="G584" t="s">
        <v>3389</v>
      </c>
      <c r="H584">
        <v>0</v>
      </c>
      <c r="I584" s="64" t="str">
        <f>HYPERLINK("https://www.ncbi.nlm.nih.gov/research/pubtator/?view=docsum&amp;query=PMC4574316","1")</f>
        <v>1</v>
      </c>
      <c r="J584" t="s">
        <v>3390</v>
      </c>
      <c r="K584" s="35" t="s">
        <v>1881</v>
      </c>
      <c r="L584" s="35" t="s">
        <v>6907</v>
      </c>
      <c r="M584" s="39" t="str">
        <f>HYPERLINK("http://dx.doi.org/10.1186/s12936-015-0883-0","10.1186/s12936-015-0883-0")</f>
        <v>10.1186/s12936-015-0883-0</v>
      </c>
      <c r="N584" s="40" t="s">
        <v>871</v>
      </c>
      <c r="O584" s="40" t="s">
        <v>383</v>
      </c>
      <c r="P584" s="40" t="s">
        <v>3391</v>
      </c>
      <c r="Q584" t="s">
        <v>316</v>
      </c>
    </row>
    <row r="585" spans="1:17" x14ac:dyDescent="0.25">
      <c r="A585" s="2" t="str">
        <f>HYPERLINK("https://www.ncbi.nlm.nih.gov/pubmed/26271744","26271744")</f>
        <v>26271744</v>
      </c>
      <c r="B585">
        <f t="shared" si="39"/>
        <v>5</v>
      </c>
      <c r="C585">
        <f t="shared" si="39"/>
        <v>0</v>
      </c>
      <c r="D585">
        <f t="shared" si="39"/>
        <v>0</v>
      </c>
      <c r="E585">
        <f t="shared" si="38"/>
        <v>5</v>
      </c>
      <c r="F585">
        <v>2016</v>
      </c>
      <c r="G585" t="s">
        <v>3421</v>
      </c>
      <c r="H585">
        <v>0</v>
      </c>
      <c r="I585" s="65">
        <v>0</v>
      </c>
      <c r="J585" t="s">
        <v>3423</v>
      </c>
      <c r="K585" s="35" t="s">
        <v>968</v>
      </c>
      <c r="L585" s="35" t="s">
        <v>3422</v>
      </c>
      <c r="M585" s="39" t="str">
        <f>HYPERLINK("http://dx.doi.org/10.1002/ps.4096","10.1002/ps.4096")</f>
        <v>10.1002/ps.4096</v>
      </c>
      <c r="N585" s="40" t="s">
        <v>1970</v>
      </c>
      <c r="O585" s="40" t="s">
        <v>741</v>
      </c>
      <c r="P585" s="40" t="s">
        <v>3424</v>
      </c>
      <c r="Q585" t="s">
        <v>316</v>
      </c>
    </row>
    <row r="586" spans="1:17" x14ac:dyDescent="0.25">
      <c r="A586" s="2" t="str">
        <f>HYPERLINK("https://www.ncbi.nlm.nih.gov/pubmed/26261048","26261048")</f>
        <v>26261048</v>
      </c>
      <c r="B586">
        <f t="shared" si="39"/>
        <v>5</v>
      </c>
      <c r="C586">
        <f t="shared" si="39"/>
        <v>0</v>
      </c>
      <c r="D586">
        <f t="shared" si="39"/>
        <v>0</v>
      </c>
      <c r="E586">
        <f t="shared" si="38"/>
        <v>5</v>
      </c>
      <c r="F586">
        <v>2016</v>
      </c>
      <c r="G586" t="s">
        <v>3425</v>
      </c>
      <c r="H586">
        <v>0</v>
      </c>
      <c r="I586" s="65">
        <v>0</v>
      </c>
      <c r="J586" t="s">
        <v>3426</v>
      </c>
      <c r="K586" s="35" t="s">
        <v>968</v>
      </c>
      <c r="L586" s="35" t="s">
        <v>6913</v>
      </c>
      <c r="M586" s="39" t="str">
        <f>HYPERLINK("http://dx.doi.org/10.1002/ps.4092","10.1002/ps.4092")</f>
        <v>10.1002/ps.4092</v>
      </c>
      <c r="N586" s="40" t="s">
        <v>1970</v>
      </c>
      <c r="O586" s="40" t="s">
        <v>746</v>
      </c>
      <c r="P586" s="40" t="s">
        <v>3427</v>
      </c>
      <c r="Q586" t="s">
        <v>316</v>
      </c>
    </row>
    <row r="587" spans="1:17" x14ac:dyDescent="0.25">
      <c r="A587" s="2" t="str">
        <f>HYPERLINK("https://www.ncbi.nlm.nih.gov/pubmed/26169219","26169219")</f>
        <v>26169219</v>
      </c>
      <c r="B587">
        <f t="shared" si="39"/>
        <v>5</v>
      </c>
      <c r="C587">
        <f t="shared" si="39"/>
        <v>8</v>
      </c>
      <c r="D587">
        <f t="shared" si="39"/>
        <v>0</v>
      </c>
      <c r="E587">
        <f t="shared" si="38"/>
        <v>13</v>
      </c>
      <c r="F587">
        <v>2015</v>
      </c>
      <c r="G587" t="s">
        <v>3436</v>
      </c>
      <c r="H587">
        <v>0</v>
      </c>
      <c r="I587" s="65">
        <v>0</v>
      </c>
      <c r="J587" t="s">
        <v>3437</v>
      </c>
      <c r="K587" s="35" t="s">
        <v>1052</v>
      </c>
      <c r="L587" s="35" t="s">
        <v>6914</v>
      </c>
      <c r="M587" s="39" t="str">
        <f>HYPERLINK("http://dx.doi.org/10.1016/j.vetpar.2015.05.030","10.1016/j.vetpar.2015.05.030")</f>
        <v>10.1016/j.vetpar.2015.05.030</v>
      </c>
      <c r="N587" s="40" t="s">
        <v>2749</v>
      </c>
      <c r="O587" s="40" t="s">
        <v>1741</v>
      </c>
      <c r="P587" s="40" t="s">
        <v>3438</v>
      </c>
      <c r="Q587" t="s">
        <v>316</v>
      </c>
    </row>
    <row r="588" spans="1:17" x14ac:dyDescent="0.25">
      <c r="A588" s="2" t="str">
        <f>HYPERLINK("https://www.ncbi.nlm.nih.gov/pubmed/25944739","25944739")</f>
        <v>25944739</v>
      </c>
      <c r="B588">
        <f t="shared" si="39"/>
        <v>5</v>
      </c>
      <c r="C588">
        <f t="shared" si="39"/>
        <v>0</v>
      </c>
      <c r="D588">
        <f t="shared" si="39"/>
        <v>0</v>
      </c>
      <c r="E588">
        <f t="shared" si="38"/>
        <v>5</v>
      </c>
      <c r="F588">
        <v>2015</v>
      </c>
      <c r="G588" t="s">
        <v>3501</v>
      </c>
      <c r="H588">
        <v>0</v>
      </c>
      <c r="I588" s="64" t="str">
        <f>HYPERLINK("https://www.ncbi.nlm.nih.gov/research/pubtator/?view=docsum&amp;query=PMC4513204","1")</f>
        <v>1</v>
      </c>
      <c r="J588" t="s">
        <v>3503</v>
      </c>
      <c r="K588" s="35" t="s">
        <v>1210</v>
      </c>
      <c r="L588" s="35" t="s">
        <v>3502</v>
      </c>
      <c r="M588" s="39" t="str">
        <f>HYPERLINK("http://dx.doi.org/10.1007/s00436-015-4493-0","10.1007/s00436-015-4493-0")</f>
        <v>10.1007/s00436-015-4493-0</v>
      </c>
      <c r="N588" s="40" t="s">
        <v>910</v>
      </c>
      <c r="O588" s="40" t="s">
        <v>781</v>
      </c>
      <c r="P588" s="40" t="s">
        <v>3504</v>
      </c>
      <c r="Q588" t="s">
        <v>316</v>
      </c>
    </row>
    <row r="589" spans="1:17" x14ac:dyDescent="0.25">
      <c r="A589" s="2" t="str">
        <f>HYPERLINK("https://www.ncbi.nlm.nih.gov/pubmed/25633963","25633963")</f>
        <v>25633963</v>
      </c>
      <c r="B589">
        <f t="shared" si="39"/>
        <v>5</v>
      </c>
      <c r="C589">
        <f t="shared" si="39"/>
        <v>0</v>
      </c>
      <c r="D589">
        <f t="shared" si="39"/>
        <v>0</v>
      </c>
      <c r="E589">
        <f t="shared" si="38"/>
        <v>5</v>
      </c>
      <c r="F589">
        <v>2015</v>
      </c>
      <c r="G589" t="s">
        <v>3618</v>
      </c>
      <c r="H589">
        <v>0</v>
      </c>
      <c r="I589" s="64" t="str">
        <f>HYPERLINK("https://www.ncbi.nlm.nih.gov/research/pubtator/?view=docsum&amp;query=PMC4316612","1")</f>
        <v>1</v>
      </c>
      <c r="J589" t="s">
        <v>3619</v>
      </c>
      <c r="K589" s="35" t="s">
        <v>870</v>
      </c>
      <c r="L589" s="35" t="s">
        <v>6941</v>
      </c>
      <c r="M589" s="39" t="str">
        <f>HYPERLINK("http://dx.doi.org/10.1186/s13071-015-0691-y","10.1186/s13071-015-0691-y")</f>
        <v>10.1186/s13071-015-0691-y</v>
      </c>
      <c r="N589" s="40" t="s">
        <v>781</v>
      </c>
      <c r="O589" s="40" t="s">
        <v>383</v>
      </c>
      <c r="P589" s="40" t="s">
        <v>2243</v>
      </c>
      <c r="Q589" t="s">
        <v>316</v>
      </c>
    </row>
    <row r="590" spans="1:17" x14ac:dyDescent="0.25">
      <c r="A590" s="2" t="str">
        <f>HYPERLINK("https://www.ncbi.nlm.nih.gov/pubmed/25627104","25627104")</f>
        <v>25627104</v>
      </c>
      <c r="B590">
        <f t="shared" si="39"/>
        <v>5</v>
      </c>
      <c r="C590">
        <f t="shared" si="39"/>
        <v>0</v>
      </c>
      <c r="D590">
        <f t="shared" si="39"/>
        <v>0</v>
      </c>
      <c r="E590">
        <f t="shared" si="38"/>
        <v>5</v>
      </c>
      <c r="F590">
        <v>2015</v>
      </c>
      <c r="G590" t="s">
        <v>3627</v>
      </c>
      <c r="H590">
        <v>0</v>
      </c>
      <c r="I590" s="64" t="str">
        <f>HYPERLINK("https://www.ncbi.nlm.nih.gov/research/pubtator/?view=docsum&amp;query=PMC4316405","1")</f>
        <v>1</v>
      </c>
      <c r="J590" t="s">
        <v>3629</v>
      </c>
      <c r="K590" s="35" t="s">
        <v>870</v>
      </c>
      <c r="L590" s="35" t="s">
        <v>3628</v>
      </c>
      <c r="M590" s="39" t="str">
        <f>HYPERLINK("http://dx.doi.org/10.1186/s13071-015-0688-6","10.1186/s13071-015-0688-6")</f>
        <v>10.1186/s13071-015-0688-6</v>
      </c>
      <c r="N590" s="40" t="s">
        <v>781</v>
      </c>
      <c r="O590" s="40" t="s">
        <v>383</v>
      </c>
      <c r="P590" s="40" t="s">
        <v>754</v>
      </c>
      <c r="Q590" t="s">
        <v>316</v>
      </c>
    </row>
    <row r="591" spans="1:17" x14ac:dyDescent="0.25">
      <c r="A591" s="2" t="str">
        <f>HYPERLINK("https://www.ncbi.nlm.nih.gov/pubmed/25622802","25622802")</f>
        <v>25622802</v>
      </c>
      <c r="B591">
        <f t="shared" si="39"/>
        <v>5</v>
      </c>
      <c r="C591">
        <f t="shared" si="39"/>
        <v>0</v>
      </c>
      <c r="D591">
        <f t="shared" si="39"/>
        <v>0</v>
      </c>
      <c r="E591">
        <f t="shared" si="38"/>
        <v>5</v>
      </c>
      <c r="F591">
        <v>2015</v>
      </c>
      <c r="G591" t="s">
        <v>3636</v>
      </c>
      <c r="H591">
        <v>0</v>
      </c>
      <c r="I591" s="64" t="str">
        <f>HYPERLINK("https://www.ncbi.nlm.nih.gov/research/pubtator/?view=docsum&amp;query=PMC4316400","1")</f>
        <v>1</v>
      </c>
      <c r="J591" t="s">
        <v>3637</v>
      </c>
      <c r="K591" s="35" t="s">
        <v>870</v>
      </c>
      <c r="L591" s="35" t="s">
        <v>6944</v>
      </c>
      <c r="M591" s="39" t="str">
        <f>HYPERLINK("http://dx.doi.org/10.1186/s13071-015-0682-z","10.1186/s13071-015-0682-z")</f>
        <v>10.1186/s13071-015-0682-z</v>
      </c>
      <c r="N591" s="40" t="s">
        <v>781</v>
      </c>
      <c r="O591" s="40" t="s">
        <v>383</v>
      </c>
      <c r="P591" s="40" t="s">
        <v>743</v>
      </c>
      <c r="Q591" t="s">
        <v>316</v>
      </c>
    </row>
    <row r="592" spans="1:17" x14ac:dyDescent="0.25">
      <c r="A592" s="2" t="str">
        <f>HYPERLINK("https://www.ncbi.nlm.nih.gov/pubmed/25622698","25622698")</f>
        <v>25622698</v>
      </c>
      <c r="B592">
        <f t="shared" si="39"/>
        <v>5</v>
      </c>
      <c r="C592">
        <f t="shared" si="39"/>
        <v>0</v>
      </c>
      <c r="D592">
        <f t="shared" si="39"/>
        <v>0</v>
      </c>
      <c r="E592">
        <f t="shared" si="38"/>
        <v>5</v>
      </c>
      <c r="F592">
        <v>2015</v>
      </c>
      <c r="G592" t="s">
        <v>3638</v>
      </c>
      <c r="H592">
        <v>0</v>
      </c>
      <c r="I592" s="64" t="str">
        <f>HYPERLINK("https://www.ncbi.nlm.nih.gov/research/pubtator/?view=docsum&amp;query=PMC4316768","1")</f>
        <v>1</v>
      </c>
      <c r="J592" t="s">
        <v>3639</v>
      </c>
      <c r="K592" s="35" t="s">
        <v>870</v>
      </c>
      <c r="L592" s="35" t="s">
        <v>6945</v>
      </c>
      <c r="M592" s="39" t="str">
        <f>HYPERLINK("http://dx.doi.org/10.1186/s13071-015-0681-0","10.1186/s13071-015-0681-0")</f>
        <v>10.1186/s13071-015-0681-0</v>
      </c>
      <c r="N592" s="40" t="s">
        <v>781</v>
      </c>
      <c r="O592" s="40" t="s">
        <v>383</v>
      </c>
      <c r="P592" s="40" t="s">
        <v>1780</v>
      </c>
      <c r="Q592" t="s">
        <v>316</v>
      </c>
    </row>
    <row r="593" spans="1:17" x14ac:dyDescent="0.25">
      <c r="A593" s="2" t="str">
        <f>HYPERLINK("https://www.ncbi.nlm.nih.gov/pubmed/25530472","25530472")</f>
        <v>25530472</v>
      </c>
      <c r="B593">
        <f t="shared" si="39"/>
        <v>5</v>
      </c>
      <c r="C593">
        <f t="shared" si="39"/>
        <v>0</v>
      </c>
      <c r="D593">
        <f t="shared" si="39"/>
        <v>0</v>
      </c>
      <c r="E593">
        <f t="shared" si="38"/>
        <v>5</v>
      </c>
      <c r="F593">
        <v>2015</v>
      </c>
      <c r="G593" t="s">
        <v>3682</v>
      </c>
      <c r="H593">
        <v>0</v>
      </c>
      <c r="I593" s="65">
        <v>0</v>
      </c>
      <c r="J593" t="s">
        <v>3683</v>
      </c>
      <c r="K593" s="35" t="s">
        <v>1466</v>
      </c>
      <c r="L593" s="35" t="s">
        <v>6953</v>
      </c>
      <c r="M593" s="39" t="str">
        <f>HYPERLINK("http://dx.doi.org/10.1111/mve.12093","10.1111/mve.12093")</f>
        <v>10.1111/mve.12093</v>
      </c>
      <c r="N593" s="40" t="s">
        <v>858</v>
      </c>
      <c r="O593" s="40" t="s">
        <v>638</v>
      </c>
      <c r="P593" s="40" t="s">
        <v>3684</v>
      </c>
      <c r="Q593" t="s">
        <v>316</v>
      </c>
    </row>
    <row r="594" spans="1:17" x14ac:dyDescent="0.25">
      <c r="A594" s="2" t="str">
        <f>HYPERLINK("https://www.ncbi.nlm.nih.gov/pubmed/25497286","25497286")</f>
        <v>25497286</v>
      </c>
      <c r="B594">
        <f t="shared" si="39"/>
        <v>5</v>
      </c>
      <c r="C594">
        <f t="shared" si="39"/>
        <v>0</v>
      </c>
      <c r="D594">
        <f t="shared" si="39"/>
        <v>0</v>
      </c>
      <c r="E594">
        <f t="shared" si="38"/>
        <v>5</v>
      </c>
      <c r="F594">
        <v>2015</v>
      </c>
      <c r="G594" t="s">
        <v>3690</v>
      </c>
      <c r="H594">
        <v>0</v>
      </c>
      <c r="I594" s="65">
        <v>0</v>
      </c>
      <c r="J594" t="s">
        <v>3691</v>
      </c>
      <c r="K594" s="35" t="s">
        <v>767</v>
      </c>
      <c r="L594" s="35" t="s">
        <v>6954</v>
      </c>
      <c r="M594" s="39" t="str">
        <f>HYPERLINK("http://dx.doi.org/10.1016/j.taap.2014.11.016","10.1016/j.taap.2014.11.016")</f>
        <v>10.1016/j.taap.2014.11.016</v>
      </c>
      <c r="N594" s="40" t="s">
        <v>3692</v>
      </c>
      <c r="O594" s="40" t="s">
        <v>744</v>
      </c>
      <c r="P594" s="40" t="s">
        <v>3693</v>
      </c>
      <c r="Q594" t="s">
        <v>316</v>
      </c>
    </row>
    <row r="595" spans="1:17" x14ac:dyDescent="0.25">
      <c r="A595" s="2" t="str">
        <f>HYPERLINK("https://www.ncbi.nlm.nih.gov/pubmed/25269956","25269956")</f>
        <v>25269956</v>
      </c>
      <c r="B595">
        <f t="shared" si="39"/>
        <v>5</v>
      </c>
      <c r="C595">
        <f t="shared" si="39"/>
        <v>0</v>
      </c>
      <c r="D595">
        <f t="shared" si="39"/>
        <v>0</v>
      </c>
      <c r="E595">
        <f t="shared" si="38"/>
        <v>5</v>
      </c>
      <c r="F595">
        <v>2014</v>
      </c>
      <c r="G595" t="s">
        <v>3730</v>
      </c>
      <c r="H595">
        <v>0</v>
      </c>
      <c r="I595" s="65">
        <v>0</v>
      </c>
      <c r="J595" t="s">
        <v>3358</v>
      </c>
      <c r="K595" s="35" t="s">
        <v>3164</v>
      </c>
      <c r="L595" s="35" t="s">
        <v>3731</v>
      </c>
      <c r="M595" s="39" t="str">
        <f>HYPERLINK("http://dx.doi.org/10.1007/s00128-014-1391-6","10.1007/s00128-014-1391-6")</f>
        <v>10.1007/s00128-014-1391-6</v>
      </c>
      <c r="N595" s="40" t="s">
        <v>1900</v>
      </c>
      <c r="O595" s="40" t="s">
        <v>741</v>
      </c>
      <c r="P595" s="40" t="s">
        <v>3732</v>
      </c>
      <c r="Q595" t="s">
        <v>316</v>
      </c>
    </row>
    <row r="596" spans="1:17" x14ac:dyDescent="0.25">
      <c r="A596" s="2" t="str">
        <f>HYPERLINK("https://www.ncbi.nlm.nih.gov/pubmed/25134020","25134020")</f>
        <v>25134020</v>
      </c>
      <c r="B596">
        <f t="shared" si="39"/>
        <v>5</v>
      </c>
      <c r="C596">
        <f t="shared" si="39"/>
        <v>0</v>
      </c>
      <c r="D596">
        <f t="shared" si="39"/>
        <v>0</v>
      </c>
      <c r="E596">
        <f t="shared" si="38"/>
        <v>5</v>
      </c>
      <c r="F596">
        <v>2014</v>
      </c>
      <c r="G596" t="s">
        <v>3776</v>
      </c>
      <c r="H596">
        <v>0</v>
      </c>
      <c r="I596" s="65">
        <v>0</v>
      </c>
      <c r="J596" t="s">
        <v>3778</v>
      </c>
      <c r="K596" s="35" t="s">
        <v>770</v>
      </c>
      <c r="L596" s="35" t="s">
        <v>3777</v>
      </c>
      <c r="M596" s="39" t="str">
        <f>HYPERLINK("http://dx.doi.org/10.1021/jf502838m","10.1021/jf502838m")</f>
        <v>10.1021/jf502838m</v>
      </c>
      <c r="N596" s="40" t="s">
        <v>2372</v>
      </c>
      <c r="O596" s="40" t="s">
        <v>2274</v>
      </c>
      <c r="P596" s="40" t="s">
        <v>3779</v>
      </c>
      <c r="Q596" t="s">
        <v>316</v>
      </c>
    </row>
    <row r="597" spans="1:17" x14ac:dyDescent="0.25">
      <c r="A597" s="2" t="str">
        <f>HYPERLINK("https://www.ncbi.nlm.nih.gov/pubmed/25096486","25096486")</f>
        <v>25096486</v>
      </c>
      <c r="B597">
        <f t="shared" si="39"/>
        <v>5</v>
      </c>
      <c r="C597">
        <f t="shared" si="39"/>
        <v>0</v>
      </c>
      <c r="D597">
        <f t="shared" si="39"/>
        <v>0</v>
      </c>
      <c r="E597">
        <f t="shared" si="38"/>
        <v>5</v>
      </c>
      <c r="F597">
        <v>2015</v>
      </c>
      <c r="G597" t="s">
        <v>3795</v>
      </c>
      <c r="H597">
        <v>1</v>
      </c>
      <c r="I597" s="64" t="str">
        <f>HYPERLINK("https://www.ncbi.nlm.nih.gov/research/pubtator/?view=docsum&amp;query=PMC4284396","1")</f>
        <v>1</v>
      </c>
      <c r="J597" t="s">
        <v>3796</v>
      </c>
      <c r="K597" s="35" t="s">
        <v>810</v>
      </c>
      <c r="L597" s="35" t="s">
        <v>6968</v>
      </c>
      <c r="M597" s="39" t="str">
        <f>HYPERLINK("http://dx.doi.org/10.1007/s11356-014-3332-7","10.1007/s11356-014-3332-7")</f>
        <v>10.1007/s11356-014-3332-7</v>
      </c>
      <c r="N597" s="40" t="s">
        <v>1092</v>
      </c>
      <c r="O597" s="40" t="s">
        <v>638</v>
      </c>
      <c r="P597" s="40" t="s">
        <v>3797</v>
      </c>
      <c r="Q597" t="s">
        <v>316</v>
      </c>
    </row>
    <row r="598" spans="1:17" x14ac:dyDescent="0.25">
      <c r="A598" s="2" t="str">
        <f>HYPERLINK("https://www.ncbi.nlm.nih.gov/pubmed/24918526","24918526")</f>
        <v>24918526</v>
      </c>
      <c r="B598">
        <f t="shared" si="39"/>
        <v>5</v>
      </c>
      <c r="C598">
        <f t="shared" si="39"/>
        <v>0</v>
      </c>
      <c r="D598">
        <f t="shared" si="39"/>
        <v>0</v>
      </c>
      <c r="E598">
        <f t="shared" si="38"/>
        <v>5</v>
      </c>
      <c r="F598">
        <v>2014</v>
      </c>
      <c r="G598" t="s">
        <v>3830</v>
      </c>
      <c r="H598">
        <v>0</v>
      </c>
      <c r="I598" s="65">
        <v>0</v>
      </c>
      <c r="J598" t="s">
        <v>3832</v>
      </c>
      <c r="K598" s="35" t="s">
        <v>770</v>
      </c>
      <c r="L598" s="35" t="s">
        <v>3831</v>
      </c>
      <c r="M598" s="39" t="str">
        <f>HYPERLINK("http://dx.doi.org/10.1021/jf5010429","10.1021/jf5010429")</f>
        <v>10.1021/jf5010429</v>
      </c>
      <c r="N598" s="40" t="s">
        <v>2372</v>
      </c>
      <c r="O598" s="40" t="s">
        <v>752</v>
      </c>
      <c r="P598" s="40" t="s">
        <v>3833</v>
      </c>
      <c r="Q598" t="s">
        <v>316</v>
      </c>
    </row>
    <row r="599" spans="1:17" x14ac:dyDescent="0.25">
      <c r="A599" s="2" t="str">
        <f>HYPERLINK("https://www.ncbi.nlm.nih.gov/pubmed/24665691","24665691")</f>
        <v>24665691</v>
      </c>
      <c r="B599">
        <f t="shared" si="39"/>
        <v>5</v>
      </c>
      <c r="C599">
        <f t="shared" si="39"/>
        <v>0</v>
      </c>
      <c r="D599">
        <f t="shared" si="39"/>
        <v>0</v>
      </c>
      <c r="E599">
        <f t="shared" si="38"/>
        <v>5</v>
      </c>
      <c r="F599">
        <v>2014</v>
      </c>
      <c r="G599" t="s">
        <v>3935</v>
      </c>
      <c r="H599">
        <v>0</v>
      </c>
      <c r="I599" s="65">
        <v>0</v>
      </c>
      <c r="J599" t="s">
        <v>3937</v>
      </c>
      <c r="K599" s="35" t="s">
        <v>909</v>
      </c>
      <c r="L599" s="35" t="s">
        <v>3936</v>
      </c>
      <c r="M599" s="39" t="str">
        <f>HYPERLINK("http://dx.doi.org/10.1603/ec12498","10.1603/ec12498")</f>
        <v>10.1603/ec12498</v>
      </c>
      <c r="N599" s="40" t="s">
        <v>1990</v>
      </c>
      <c r="O599" s="40" t="s">
        <v>638</v>
      </c>
      <c r="P599" s="40" t="s">
        <v>3938</v>
      </c>
      <c r="Q599" t="s">
        <v>316</v>
      </c>
    </row>
    <row r="600" spans="1:17" x14ac:dyDescent="0.25">
      <c r="A600" s="2" t="str">
        <f>HYPERLINK("https://www.ncbi.nlm.nih.gov/pubmed/24640131","24640131")</f>
        <v>24640131</v>
      </c>
      <c r="B600">
        <f t="shared" si="39"/>
        <v>5</v>
      </c>
      <c r="C600">
        <f t="shared" si="39"/>
        <v>2</v>
      </c>
      <c r="D600">
        <f t="shared" si="39"/>
        <v>0</v>
      </c>
      <c r="E600">
        <f t="shared" si="38"/>
        <v>7</v>
      </c>
      <c r="F600">
        <v>2013</v>
      </c>
      <c r="G600" t="s">
        <v>3954</v>
      </c>
      <c r="H600">
        <v>0</v>
      </c>
      <c r="I600" s="65">
        <v>0</v>
      </c>
      <c r="J600" t="s">
        <v>3956</v>
      </c>
      <c r="K600" s="35" t="s">
        <v>3957</v>
      </c>
      <c r="L600" s="35" t="s">
        <v>3955</v>
      </c>
      <c r="M600" s="39" t="str">
        <f>HYPERLINK("http://dx.doi.org/","")</f>
        <v/>
      </c>
      <c r="N600" s="40" t="s">
        <v>383</v>
      </c>
      <c r="O600" s="40" t="s">
        <v>690</v>
      </c>
      <c r="P600" s="40" t="s">
        <v>3958</v>
      </c>
      <c r="Q600" t="s">
        <v>316</v>
      </c>
    </row>
    <row r="601" spans="1:17" x14ac:dyDescent="0.25">
      <c r="A601" s="2" t="str">
        <f>HYPERLINK("https://www.ncbi.nlm.nih.gov/pubmed/24224260","24224260")</f>
        <v>24224260</v>
      </c>
      <c r="B601">
        <f t="shared" si="39"/>
        <v>5</v>
      </c>
      <c r="C601">
        <f t="shared" si="39"/>
        <v>0</v>
      </c>
      <c r="D601">
        <f t="shared" si="39"/>
        <v>0</v>
      </c>
      <c r="E601">
        <f t="shared" si="38"/>
        <v>5</v>
      </c>
      <c r="F601">
        <v>2013</v>
      </c>
      <c r="G601" t="s">
        <v>4068</v>
      </c>
      <c r="H601">
        <v>0</v>
      </c>
      <c r="I601" s="65">
        <v>0</v>
      </c>
      <c r="J601" t="s">
        <v>4070</v>
      </c>
      <c r="K601" s="35" t="s">
        <v>909</v>
      </c>
      <c r="L601" s="35" t="s">
        <v>4069</v>
      </c>
      <c r="M601" s="39" t="str">
        <f>HYPERLINK("http://dx.doi.org/10.1603/ec12443","10.1603/ec12443")</f>
        <v>10.1603/ec12443</v>
      </c>
      <c r="N601" s="40" t="s">
        <v>3978</v>
      </c>
      <c r="O601" s="40" t="s">
        <v>746</v>
      </c>
      <c r="P601" s="40" t="s">
        <v>4071</v>
      </c>
      <c r="Q601" t="s">
        <v>316</v>
      </c>
    </row>
    <row r="602" spans="1:17" x14ac:dyDescent="0.25">
      <c r="A602" s="2" t="str">
        <f>HYPERLINK("https://www.ncbi.nlm.nih.gov/pubmed/23956035","23956035")</f>
        <v>23956035</v>
      </c>
      <c r="B602">
        <f t="shared" si="39"/>
        <v>5</v>
      </c>
      <c r="C602">
        <f t="shared" si="39"/>
        <v>0</v>
      </c>
      <c r="D602">
        <f t="shared" si="39"/>
        <v>0</v>
      </c>
      <c r="E602">
        <f t="shared" si="38"/>
        <v>5</v>
      </c>
      <c r="F602">
        <v>2014</v>
      </c>
      <c r="G602" t="s">
        <v>4112</v>
      </c>
      <c r="H602">
        <v>0</v>
      </c>
      <c r="I602" s="65">
        <v>0</v>
      </c>
      <c r="J602" t="s">
        <v>4114</v>
      </c>
      <c r="K602" s="35" t="s">
        <v>1132</v>
      </c>
      <c r="L602" s="35" t="s">
        <v>4113</v>
      </c>
      <c r="M602" s="39" t="str">
        <f>HYPERLINK("http://dx.doi.org/10.1111/1744-7917.12041","10.1111/1744-7917.12041")</f>
        <v>10.1111/1744-7917.12041</v>
      </c>
      <c r="N602" s="40" t="s">
        <v>1364</v>
      </c>
      <c r="O602" s="40" t="s">
        <v>744</v>
      </c>
      <c r="P602" s="40" t="s">
        <v>4115</v>
      </c>
      <c r="Q602" t="s">
        <v>316</v>
      </c>
    </row>
    <row r="603" spans="1:17" x14ac:dyDescent="0.25">
      <c r="A603" s="2" t="str">
        <f>HYPERLINK("https://www.ncbi.nlm.nih.gov/pubmed/23754555","23754555")</f>
        <v>23754555</v>
      </c>
      <c r="B603">
        <f t="shared" si="39"/>
        <v>5</v>
      </c>
      <c r="C603">
        <f t="shared" si="39"/>
        <v>0</v>
      </c>
      <c r="D603">
        <f t="shared" si="39"/>
        <v>0</v>
      </c>
      <c r="E603">
        <f t="shared" si="38"/>
        <v>5</v>
      </c>
      <c r="F603">
        <v>2014</v>
      </c>
      <c r="G603" t="s">
        <v>4152</v>
      </c>
      <c r="H603">
        <v>0</v>
      </c>
      <c r="I603" s="65">
        <v>0</v>
      </c>
      <c r="J603" t="s">
        <v>4153</v>
      </c>
      <c r="K603" s="35" t="s">
        <v>968</v>
      </c>
      <c r="L603" s="35" t="s">
        <v>7015</v>
      </c>
      <c r="M603" s="39" t="str">
        <f>HYPERLINK("http://dx.doi.org/10.1002/ps.3590","10.1002/ps.3590")</f>
        <v>10.1002/ps.3590</v>
      </c>
      <c r="N603" s="40" t="s">
        <v>2957</v>
      </c>
      <c r="O603" s="40" t="s">
        <v>690</v>
      </c>
      <c r="P603" s="40" t="s">
        <v>4154</v>
      </c>
      <c r="Q603" t="s">
        <v>316</v>
      </c>
    </row>
    <row r="604" spans="1:17" x14ac:dyDescent="0.25">
      <c r="A604" s="2" t="str">
        <f>HYPERLINK("https://www.ncbi.nlm.nih.gov/pubmed/23721613","23721613")</f>
        <v>23721613</v>
      </c>
      <c r="B604">
        <f t="shared" ref="B604:D623" si="40">IF(ISBLANK(B$3),0,(LEN($L604) - LEN(SUBSTITUTE(LOWER($L604),LOWER(B$3),"")))/LEN(B$3))</f>
        <v>5</v>
      </c>
      <c r="C604">
        <f t="shared" si="40"/>
        <v>0</v>
      </c>
      <c r="D604">
        <f t="shared" si="40"/>
        <v>0</v>
      </c>
      <c r="E604">
        <f t="shared" si="38"/>
        <v>5</v>
      </c>
      <c r="F604">
        <v>2013</v>
      </c>
      <c r="G604" t="s">
        <v>4158</v>
      </c>
      <c r="H604">
        <v>0</v>
      </c>
      <c r="I604" s="65">
        <v>0</v>
      </c>
      <c r="J604" t="s">
        <v>4160</v>
      </c>
      <c r="K604" s="35" t="s">
        <v>4161</v>
      </c>
      <c r="L604" s="35" t="s">
        <v>4159</v>
      </c>
      <c r="M604" s="39" t="str">
        <f>HYPERLINK("http://dx.doi.org/10.1017/S0031182013000772","10.1017/S0031182013000772")</f>
        <v>10.1017/S0031182013000772</v>
      </c>
      <c r="N604" s="40" t="s">
        <v>4162</v>
      </c>
      <c r="O604" s="40" t="s">
        <v>660</v>
      </c>
      <c r="P604" s="40" t="s">
        <v>4163</v>
      </c>
      <c r="Q604" t="s">
        <v>316</v>
      </c>
    </row>
    <row r="605" spans="1:17" x14ac:dyDescent="0.25">
      <c r="A605" s="2" t="str">
        <f>HYPERLINK("https://www.ncbi.nlm.nih.gov/pubmed/23576335","23576335")</f>
        <v>23576335</v>
      </c>
      <c r="B605">
        <f t="shared" si="40"/>
        <v>5</v>
      </c>
      <c r="C605">
        <f t="shared" si="40"/>
        <v>0</v>
      </c>
      <c r="D605">
        <f t="shared" si="40"/>
        <v>0</v>
      </c>
      <c r="E605">
        <f t="shared" si="38"/>
        <v>5</v>
      </c>
      <c r="F605">
        <v>2014</v>
      </c>
      <c r="G605" t="s">
        <v>4191</v>
      </c>
      <c r="H605">
        <v>0</v>
      </c>
      <c r="I605" s="65">
        <v>0</v>
      </c>
      <c r="J605" t="s">
        <v>4192</v>
      </c>
      <c r="K605" s="35" t="s">
        <v>968</v>
      </c>
      <c r="L605" s="35" t="s">
        <v>7020</v>
      </c>
      <c r="M605" s="39" t="str">
        <f>HYPERLINK("http://dx.doi.org/10.1002/ps.3555","10.1002/ps.3555")</f>
        <v>10.1002/ps.3555</v>
      </c>
      <c r="N605" s="40" t="s">
        <v>2957</v>
      </c>
      <c r="O605" s="40" t="s">
        <v>744</v>
      </c>
      <c r="P605" s="40" t="s">
        <v>4193</v>
      </c>
      <c r="Q605" t="s">
        <v>316</v>
      </c>
    </row>
    <row r="606" spans="1:17" x14ac:dyDescent="0.25">
      <c r="A606" s="2" t="str">
        <f>HYPERLINK("https://www.ncbi.nlm.nih.gov/pubmed/23554339","23554339")</f>
        <v>23554339</v>
      </c>
      <c r="B606">
        <f t="shared" si="40"/>
        <v>5</v>
      </c>
      <c r="C606">
        <f t="shared" si="40"/>
        <v>0</v>
      </c>
      <c r="D606">
        <f t="shared" si="40"/>
        <v>0</v>
      </c>
      <c r="E606">
        <f t="shared" si="38"/>
        <v>5</v>
      </c>
      <c r="F606">
        <v>2014</v>
      </c>
      <c r="G606" t="s">
        <v>4194</v>
      </c>
      <c r="H606">
        <v>0</v>
      </c>
      <c r="I606" s="65">
        <v>0</v>
      </c>
      <c r="J606" t="s">
        <v>4195</v>
      </c>
      <c r="K606" s="35" t="s">
        <v>968</v>
      </c>
      <c r="L606" s="35" t="s">
        <v>7021</v>
      </c>
      <c r="M606" s="39" t="str">
        <f>HYPERLINK("http://dx.doi.org/10.1002/ps.3544","10.1002/ps.3544")</f>
        <v>10.1002/ps.3544</v>
      </c>
      <c r="N606" s="40" t="s">
        <v>2957</v>
      </c>
      <c r="O606" s="40" t="s">
        <v>744</v>
      </c>
      <c r="P606" s="40" t="s">
        <v>4196</v>
      </c>
      <c r="Q606" t="s">
        <v>316</v>
      </c>
    </row>
    <row r="607" spans="1:17" x14ac:dyDescent="0.25">
      <c r="A607" s="2" t="str">
        <f>HYPERLINK("https://www.ncbi.nlm.nih.gov/pubmed/24786619","24786619")</f>
        <v>24786619</v>
      </c>
      <c r="B607">
        <f t="shared" si="40"/>
        <v>5</v>
      </c>
      <c r="C607">
        <f t="shared" si="40"/>
        <v>1</v>
      </c>
      <c r="D607">
        <f t="shared" si="40"/>
        <v>0</v>
      </c>
      <c r="E607">
        <f t="shared" si="38"/>
        <v>6</v>
      </c>
      <c r="F607">
        <v>2013</v>
      </c>
      <c r="G607" t="s">
        <v>4216</v>
      </c>
      <c r="H607">
        <v>0</v>
      </c>
      <c r="I607" s="65">
        <v>0</v>
      </c>
      <c r="J607" t="s">
        <v>4217</v>
      </c>
      <c r="K607" s="35" t="s">
        <v>4218</v>
      </c>
      <c r="L607" s="35" t="s">
        <v>7026</v>
      </c>
      <c r="M607" s="39" t="str">
        <f>HYPERLINK("http://dx.doi.org/10.1080/19393210.2012.717969","10.1080/19393210.2012.717969")</f>
        <v>10.1080/19393210.2012.717969</v>
      </c>
      <c r="N607" s="40" t="s">
        <v>741</v>
      </c>
      <c r="O607" s="40" t="s">
        <v>638</v>
      </c>
      <c r="P607" s="40" t="s">
        <v>3388</v>
      </c>
      <c r="Q607" t="s">
        <v>316</v>
      </c>
    </row>
    <row r="608" spans="1:17" x14ac:dyDescent="0.25">
      <c r="A608" s="2" t="str">
        <f>HYPERLINK("https://www.ncbi.nlm.nih.gov/pubmed/23290278","23290278")</f>
        <v>23290278</v>
      </c>
      <c r="B608">
        <f t="shared" si="40"/>
        <v>5</v>
      </c>
      <c r="C608">
        <f t="shared" si="40"/>
        <v>0</v>
      </c>
      <c r="D608">
        <f t="shared" si="40"/>
        <v>0</v>
      </c>
      <c r="E608">
        <f t="shared" si="38"/>
        <v>5</v>
      </c>
      <c r="F608">
        <v>2013</v>
      </c>
      <c r="G608" t="s">
        <v>4256</v>
      </c>
      <c r="H608">
        <v>0</v>
      </c>
      <c r="I608" s="65">
        <v>0</v>
      </c>
      <c r="J608" t="s">
        <v>4258</v>
      </c>
      <c r="K608" s="35" t="s">
        <v>1052</v>
      </c>
      <c r="L608" s="35" t="s">
        <v>4257</v>
      </c>
      <c r="M608" s="39" t="str">
        <f>HYPERLINK("http://dx.doi.org/10.1016/j.vetpar.2012.11.006","10.1016/j.vetpar.2012.11.006")</f>
        <v>10.1016/j.vetpar.2012.11.006</v>
      </c>
      <c r="N608" s="40" t="s">
        <v>1014</v>
      </c>
      <c r="O608" s="40" t="s">
        <v>2110</v>
      </c>
      <c r="P608" s="40" t="s">
        <v>4259</v>
      </c>
      <c r="Q608" t="s">
        <v>316</v>
      </c>
    </row>
    <row r="609" spans="1:17" x14ac:dyDescent="0.25">
      <c r="A609" s="2" t="str">
        <f>HYPERLINK("https://www.ncbi.nlm.nih.gov/pubmed/23285969","23285969")</f>
        <v>23285969</v>
      </c>
      <c r="B609">
        <f t="shared" si="40"/>
        <v>5</v>
      </c>
      <c r="C609">
        <f t="shared" si="40"/>
        <v>0</v>
      </c>
      <c r="D609">
        <f t="shared" si="40"/>
        <v>0</v>
      </c>
      <c r="E609">
        <f t="shared" si="38"/>
        <v>5</v>
      </c>
      <c r="F609">
        <v>2012</v>
      </c>
      <c r="G609" t="s">
        <v>4260</v>
      </c>
      <c r="H609">
        <v>0</v>
      </c>
      <c r="I609" s="65">
        <v>0</v>
      </c>
      <c r="J609" t="s">
        <v>4261</v>
      </c>
      <c r="K609" s="35" t="s">
        <v>851</v>
      </c>
      <c r="L609" s="35" t="s">
        <v>7032</v>
      </c>
      <c r="M609" s="39" t="str">
        <f>HYPERLINK("http://dx.doi.org/10.3724/sp.j.1123.2012.04024","10.3724/sp.j.1123.2012.04024")</f>
        <v>10.3724/sp.j.1123.2012.04024</v>
      </c>
      <c r="N609" s="40" t="s">
        <v>745</v>
      </c>
      <c r="O609" s="40" t="s">
        <v>660</v>
      </c>
      <c r="P609" s="40" t="s">
        <v>4262</v>
      </c>
      <c r="Q609" t="s">
        <v>316</v>
      </c>
    </row>
    <row r="610" spans="1:17" x14ac:dyDescent="0.25">
      <c r="A610" s="2" t="str">
        <f>HYPERLINK("https://www.ncbi.nlm.nih.gov/pubmed/23278322","23278322")</f>
        <v>23278322</v>
      </c>
      <c r="B610">
        <f t="shared" si="40"/>
        <v>5</v>
      </c>
      <c r="C610">
        <f t="shared" si="40"/>
        <v>0</v>
      </c>
      <c r="D610">
        <f t="shared" si="40"/>
        <v>0</v>
      </c>
      <c r="E610">
        <f t="shared" si="38"/>
        <v>5</v>
      </c>
      <c r="F610">
        <v>2013</v>
      </c>
      <c r="G610" t="s">
        <v>4263</v>
      </c>
      <c r="H610">
        <v>0</v>
      </c>
      <c r="I610" s="65">
        <v>0</v>
      </c>
      <c r="J610" t="s">
        <v>4265</v>
      </c>
      <c r="K610" s="35" t="s">
        <v>1466</v>
      </c>
      <c r="L610" s="35" t="s">
        <v>4264</v>
      </c>
      <c r="M610" s="39" t="str">
        <f>HYPERLINK("http://dx.doi.org/10.1111/j.1365-2915.2012.00995.x","10.1111/j.1365-2915.2012.00995.x")</f>
        <v>10.1111/j.1365-2915.2012.00995.x</v>
      </c>
      <c r="N610" s="40" t="s">
        <v>1116</v>
      </c>
      <c r="O610" s="40" t="s">
        <v>638</v>
      </c>
      <c r="P610" s="40" t="s">
        <v>3563</v>
      </c>
      <c r="Q610" t="s">
        <v>316</v>
      </c>
    </row>
    <row r="611" spans="1:17" x14ac:dyDescent="0.25">
      <c r="A611" s="2" t="str">
        <f>HYPERLINK("https://www.ncbi.nlm.nih.gov/pubmed/23156175","23156175")</f>
        <v>23156175</v>
      </c>
      <c r="B611">
        <f t="shared" si="40"/>
        <v>5</v>
      </c>
      <c r="C611">
        <f t="shared" si="40"/>
        <v>0</v>
      </c>
      <c r="D611">
        <f t="shared" si="40"/>
        <v>0</v>
      </c>
      <c r="E611">
        <f t="shared" si="38"/>
        <v>5</v>
      </c>
      <c r="F611">
        <v>2012</v>
      </c>
      <c r="G611" t="s">
        <v>4302</v>
      </c>
      <c r="H611">
        <v>0</v>
      </c>
      <c r="I611" s="65">
        <v>0</v>
      </c>
      <c r="J611" t="s">
        <v>4303</v>
      </c>
      <c r="K611" s="35" t="s">
        <v>909</v>
      </c>
      <c r="L611" s="35" t="s">
        <v>7035</v>
      </c>
      <c r="M611" s="39" t="str">
        <f>HYPERLINK("http://dx.doi.org/10.1603/ec12165","10.1603/ec12165")</f>
        <v>10.1603/ec12165</v>
      </c>
      <c r="N611" s="40" t="s">
        <v>3018</v>
      </c>
      <c r="O611" s="40" t="s">
        <v>746</v>
      </c>
      <c r="P611" s="40" t="s">
        <v>4304</v>
      </c>
      <c r="Q611" t="s">
        <v>316</v>
      </c>
    </row>
    <row r="612" spans="1:17" x14ac:dyDescent="0.25">
      <c r="A612" s="2" t="str">
        <f>HYPERLINK("https://www.ncbi.nlm.nih.gov/pubmed/22886451","22886451")</f>
        <v>22886451</v>
      </c>
      <c r="B612">
        <f t="shared" si="40"/>
        <v>5</v>
      </c>
      <c r="C612">
        <f t="shared" si="40"/>
        <v>0</v>
      </c>
      <c r="D612">
        <f t="shared" si="40"/>
        <v>0</v>
      </c>
      <c r="E612">
        <f t="shared" si="38"/>
        <v>5</v>
      </c>
      <c r="F612">
        <v>2012</v>
      </c>
      <c r="G612" t="s">
        <v>4363</v>
      </c>
      <c r="H612">
        <v>0</v>
      </c>
      <c r="I612" s="65">
        <v>0</v>
      </c>
      <c r="J612" t="s">
        <v>4365</v>
      </c>
      <c r="K612" s="35" t="s">
        <v>3164</v>
      </c>
      <c r="L612" s="35" t="s">
        <v>4364</v>
      </c>
      <c r="M612" s="39" t="str">
        <f>HYPERLINK("http://dx.doi.org/10.1007/s00128-012-0773-x","10.1007/s00128-012-0773-x")</f>
        <v>10.1007/s00128-012-0773-x</v>
      </c>
      <c r="N612" s="40" t="s">
        <v>2709</v>
      </c>
      <c r="O612" s="40" t="s">
        <v>690</v>
      </c>
      <c r="P612" s="40" t="s">
        <v>4366</v>
      </c>
      <c r="Q612" t="s">
        <v>316</v>
      </c>
    </row>
    <row r="613" spans="1:17" x14ac:dyDescent="0.25">
      <c r="A613" s="2" t="str">
        <f>HYPERLINK("https://www.ncbi.nlm.nih.gov/pubmed/22550626","22550626")</f>
        <v>22550626</v>
      </c>
      <c r="B613">
        <f t="shared" si="40"/>
        <v>5</v>
      </c>
      <c r="C613">
        <f t="shared" si="40"/>
        <v>0</v>
      </c>
      <c r="D613">
        <f t="shared" si="40"/>
        <v>0</v>
      </c>
      <c r="E613">
        <f t="shared" si="38"/>
        <v>5</v>
      </c>
      <c r="F613">
        <v>2012</v>
      </c>
      <c r="G613" t="s">
        <v>4405</v>
      </c>
      <c r="H613">
        <v>0</v>
      </c>
      <c r="I613" s="64" t="str">
        <f>HYPERLINK("https://www.ncbi.nlm.nih.gov/research/pubtator/?view=docsum&amp;query=PMC3671438","1")</f>
        <v>1</v>
      </c>
      <c r="J613" t="s">
        <v>4406</v>
      </c>
      <c r="K613" s="35" t="s">
        <v>2925</v>
      </c>
      <c r="L613" s="35" t="s">
        <v>7043</v>
      </c>
      <c r="M613" s="39" t="str">
        <f>HYPERLINK("http://dx.doi.org/10.1051/parasite/2012192153","10.1051/parasite/2012192153")</f>
        <v>10.1051/parasite/2012192153</v>
      </c>
      <c r="N613" s="40" t="s">
        <v>1115</v>
      </c>
      <c r="O613" s="40" t="s">
        <v>744</v>
      </c>
      <c r="P613" s="40" t="s">
        <v>4407</v>
      </c>
      <c r="Q613" t="s">
        <v>316</v>
      </c>
    </row>
    <row r="614" spans="1:17" x14ac:dyDescent="0.25">
      <c r="A614" s="2" t="str">
        <f>HYPERLINK("https://www.ncbi.nlm.nih.gov/pubmed/22521688","22521688")</f>
        <v>22521688</v>
      </c>
      <c r="B614">
        <f t="shared" si="40"/>
        <v>5</v>
      </c>
      <c r="C614">
        <f t="shared" si="40"/>
        <v>0</v>
      </c>
      <c r="D614">
        <f t="shared" si="40"/>
        <v>0</v>
      </c>
      <c r="E614">
        <f t="shared" si="38"/>
        <v>5</v>
      </c>
      <c r="F614">
        <v>2012</v>
      </c>
      <c r="G614" t="s">
        <v>4426</v>
      </c>
      <c r="H614">
        <v>0</v>
      </c>
      <c r="I614" s="65">
        <v>0</v>
      </c>
      <c r="J614" t="s">
        <v>4427</v>
      </c>
      <c r="K614" s="35" t="s">
        <v>714</v>
      </c>
      <c r="L614" s="35" t="s">
        <v>7047</v>
      </c>
      <c r="M614" s="39" t="str">
        <f>HYPERLINK("http://dx.doi.org/10.1016/j.ecoenv.2012.04.004","10.1016/j.ecoenv.2012.04.004")</f>
        <v>10.1016/j.ecoenv.2012.04.004</v>
      </c>
      <c r="N614" s="40" t="s">
        <v>1586</v>
      </c>
      <c r="O614" s="40" t="s">
        <v>383</v>
      </c>
      <c r="P614" s="40" t="s">
        <v>4428</v>
      </c>
      <c r="Q614" t="s">
        <v>316</v>
      </c>
    </row>
    <row r="615" spans="1:17" x14ac:dyDescent="0.25">
      <c r="A615" s="2" t="str">
        <f>HYPERLINK("https://www.ncbi.nlm.nih.gov/pubmed/22299366","22299366")</f>
        <v>22299366</v>
      </c>
      <c r="B615">
        <f t="shared" si="40"/>
        <v>5</v>
      </c>
      <c r="C615">
        <f t="shared" si="40"/>
        <v>0</v>
      </c>
      <c r="D615">
        <f t="shared" si="40"/>
        <v>0</v>
      </c>
      <c r="E615">
        <f t="shared" si="38"/>
        <v>5</v>
      </c>
      <c r="F615">
        <v>2011</v>
      </c>
      <c r="G615" t="s">
        <v>4473</v>
      </c>
      <c r="H615">
        <v>0</v>
      </c>
      <c r="I615" s="65">
        <v>0</v>
      </c>
      <c r="J615" t="s">
        <v>4475</v>
      </c>
      <c r="K615" s="35" t="s">
        <v>909</v>
      </c>
      <c r="L615" s="35" t="s">
        <v>4474</v>
      </c>
      <c r="M615" s="39" t="str">
        <f>HYPERLINK("http://dx.doi.org/10.1603/ec11118","10.1603/ec11118")</f>
        <v>10.1603/ec11118</v>
      </c>
      <c r="N615" s="40" t="s">
        <v>2207</v>
      </c>
      <c r="O615" s="40" t="s">
        <v>741</v>
      </c>
      <c r="P615" s="40" t="s">
        <v>4476</v>
      </c>
      <c r="Q615" t="s">
        <v>316</v>
      </c>
    </row>
    <row r="616" spans="1:17" x14ac:dyDescent="0.25">
      <c r="A616" s="2" t="str">
        <f>HYPERLINK("https://www.ncbi.nlm.nih.gov/pubmed/22066183","22066183")</f>
        <v>22066183</v>
      </c>
      <c r="B616">
        <f t="shared" si="40"/>
        <v>5</v>
      </c>
      <c r="C616">
        <f t="shared" si="40"/>
        <v>0</v>
      </c>
      <c r="D616">
        <f t="shared" si="40"/>
        <v>0</v>
      </c>
      <c r="E616">
        <f t="shared" si="38"/>
        <v>5</v>
      </c>
      <c r="F616">
        <v>2011</v>
      </c>
      <c r="G616" t="s">
        <v>4529</v>
      </c>
      <c r="H616">
        <v>0</v>
      </c>
      <c r="I616" s="65">
        <v>0</v>
      </c>
      <c r="J616" t="s">
        <v>4531</v>
      </c>
      <c r="K616" s="35" t="s">
        <v>909</v>
      </c>
      <c r="L616" s="35" t="s">
        <v>4530</v>
      </c>
      <c r="M616" s="39" t="str">
        <f>HYPERLINK("http://dx.doi.org/10.1603/ec11019","10.1603/ec11019")</f>
        <v>10.1603/ec11019</v>
      </c>
      <c r="N616" s="40" t="s">
        <v>2207</v>
      </c>
      <c r="O616" s="40" t="s">
        <v>746</v>
      </c>
      <c r="P616" s="40" t="s">
        <v>4532</v>
      </c>
      <c r="Q616" t="s">
        <v>316</v>
      </c>
    </row>
    <row r="617" spans="1:17" x14ac:dyDescent="0.25">
      <c r="A617" s="2" t="str">
        <f>HYPERLINK("https://www.ncbi.nlm.nih.gov/pubmed/22029402","22029402")</f>
        <v>22029402</v>
      </c>
      <c r="B617">
        <f t="shared" si="40"/>
        <v>5</v>
      </c>
      <c r="C617">
        <f t="shared" si="40"/>
        <v>0</v>
      </c>
      <c r="D617">
        <f t="shared" si="40"/>
        <v>0</v>
      </c>
      <c r="E617">
        <f t="shared" si="38"/>
        <v>5</v>
      </c>
      <c r="F617">
        <v>2011</v>
      </c>
      <c r="G617" t="s">
        <v>4544</v>
      </c>
      <c r="H617">
        <v>0</v>
      </c>
      <c r="I617" s="65">
        <v>0</v>
      </c>
      <c r="J617" t="s">
        <v>4546</v>
      </c>
      <c r="K617" s="35" t="s">
        <v>770</v>
      </c>
      <c r="L617" s="35" t="s">
        <v>4545</v>
      </c>
      <c r="M617" s="39" t="str">
        <f>HYPERLINK("http://dx.doi.org/10.1021/jf2031154","10.1021/jf2031154")</f>
        <v>10.1021/jf2031154</v>
      </c>
      <c r="N617" s="40" t="s">
        <v>2885</v>
      </c>
      <c r="O617" s="40" t="s">
        <v>737</v>
      </c>
      <c r="P617" s="40" t="s">
        <v>4547</v>
      </c>
      <c r="Q617" t="s">
        <v>316</v>
      </c>
    </row>
    <row r="618" spans="1:17" x14ac:dyDescent="0.25">
      <c r="A618" s="2" t="str">
        <f>HYPERLINK("https://www.ncbi.nlm.nih.gov/pubmed/22000904","22000904")</f>
        <v>22000904</v>
      </c>
      <c r="B618">
        <f t="shared" si="40"/>
        <v>5</v>
      </c>
      <c r="C618">
        <f t="shared" si="40"/>
        <v>0</v>
      </c>
      <c r="D618">
        <f t="shared" si="40"/>
        <v>0</v>
      </c>
      <c r="E618">
        <f t="shared" si="38"/>
        <v>5</v>
      </c>
      <c r="F618">
        <v>2012</v>
      </c>
      <c r="G618" t="s">
        <v>4548</v>
      </c>
      <c r="H618">
        <v>0</v>
      </c>
      <c r="I618" s="65">
        <v>0</v>
      </c>
      <c r="J618" t="s">
        <v>4549</v>
      </c>
      <c r="K618" s="35" t="s">
        <v>714</v>
      </c>
      <c r="L618" s="35" t="s">
        <v>7062</v>
      </c>
      <c r="M618" s="39" t="str">
        <f>HYPERLINK("http://dx.doi.org/10.1016/j.ecoenv.2011.09.008","10.1016/j.ecoenv.2011.09.008")</f>
        <v>10.1016/j.ecoenv.2011.09.008</v>
      </c>
      <c r="N618" s="40" t="s">
        <v>1485</v>
      </c>
      <c r="O618" s="40" t="s">
        <v>744</v>
      </c>
      <c r="P618" s="40" t="s">
        <v>2985</v>
      </c>
      <c r="Q618" t="s">
        <v>316</v>
      </c>
    </row>
    <row r="619" spans="1:17" x14ac:dyDescent="0.25">
      <c r="A619" s="2" t="str">
        <f>HYPERLINK("https://www.ncbi.nlm.nih.gov/pubmed/21845942","21845942")</f>
        <v>21845942</v>
      </c>
      <c r="B619">
        <f t="shared" si="40"/>
        <v>5</v>
      </c>
      <c r="C619">
        <f t="shared" si="40"/>
        <v>0</v>
      </c>
      <c r="D619">
        <f t="shared" si="40"/>
        <v>0</v>
      </c>
      <c r="E619">
        <f t="shared" si="38"/>
        <v>5</v>
      </c>
      <c r="F619">
        <v>2011</v>
      </c>
      <c r="G619" t="s">
        <v>4570</v>
      </c>
      <c r="H619">
        <v>0</v>
      </c>
      <c r="I619" s="65">
        <v>0</v>
      </c>
      <c r="J619" t="s">
        <v>4572</v>
      </c>
      <c r="K619" s="35" t="s">
        <v>1027</v>
      </c>
      <c r="L619" s="35" t="s">
        <v>4571</v>
      </c>
      <c r="M619" s="39" t="str">
        <f>HYPERLINK("http://dx.doi.org/10.1603/me10208","10.1603/me10208")</f>
        <v>10.1603/me10208</v>
      </c>
      <c r="N619" s="40" t="s">
        <v>1450</v>
      </c>
      <c r="O619" s="40" t="s">
        <v>690</v>
      </c>
      <c r="P619" s="40" t="s">
        <v>4573</v>
      </c>
      <c r="Q619" t="s">
        <v>316</v>
      </c>
    </row>
    <row r="620" spans="1:17" x14ac:dyDescent="0.25">
      <c r="A620" s="2" t="str">
        <f>HYPERLINK("https://www.ncbi.nlm.nih.gov/pubmed/21777738","21777738")</f>
        <v>21777738</v>
      </c>
      <c r="B620">
        <f t="shared" si="40"/>
        <v>5</v>
      </c>
      <c r="C620">
        <f t="shared" si="40"/>
        <v>3</v>
      </c>
      <c r="D620">
        <f t="shared" si="40"/>
        <v>0</v>
      </c>
      <c r="E620">
        <f t="shared" si="38"/>
        <v>8</v>
      </c>
      <c r="F620">
        <v>2011</v>
      </c>
      <c r="G620" t="s">
        <v>4583</v>
      </c>
      <c r="H620">
        <v>0</v>
      </c>
      <c r="I620" s="65">
        <v>0</v>
      </c>
      <c r="J620" t="s">
        <v>4585</v>
      </c>
      <c r="K620" s="35" t="s">
        <v>1052</v>
      </c>
      <c r="L620" s="35" t="s">
        <v>4584</v>
      </c>
      <c r="M620" s="39" t="str">
        <f>HYPERLINK("http://dx.doi.org/10.1016/j.vetpar.2011.03.048","10.1016/j.vetpar.2011.03.048")</f>
        <v>10.1016/j.vetpar.2011.03.048</v>
      </c>
      <c r="N620" s="40" t="s">
        <v>3022</v>
      </c>
      <c r="O620" s="40" t="s">
        <v>690</v>
      </c>
      <c r="P620" s="40" t="s">
        <v>4586</v>
      </c>
      <c r="Q620" t="s">
        <v>316</v>
      </c>
    </row>
    <row r="621" spans="1:17" x14ac:dyDescent="0.25">
      <c r="A621" s="2" t="str">
        <f>HYPERLINK("https://www.ncbi.nlm.nih.gov/pubmed/21761502","21761502")</f>
        <v>21761502</v>
      </c>
      <c r="B621">
        <f t="shared" si="40"/>
        <v>5</v>
      </c>
      <c r="C621">
        <f t="shared" si="40"/>
        <v>0</v>
      </c>
      <c r="D621">
        <f t="shared" si="40"/>
        <v>0</v>
      </c>
      <c r="E621">
        <f t="shared" si="38"/>
        <v>5</v>
      </c>
      <c r="F621">
        <v>2012</v>
      </c>
      <c r="G621" t="s">
        <v>4611</v>
      </c>
      <c r="H621">
        <v>0</v>
      </c>
      <c r="I621" s="65">
        <v>0</v>
      </c>
      <c r="J621" t="s">
        <v>4576</v>
      </c>
      <c r="K621" s="35" t="s">
        <v>4577</v>
      </c>
      <c r="L621" s="35" t="s">
        <v>7073</v>
      </c>
      <c r="M621" s="39" t="str">
        <f>HYPERLINK("http://dx.doi.org/10.1002/jemt.21043","10.1002/jemt.21043")</f>
        <v>10.1002/jemt.21043</v>
      </c>
      <c r="N621" s="40" t="s">
        <v>2041</v>
      </c>
      <c r="O621" s="40" t="s">
        <v>744</v>
      </c>
      <c r="P621" s="40" t="s">
        <v>4612</v>
      </c>
      <c r="Q621" t="s">
        <v>316</v>
      </c>
    </row>
    <row r="622" spans="1:17" x14ac:dyDescent="0.25">
      <c r="A622" s="2" t="str">
        <f>HYPERLINK("https://www.ncbi.nlm.nih.gov/pubmed/21618652","21618652")</f>
        <v>21618652</v>
      </c>
      <c r="B622">
        <f t="shared" si="40"/>
        <v>5</v>
      </c>
      <c r="C622">
        <f t="shared" si="40"/>
        <v>2</v>
      </c>
      <c r="D622">
        <f t="shared" si="40"/>
        <v>0</v>
      </c>
      <c r="E622">
        <f t="shared" si="38"/>
        <v>7</v>
      </c>
      <c r="F622">
        <v>2012</v>
      </c>
      <c r="G622" t="s">
        <v>4644</v>
      </c>
      <c r="H622">
        <v>0</v>
      </c>
      <c r="I622" s="65">
        <v>0</v>
      </c>
      <c r="J622" t="s">
        <v>4646</v>
      </c>
      <c r="K622" s="35" t="s">
        <v>4577</v>
      </c>
      <c r="L622" s="35" t="s">
        <v>4645</v>
      </c>
      <c r="M622" s="39" t="str">
        <f>HYPERLINK("http://dx.doi.org/10.1002/jemt.21018","10.1002/jemt.21018")</f>
        <v>10.1002/jemt.21018</v>
      </c>
      <c r="N622" s="40" t="s">
        <v>2041</v>
      </c>
      <c r="O622" s="40" t="s">
        <v>638</v>
      </c>
      <c r="P622" s="40" t="s">
        <v>4647</v>
      </c>
      <c r="Q622" t="s">
        <v>316</v>
      </c>
    </row>
    <row r="623" spans="1:17" x14ac:dyDescent="0.25">
      <c r="A623" s="2" t="str">
        <f>HYPERLINK("https://www.ncbi.nlm.nih.gov/pubmed/21275241","21275241")</f>
        <v>21275241</v>
      </c>
      <c r="B623">
        <f t="shared" si="40"/>
        <v>5</v>
      </c>
      <c r="C623">
        <f t="shared" si="40"/>
        <v>0</v>
      </c>
      <c r="D623">
        <f t="shared" si="40"/>
        <v>0</v>
      </c>
      <c r="E623">
        <f t="shared" si="38"/>
        <v>5</v>
      </c>
      <c r="F623">
        <v>2010</v>
      </c>
      <c r="G623" t="s">
        <v>4741</v>
      </c>
      <c r="H623">
        <v>0</v>
      </c>
      <c r="I623" s="65">
        <v>0</v>
      </c>
      <c r="J623" t="s">
        <v>4743</v>
      </c>
      <c r="K623" s="35" t="s">
        <v>2925</v>
      </c>
      <c r="L623" s="35" t="s">
        <v>4742</v>
      </c>
      <c r="M623" s="39" t="str">
        <f>HYPERLINK("http://dx.doi.org/10.1051/parasite/2010174343","10.1051/parasite/2010174343")</f>
        <v>10.1051/parasite/2010174343</v>
      </c>
      <c r="N623" s="40" t="s">
        <v>1088</v>
      </c>
      <c r="O623" s="40" t="s">
        <v>690</v>
      </c>
      <c r="P623" s="40" t="s">
        <v>4744</v>
      </c>
      <c r="Q623" t="s">
        <v>316</v>
      </c>
    </row>
    <row r="624" spans="1:17" x14ac:dyDescent="0.25">
      <c r="A624" s="2" t="str">
        <f>HYPERLINK("https://www.ncbi.nlm.nih.gov/pubmed/21234536","21234536")</f>
        <v>21234536</v>
      </c>
      <c r="B624">
        <f t="shared" ref="B624:D643" si="41">IF(ISBLANK(B$3),0,(LEN($L624) - LEN(SUBSTITUTE(LOWER($L624),LOWER(B$3),"")))/LEN(B$3))</f>
        <v>5</v>
      </c>
      <c r="C624">
        <f t="shared" si="41"/>
        <v>1</v>
      </c>
      <c r="D624">
        <f t="shared" si="41"/>
        <v>0</v>
      </c>
      <c r="E624">
        <f t="shared" si="38"/>
        <v>6</v>
      </c>
      <c r="F624">
        <v>2011</v>
      </c>
      <c r="G624" t="s">
        <v>4760</v>
      </c>
      <c r="H624">
        <v>0</v>
      </c>
      <c r="I624" s="65">
        <v>0</v>
      </c>
      <c r="J624" t="s">
        <v>4762</v>
      </c>
      <c r="K624" s="35" t="s">
        <v>3164</v>
      </c>
      <c r="L624" s="35" t="s">
        <v>4761</v>
      </c>
      <c r="M624" s="39" t="str">
        <f>HYPERLINK("http://dx.doi.org/10.1007/s00128-010-0180-0","10.1007/s00128-010-0180-0")</f>
        <v>10.1007/s00128-010-0180-0</v>
      </c>
      <c r="N624" s="40" t="s">
        <v>845</v>
      </c>
      <c r="O624" s="40" t="s">
        <v>744</v>
      </c>
      <c r="P624" s="40" t="s">
        <v>4763</v>
      </c>
      <c r="Q624" t="s">
        <v>316</v>
      </c>
    </row>
    <row r="625" spans="1:17" x14ac:dyDescent="0.25">
      <c r="A625" s="2" t="str">
        <f>HYPERLINK("https://www.ncbi.nlm.nih.gov/pubmed/21188511","21188511")</f>
        <v>21188511</v>
      </c>
      <c r="B625">
        <f t="shared" si="41"/>
        <v>5</v>
      </c>
      <c r="C625">
        <f t="shared" si="41"/>
        <v>0</v>
      </c>
      <c r="D625">
        <f t="shared" si="41"/>
        <v>0</v>
      </c>
      <c r="E625">
        <f t="shared" si="38"/>
        <v>5</v>
      </c>
      <c r="F625">
        <v>2011</v>
      </c>
      <c r="G625" t="s">
        <v>4767</v>
      </c>
      <c r="H625">
        <v>0</v>
      </c>
      <c r="I625" s="65">
        <v>0</v>
      </c>
      <c r="J625" t="s">
        <v>4768</v>
      </c>
      <c r="K625" s="35" t="s">
        <v>1013</v>
      </c>
      <c r="L625" s="35" t="s">
        <v>7096</v>
      </c>
      <c r="M625" s="39" t="str">
        <f>HYPERLINK("http://dx.doi.org/10.1007/s10661-010-1807-7","10.1007/s10661-010-1807-7")</f>
        <v>10.1007/s10661-010-1807-7</v>
      </c>
      <c r="N625" s="40" t="s">
        <v>3104</v>
      </c>
      <c r="O625" s="40" t="s">
        <v>4769</v>
      </c>
      <c r="P625" s="40" t="s">
        <v>4770</v>
      </c>
      <c r="Q625" t="s">
        <v>316</v>
      </c>
    </row>
    <row r="626" spans="1:17" x14ac:dyDescent="0.25">
      <c r="A626" s="2" t="str">
        <f>HYPERLINK("https://www.ncbi.nlm.nih.gov/pubmed/20821513","20821513")</f>
        <v>20821513</v>
      </c>
      <c r="B626">
        <f t="shared" si="41"/>
        <v>5</v>
      </c>
      <c r="C626">
        <f t="shared" si="41"/>
        <v>0</v>
      </c>
      <c r="D626">
        <f t="shared" si="41"/>
        <v>0</v>
      </c>
      <c r="E626">
        <f t="shared" si="38"/>
        <v>5</v>
      </c>
      <c r="F626">
        <v>2010</v>
      </c>
      <c r="G626" t="s">
        <v>4845</v>
      </c>
      <c r="H626">
        <v>0</v>
      </c>
      <c r="I626" s="65">
        <v>0</v>
      </c>
      <c r="J626" t="s">
        <v>4847</v>
      </c>
      <c r="K626" s="35" t="s">
        <v>755</v>
      </c>
      <c r="L626" s="35" t="s">
        <v>4846</v>
      </c>
      <c r="M626" s="39" t="str">
        <f>HYPERLINK("http://dx.doi.org/10.1002/etc.116","10.1002/etc.116")</f>
        <v>10.1002/etc.116</v>
      </c>
      <c r="N626" s="40" t="s">
        <v>858</v>
      </c>
      <c r="O626" s="40" t="s">
        <v>690</v>
      </c>
      <c r="P626" s="40" t="s">
        <v>4848</v>
      </c>
      <c r="Q626" t="s">
        <v>316</v>
      </c>
    </row>
    <row r="627" spans="1:17" x14ac:dyDescent="0.25">
      <c r="A627" s="2" t="str">
        <f>HYPERLINK("https://www.ncbi.nlm.nih.gov/pubmed/20568621","20568621")</f>
        <v>20568621</v>
      </c>
      <c r="B627">
        <f t="shared" si="41"/>
        <v>5</v>
      </c>
      <c r="C627">
        <f t="shared" si="41"/>
        <v>0</v>
      </c>
      <c r="D627">
        <f t="shared" si="41"/>
        <v>0</v>
      </c>
      <c r="E627">
        <f t="shared" si="38"/>
        <v>5</v>
      </c>
      <c r="F627">
        <v>2010</v>
      </c>
      <c r="G627" t="s">
        <v>4884</v>
      </c>
      <c r="H627">
        <v>0</v>
      </c>
      <c r="I627" s="65">
        <v>0</v>
      </c>
      <c r="J627" t="s">
        <v>4886</v>
      </c>
      <c r="K627" s="35" t="s">
        <v>909</v>
      </c>
      <c r="L627" s="35" t="s">
        <v>4885</v>
      </c>
      <c r="M627" s="39" t="str">
        <f>HYPERLINK("http://dx.doi.org/10.1603/ec09350","10.1603/ec09350")</f>
        <v>10.1603/ec09350</v>
      </c>
      <c r="N627" s="40" t="s">
        <v>2838</v>
      </c>
      <c r="O627" s="40" t="s">
        <v>750</v>
      </c>
      <c r="P627" s="40" t="s">
        <v>4887</v>
      </c>
      <c r="Q627" t="s">
        <v>316</v>
      </c>
    </row>
    <row r="628" spans="1:17" x14ac:dyDescent="0.25">
      <c r="A628" s="2" t="str">
        <f>HYPERLINK("https://www.ncbi.nlm.nih.gov/pubmed/20040215","20040215")</f>
        <v>20040215</v>
      </c>
      <c r="B628">
        <f t="shared" si="41"/>
        <v>5</v>
      </c>
      <c r="C628">
        <f t="shared" si="41"/>
        <v>0</v>
      </c>
      <c r="D628">
        <f t="shared" si="41"/>
        <v>0</v>
      </c>
      <c r="E628">
        <f t="shared" si="38"/>
        <v>5</v>
      </c>
      <c r="F628">
        <v>2009</v>
      </c>
      <c r="G628" t="s">
        <v>4998</v>
      </c>
      <c r="H628">
        <v>0</v>
      </c>
      <c r="I628" s="65">
        <v>0</v>
      </c>
      <c r="J628" t="s">
        <v>5000</v>
      </c>
      <c r="K628" s="35" t="s">
        <v>1008</v>
      </c>
      <c r="L628" s="35" t="s">
        <v>4999</v>
      </c>
      <c r="M628" s="39" t="str">
        <f>HYPERLINK("http://dx.doi.org/10.4322/rbpv.01804015","10.4322/rbpv.01804015")</f>
        <v>10.4322/rbpv.01804015</v>
      </c>
      <c r="N628" s="40" t="s">
        <v>659</v>
      </c>
      <c r="O628" s="40" t="s">
        <v>690</v>
      </c>
      <c r="P628" s="40" t="s">
        <v>5001</v>
      </c>
      <c r="Q628" t="s">
        <v>316</v>
      </c>
    </row>
    <row r="629" spans="1:17" x14ac:dyDescent="0.25">
      <c r="A629" s="2" t="str">
        <f>HYPERLINK("https://www.ncbi.nlm.nih.gov/pubmed/20004241","20004241")</f>
        <v>20004241</v>
      </c>
      <c r="B629">
        <f t="shared" si="41"/>
        <v>5</v>
      </c>
      <c r="C629">
        <f t="shared" si="41"/>
        <v>0</v>
      </c>
      <c r="D629">
        <f t="shared" si="41"/>
        <v>0</v>
      </c>
      <c r="E629">
        <f t="shared" si="38"/>
        <v>5</v>
      </c>
      <c r="F629">
        <v>2010</v>
      </c>
      <c r="G629" t="s">
        <v>5009</v>
      </c>
      <c r="H629">
        <v>0</v>
      </c>
      <c r="I629" s="64" t="str">
        <f>HYPERLINK("https://www.ncbi.nlm.nih.gov/research/pubtator/?view=docsum&amp;query=PMC2838986","1")</f>
        <v>1</v>
      </c>
      <c r="J629" t="s">
        <v>5010</v>
      </c>
      <c r="K629" s="35" t="s">
        <v>701</v>
      </c>
      <c r="L629" s="35" t="s">
        <v>7116</v>
      </c>
      <c r="M629" s="39" t="str">
        <f>HYPERLINK("http://dx.doi.org/10.1016/j.ntt.2009.12.001","10.1016/j.ntt.2009.12.001")</f>
        <v>10.1016/j.ntt.2009.12.001</v>
      </c>
      <c r="N629" s="40" t="s">
        <v>1018</v>
      </c>
      <c r="O629" s="40" t="s">
        <v>744</v>
      </c>
      <c r="P629" s="40" t="s">
        <v>5011</v>
      </c>
      <c r="Q629" t="s">
        <v>316</v>
      </c>
    </row>
    <row r="630" spans="1:17" x14ac:dyDescent="0.25">
      <c r="A630" s="2" t="str">
        <f>HYPERLINK("https://www.ncbi.nlm.nih.gov/pubmed/19736772","19736772")</f>
        <v>19736772</v>
      </c>
      <c r="B630">
        <f t="shared" si="41"/>
        <v>5</v>
      </c>
      <c r="C630">
        <f t="shared" si="41"/>
        <v>0</v>
      </c>
      <c r="D630">
        <f t="shared" si="41"/>
        <v>0</v>
      </c>
      <c r="E630">
        <f t="shared" si="38"/>
        <v>5</v>
      </c>
      <c r="F630">
        <v>2009</v>
      </c>
      <c r="G630" t="s">
        <v>5053</v>
      </c>
      <c r="H630">
        <v>0</v>
      </c>
      <c r="I630" s="65">
        <v>0</v>
      </c>
      <c r="J630" t="s">
        <v>5055</v>
      </c>
      <c r="K630" s="35" t="s">
        <v>909</v>
      </c>
      <c r="L630" s="35" t="s">
        <v>5054</v>
      </c>
      <c r="M630" s="39" t="str">
        <f>HYPERLINK("http://dx.doi.org/10.1603/029.102.0424","10.1603/029.102.0424")</f>
        <v>10.1603/029.102.0424</v>
      </c>
      <c r="N630" s="40" t="s">
        <v>4983</v>
      </c>
      <c r="O630" s="40" t="s">
        <v>690</v>
      </c>
      <c r="P630" s="40" t="s">
        <v>5056</v>
      </c>
      <c r="Q630" t="s">
        <v>316</v>
      </c>
    </row>
    <row r="631" spans="1:17" x14ac:dyDescent="0.25">
      <c r="A631" s="2" t="str">
        <f>HYPERLINK("https://www.ncbi.nlm.nih.gov/pubmed/19701594","19701594")</f>
        <v>19701594</v>
      </c>
      <c r="B631">
        <f t="shared" si="41"/>
        <v>5</v>
      </c>
      <c r="C631">
        <f t="shared" si="41"/>
        <v>0</v>
      </c>
      <c r="D631">
        <f t="shared" si="41"/>
        <v>0</v>
      </c>
      <c r="E631">
        <f t="shared" si="38"/>
        <v>5</v>
      </c>
      <c r="F631">
        <v>2009</v>
      </c>
      <c r="G631" t="s">
        <v>5065</v>
      </c>
      <c r="H631">
        <v>0</v>
      </c>
      <c r="I631" s="65">
        <v>0</v>
      </c>
      <c r="J631" t="s">
        <v>5067</v>
      </c>
      <c r="K631" s="35" t="s">
        <v>3164</v>
      </c>
      <c r="L631" s="35" t="s">
        <v>5066</v>
      </c>
      <c r="M631" s="39" t="str">
        <f>HYPERLINK("http://dx.doi.org/10.1007/s00128-009-9850-1","10.1007/s00128-009-9850-1")</f>
        <v>10.1007/s00128-009-9850-1</v>
      </c>
      <c r="N631" s="40" t="s">
        <v>1169</v>
      </c>
      <c r="O631" s="40" t="s">
        <v>741</v>
      </c>
      <c r="P631" s="40" t="s">
        <v>5068</v>
      </c>
      <c r="Q631" t="s">
        <v>316</v>
      </c>
    </row>
    <row r="632" spans="1:17" x14ac:dyDescent="0.25">
      <c r="A632" s="2" t="str">
        <f>HYPERLINK("https://www.ncbi.nlm.nih.gov/pubmed/19653511","19653511")</f>
        <v>19653511</v>
      </c>
      <c r="B632">
        <f t="shared" si="41"/>
        <v>5</v>
      </c>
      <c r="C632">
        <f t="shared" si="41"/>
        <v>0</v>
      </c>
      <c r="D632">
        <f t="shared" si="41"/>
        <v>0</v>
      </c>
      <c r="E632">
        <f t="shared" si="38"/>
        <v>5</v>
      </c>
      <c r="F632">
        <v>2009</v>
      </c>
      <c r="G632" t="s">
        <v>5069</v>
      </c>
      <c r="H632">
        <v>0</v>
      </c>
      <c r="I632" s="65">
        <v>0</v>
      </c>
      <c r="J632" t="s">
        <v>5071</v>
      </c>
      <c r="K632" s="35" t="s">
        <v>5072</v>
      </c>
      <c r="L632" s="35" t="s">
        <v>5070</v>
      </c>
      <c r="M632" s="39" t="str">
        <f>HYPERLINK("http://dx.doi.org/10.2987/08-5816.1","10.2987/08-5816.1")</f>
        <v>10.2987/08-5816.1</v>
      </c>
      <c r="N632" s="40" t="s">
        <v>1369</v>
      </c>
      <c r="O632" s="40" t="s">
        <v>744</v>
      </c>
      <c r="P632" s="40" t="s">
        <v>5073</v>
      </c>
      <c r="Q632" t="s">
        <v>316</v>
      </c>
    </row>
    <row r="633" spans="1:17" x14ac:dyDescent="0.25">
      <c r="A633" s="2" t="str">
        <f>HYPERLINK("https://www.ncbi.nlm.nih.gov/pubmed/19648637","19648637")</f>
        <v>19648637</v>
      </c>
      <c r="B633">
        <f t="shared" si="41"/>
        <v>5</v>
      </c>
      <c r="C633">
        <f t="shared" si="41"/>
        <v>0</v>
      </c>
      <c r="D633">
        <f t="shared" si="41"/>
        <v>0</v>
      </c>
      <c r="E633">
        <f t="shared" si="38"/>
        <v>5</v>
      </c>
      <c r="F633">
        <v>2009</v>
      </c>
      <c r="G633" t="s">
        <v>5077</v>
      </c>
      <c r="H633">
        <v>0</v>
      </c>
      <c r="I633" s="65">
        <v>0</v>
      </c>
      <c r="J633" t="s">
        <v>5079</v>
      </c>
      <c r="K633" s="35" t="s">
        <v>4754</v>
      </c>
      <c r="L633" s="35" t="s">
        <v>5078</v>
      </c>
      <c r="M633" s="39" t="str">
        <f>HYPERLINK("http://dx.doi.org/10.1136/vr.165.5.135","10.1136/vr.165.5.135")</f>
        <v>10.1136/vr.165.5.135</v>
      </c>
      <c r="N633" s="40" t="s">
        <v>3005</v>
      </c>
      <c r="O633" s="40" t="s">
        <v>746</v>
      </c>
      <c r="P633" s="40" t="s">
        <v>5080</v>
      </c>
      <c r="Q633" t="s">
        <v>316</v>
      </c>
    </row>
    <row r="634" spans="1:17" x14ac:dyDescent="0.25">
      <c r="A634" s="2" t="str">
        <f>HYPERLINK("https://www.ncbi.nlm.nih.gov/pubmed/19156343","19156343")</f>
        <v>19156343</v>
      </c>
      <c r="B634">
        <f t="shared" si="41"/>
        <v>5</v>
      </c>
      <c r="C634">
        <f t="shared" si="41"/>
        <v>0</v>
      </c>
      <c r="D634">
        <f t="shared" si="41"/>
        <v>0</v>
      </c>
      <c r="E634">
        <f t="shared" si="38"/>
        <v>5</v>
      </c>
      <c r="F634">
        <v>2009</v>
      </c>
      <c r="G634" t="s">
        <v>5185</v>
      </c>
      <c r="H634">
        <v>0</v>
      </c>
      <c r="I634" s="65">
        <v>0</v>
      </c>
      <c r="J634" t="s">
        <v>5187</v>
      </c>
      <c r="K634" s="35" t="s">
        <v>3164</v>
      </c>
      <c r="L634" s="35" t="s">
        <v>5186</v>
      </c>
      <c r="M634" s="39" t="str">
        <f>HYPERLINK("http://dx.doi.org/10.1007/s00128-009-9651-6","10.1007/s00128-009-9651-6")</f>
        <v>10.1007/s00128-009-9651-6</v>
      </c>
      <c r="N634" s="40" t="s">
        <v>1332</v>
      </c>
      <c r="O634" s="40" t="s">
        <v>746</v>
      </c>
      <c r="P634" s="40" t="s">
        <v>5188</v>
      </c>
      <c r="Q634" t="s">
        <v>316</v>
      </c>
    </row>
    <row r="635" spans="1:17" x14ac:dyDescent="0.25">
      <c r="A635" s="2" t="str">
        <f>HYPERLINK("https://www.ncbi.nlm.nih.gov/pubmed/19051214","19051214")</f>
        <v>19051214</v>
      </c>
      <c r="B635">
        <f t="shared" si="41"/>
        <v>5</v>
      </c>
      <c r="C635">
        <f t="shared" si="41"/>
        <v>2</v>
      </c>
      <c r="D635">
        <f t="shared" si="41"/>
        <v>0</v>
      </c>
      <c r="E635">
        <f t="shared" si="38"/>
        <v>7</v>
      </c>
      <c r="F635">
        <v>2009</v>
      </c>
      <c r="G635" t="s">
        <v>5194</v>
      </c>
      <c r="H635">
        <v>0</v>
      </c>
      <c r="I635" s="65">
        <v>0</v>
      </c>
      <c r="J635" t="s">
        <v>5195</v>
      </c>
      <c r="K635" s="35" t="s">
        <v>968</v>
      </c>
      <c r="L635" s="35" t="s">
        <v>7127</v>
      </c>
      <c r="M635" s="39" t="str">
        <f>HYPERLINK("http://dx.doi.org/10.1002/ps.1681","10.1002/ps.1681")</f>
        <v>10.1002/ps.1681</v>
      </c>
      <c r="N635" s="40" t="s">
        <v>2738</v>
      </c>
      <c r="O635" s="40" t="s">
        <v>750</v>
      </c>
      <c r="P635" s="40" t="s">
        <v>5196</v>
      </c>
      <c r="Q635" t="s">
        <v>316</v>
      </c>
    </row>
    <row r="636" spans="1:17" x14ac:dyDescent="0.25">
      <c r="A636" s="2" t="str">
        <f>HYPERLINK("https://www.ncbi.nlm.nih.gov/pubmed/18803329","18803329")</f>
        <v>18803329</v>
      </c>
      <c r="B636">
        <f t="shared" si="41"/>
        <v>5</v>
      </c>
      <c r="C636">
        <f t="shared" si="41"/>
        <v>0</v>
      </c>
      <c r="D636">
        <f t="shared" si="41"/>
        <v>0</v>
      </c>
      <c r="E636">
        <f t="shared" si="38"/>
        <v>5</v>
      </c>
      <c r="F636">
        <v>2008</v>
      </c>
      <c r="G636" t="s">
        <v>5228</v>
      </c>
      <c r="H636">
        <v>0</v>
      </c>
      <c r="I636" s="65">
        <v>0</v>
      </c>
      <c r="J636" t="s">
        <v>5230</v>
      </c>
      <c r="K636" s="35" t="s">
        <v>968</v>
      </c>
      <c r="L636" s="35" t="s">
        <v>5229</v>
      </c>
      <c r="M636" s="39" t="str">
        <f>HYPERLINK("http://dx.doi.org/10.1002/ps.1641","10.1002/ps.1641")</f>
        <v>10.1002/ps.1641</v>
      </c>
      <c r="N636" s="40" t="s">
        <v>2243</v>
      </c>
      <c r="O636" s="40" t="s">
        <v>678</v>
      </c>
      <c r="P636" s="40" t="s">
        <v>5231</v>
      </c>
      <c r="Q636" t="s">
        <v>316</v>
      </c>
    </row>
    <row r="637" spans="1:17" x14ac:dyDescent="0.25">
      <c r="A637" s="2" t="str">
        <f>HYPERLINK("https://www.ncbi.nlm.nih.gov/pubmed/26049232","26049232")</f>
        <v>26049232</v>
      </c>
      <c r="B637">
        <f t="shared" si="41"/>
        <v>5</v>
      </c>
      <c r="C637">
        <f t="shared" si="41"/>
        <v>0</v>
      </c>
      <c r="D637">
        <f t="shared" si="41"/>
        <v>0</v>
      </c>
      <c r="E637">
        <f t="shared" si="38"/>
        <v>5</v>
      </c>
      <c r="F637">
        <v>2008</v>
      </c>
      <c r="G637" t="s">
        <v>5232</v>
      </c>
      <c r="H637">
        <v>0</v>
      </c>
      <c r="I637" s="65">
        <v>0</v>
      </c>
      <c r="J637" t="s">
        <v>5234</v>
      </c>
      <c r="K637" s="35" t="s">
        <v>786</v>
      </c>
      <c r="L637" s="35" t="s">
        <v>5233</v>
      </c>
      <c r="M637" s="39" t="str">
        <f>HYPERLINK("http://dx.doi.org/10.1016/j.foodchem.2008.02.017","10.1016/j.foodchem.2008.02.017")</f>
        <v>10.1016/j.foodchem.2008.02.017</v>
      </c>
      <c r="N637" s="40" t="s">
        <v>766</v>
      </c>
      <c r="O637" s="40" t="s">
        <v>744</v>
      </c>
      <c r="P637" s="40" t="s">
        <v>5235</v>
      </c>
      <c r="Q637" t="s">
        <v>316</v>
      </c>
    </row>
    <row r="638" spans="1:17" x14ac:dyDescent="0.25">
      <c r="A638" s="2" t="str">
        <f>HYPERLINK("https://www.ncbi.nlm.nih.gov/pubmed/18767753","18767753")</f>
        <v>18767753</v>
      </c>
      <c r="B638">
        <f t="shared" si="41"/>
        <v>5</v>
      </c>
      <c r="C638">
        <f t="shared" si="41"/>
        <v>0</v>
      </c>
      <c r="D638">
        <f t="shared" si="41"/>
        <v>0</v>
      </c>
      <c r="E638">
        <f t="shared" si="38"/>
        <v>5</v>
      </c>
      <c r="F638">
        <v>2008</v>
      </c>
      <c r="G638" t="s">
        <v>5240</v>
      </c>
      <c r="H638">
        <v>0</v>
      </c>
      <c r="I638" s="65">
        <v>0</v>
      </c>
      <c r="J638" t="s">
        <v>5242</v>
      </c>
      <c r="K638" s="35" t="s">
        <v>909</v>
      </c>
      <c r="L638" s="35" t="s">
        <v>5241</v>
      </c>
      <c r="M638" s="39" t="str">
        <f>HYPERLINK("http://dx.doi.org/10.1603/0022-0493(2008)101[1397:htoiil]2.0.co;2","10.1603/0022-0493(2008)101[1397:htoiil]2.0.co;2")</f>
        <v>10.1603/0022-0493(2008)101[1397:htoiil]2.0.co;2</v>
      </c>
      <c r="N638" s="40" t="s">
        <v>2872</v>
      </c>
      <c r="O638" s="40" t="s">
        <v>690</v>
      </c>
      <c r="P638" s="40" t="s">
        <v>5243</v>
      </c>
      <c r="Q638" t="s">
        <v>316</v>
      </c>
    </row>
    <row r="639" spans="1:17" x14ac:dyDescent="0.25">
      <c r="A639" s="2" t="str">
        <f>HYPERLINK("https://www.ncbi.nlm.nih.gov/pubmed/18619735","18619735")</f>
        <v>18619735</v>
      </c>
      <c r="B639">
        <f t="shared" si="41"/>
        <v>5</v>
      </c>
      <c r="C639">
        <f t="shared" si="41"/>
        <v>0</v>
      </c>
      <c r="D639">
        <f t="shared" si="41"/>
        <v>0</v>
      </c>
      <c r="E639">
        <f t="shared" si="38"/>
        <v>5</v>
      </c>
      <c r="F639">
        <v>2008</v>
      </c>
      <c r="G639" t="s">
        <v>5274</v>
      </c>
      <c r="H639">
        <v>0</v>
      </c>
      <c r="I639" s="65">
        <v>0</v>
      </c>
      <c r="J639" t="s">
        <v>5275</v>
      </c>
      <c r="K639" s="35" t="s">
        <v>1052</v>
      </c>
      <c r="L639" s="35" t="s">
        <v>7135</v>
      </c>
      <c r="M639" s="39" t="str">
        <f>HYPERLINK("http://dx.doi.org/10.1016/j.vetpar.2008.04.028","10.1016/j.vetpar.2008.04.028")</f>
        <v>10.1016/j.vetpar.2008.04.028</v>
      </c>
      <c r="N639" s="40" t="s">
        <v>5276</v>
      </c>
      <c r="O639" s="40" t="s">
        <v>1741</v>
      </c>
      <c r="P639" s="40" t="s">
        <v>5277</v>
      </c>
      <c r="Q639" t="s">
        <v>316</v>
      </c>
    </row>
    <row r="640" spans="1:17" x14ac:dyDescent="0.25">
      <c r="A640" s="2" t="str">
        <f>HYPERLINK("https://www.ncbi.nlm.nih.gov/pubmed/18597248","18597248")</f>
        <v>18597248</v>
      </c>
      <c r="B640">
        <f t="shared" si="41"/>
        <v>5</v>
      </c>
      <c r="C640">
        <f t="shared" si="41"/>
        <v>0</v>
      </c>
      <c r="D640">
        <f t="shared" si="41"/>
        <v>0</v>
      </c>
      <c r="E640">
        <f t="shared" si="38"/>
        <v>5</v>
      </c>
      <c r="F640">
        <v>2008</v>
      </c>
      <c r="G640" t="s">
        <v>5287</v>
      </c>
      <c r="H640">
        <v>0</v>
      </c>
      <c r="I640" s="65">
        <v>0</v>
      </c>
      <c r="J640" t="s">
        <v>5289</v>
      </c>
      <c r="K640" s="35" t="s">
        <v>5052</v>
      </c>
      <c r="L640" s="35" t="s">
        <v>5288</v>
      </c>
      <c r="M640" s="39" t="str">
        <f>HYPERLINK("http://dx.doi.org/","")</f>
        <v/>
      </c>
      <c r="N640" s="40" t="s">
        <v>660</v>
      </c>
      <c r="O640" s="40" t="s">
        <v>744</v>
      </c>
      <c r="P640" s="40" t="s">
        <v>5290</v>
      </c>
      <c r="Q640" t="s">
        <v>316</v>
      </c>
    </row>
    <row r="641" spans="1:17" x14ac:dyDescent="0.25">
      <c r="A641" s="2" t="str">
        <f>HYPERLINK("https://www.ncbi.nlm.nih.gov/pubmed/18501493","18501493")</f>
        <v>18501493</v>
      </c>
      <c r="B641">
        <f t="shared" si="41"/>
        <v>5</v>
      </c>
      <c r="C641">
        <f t="shared" si="41"/>
        <v>0</v>
      </c>
      <c r="D641">
        <f t="shared" si="41"/>
        <v>0</v>
      </c>
      <c r="E641">
        <f t="shared" si="38"/>
        <v>5</v>
      </c>
      <c r="F641">
        <v>2008</v>
      </c>
      <c r="G641" t="s">
        <v>5308</v>
      </c>
      <c r="H641">
        <v>0</v>
      </c>
      <c r="I641" s="65">
        <v>0</v>
      </c>
      <c r="J641" t="s">
        <v>5310</v>
      </c>
      <c r="K641" s="35" t="s">
        <v>695</v>
      </c>
      <c r="L641" s="35" t="s">
        <v>5309</v>
      </c>
      <c r="M641" s="39" t="str">
        <f>HYPERLINK("http://dx.doi.org/10.1016/j.fct.2008.03.034","10.1016/j.fct.2008.03.034")</f>
        <v>10.1016/j.fct.2008.03.034</v>
      </c>
      <c r="N641" s="40" t="s">
        <v>1229</v>
      </c>
      <c r="O641" s="40" t="s">
        <v>748</v>
      </c>
      <c r="P641" s="40" t="s">
        <v>5311</v>
      </c>
      <c r="Q641" t="s">
        <v>316</v>
      </c>
    </row>
    <row r="642" spans="1:17" x14ac:dyDescent="0.25">
      <c r="A642" s="2" t="str">
        <f>HYPERLINK("https://www.ncbi.nlm.nih.gov/pubmed/18232403","18232403")</f>
        <v>18232403</v>
      </c>
      <c r="B642">
        <f t="shared" si="41"/>
        <v>5</v>
      </c>
      <c r="C642">
        <f t="shared" si="41"/>
        <v>0</v>
      </c>
      <c r="D642">
        <f t="shared" si="41"/>
        <v>0</v>
      </c>
      <c r="E642">
        <f t="shared" si="38"/>
        <v>5</v>
      </c>
      <c r="F642">
        <v>2007</v>
      </c>
      <c r="G642" t="s">
        <v>5361</v>
      </c>
      <c r="H642">
        <v>0</v>
      </c>
      <c r="I642" s="65">
        <v>0</v>
      </c>
      <c r="J642" t="s">
        <v>5362</v>
      </c>
      <c r="K642" s="35" t="s">
        <v>909</v>
      </c>
      <c r="L642" s="35" t="s">
        <v>7141</v>
      </c>
      <c r="M642" s="39" t="str">
        <f>HYPERLINK("http://dx.doi.org/10.1603/0022-0493(2007)100[1854:sostmt]2.0.co;2","10.1603/0022-0493(2007)100[1854:sostmt]2.0.co;2")</f>
        <v>10.1603/0022-0493(2007)100[1854:sostmt]2.0.co;2</v>
      </c>
      <c r="N642" s="40" t="s">
        <v>2221</v>
      </c>
      <c r="O642" s="40" t="s">
        <v>741</v>
      </c>
      <c r="P642" s="40" t="s">
        <v>5363</v>
      </c>
      <c r="Q642" t="s">
        <v>316</v>
      </c>
    </row>
    <row r="643" spans="1:17" x14ac:dyDescent="0.25">
      <c r="A643" s="2" t="str">
        <f>HYPERLINK("https://www.ncbi.nlm.nih.gov/pubmed/18183544","18183544")</f>
        <v>18183544</v>
      </c>
      <c r="B643">
        <f t="shared" si="41"/>
        <v>5</v>
      </c>
      <c r="C643">
        <f t="shared" si="41"/>
        <v>0</v>
      </c>
      <c r="D643">
        <f t="shared" si="41"/>
        <v>0</v>
      </c>
      <c r="E643">
        <f t="shared" si="38"/>
        <v>5</v>
      </c>
      <c r="F643">
        <v>2007</v>
      </c>
      <c r="G643" t="s">
        <v>5375</v>
      </c>
      <c r="H643">
        <v>0</v>
      </c>
      <c r="I643" s="65">
        <v>0</v>
      </c>
      <c r="J643" t="s">
        <v>5377</v>
      </c>
      <c r="K643" s="35" t="s">
        <v>5052</v>
      </c>
      <c r="L643" s="35" t="s">
        <v>5376</v>
      </c>
      <c r="M643" s="39" t="str">
        <f>HYPERLINK("http://dx.doi.org/","")</f>
        <v/>
      </c>
      <c r="N643" s="40" t="s">
        <v>781</v>
      </c>
      <c r="O643" s="40" t="s">
        <v>690</v>
      </c>
      <c r="P643" s="40" t="s">
        <v>5378</v>
      </c>
      <c r="Q643" t="s">
        <v>316</v>
      </c>
    </row>
    <row r="644" spans="1:17" x14ac:dyDescent="0.25">
      <c r="A644" s="2" t="str">
        <f>HYPERLINK("https://www.ncbi.nlm.nih.gov/pubmed/18022186","18022186")</f>
        <v>18022186</v>
      </c>
      <c r="B644">
        <f t="shared" ref="B644:D663" si="42">IF(ISBLANK(B$3),0,(LEN($L644) - LEN(SUBSTITUTE(LOWER($L644),LOWER(B$3),"")))/LEN(B$3))</f>
        <v>5</v>
      </c>
      <c r="C644">
        <f t="shared" si="42"/>
        <v>3</v>
      </c>
      <c r="D644">
        <f t="shared" si="42"/>
        <v>0</v>
      </c>
      <c r="E644">
        <f t="shared" ref="E644:E707" si="43">SUM(B644:D644)</f>
        <v>8</v>
      </c>
      <c r="F644">
        <v>2008</v>
      </c>
      <c r="G644" t="s">
        <v>5401</v>
      </c>
      <c r="H644">
        <v>0</v>
      </c>
      <c r="I644" s="65">
        <v>0</v>
      </c>
      <c r="J644" t="s">
        <v>5403</v>
      </c>
      <c r="K644" s="35" t="s">
        <v>1052</v>
      </c>
      <c r="L644" s="35" t="s">
        <v>5402</v>
      </c>
      <c r="M644" s="39" t="str">
        <f>HYPERLINK("http://dx.doi.org/10.1016/j.vetpar.2007.10.004","10.1016/j.vetpar.2007.10.004")</f>
        <v>10.1016/j.vetpar.2007.10.004</v>
      </c>
      <c r="N644" s="40" t="s">
        <v>2163</v>
      </c>
      <c r="O644" s="40" t="s">
        <v>638</v>
      </c>
      <c r="P644" s="40" t="s">
        <v>5404</v>
      </c>
      <c r="Q644" t="s">
        <v>316</v>
      </c>
    </row>
    <row r="645" spans="1:17" x14ac:dyDescent="0.25">
      <c r="A645" s="2" t="str">
        <f>HYPERLINK("https://www.ncbi.nlm.nih.gov/pubmed/17936932","17936932")</f>
        <v>17936932</v>
      </c>
      <c r="B645">
        <f t="shared" si="42"/>
        <v>5</v>
      </c>
      <c r="C645">
        <f t="shared" si="42"/>
        <v>0</v>
      </c>
      <c r="D645">
        <f t="shared" si="42"/>
        <v>0</v>
      </c>
      <c r="E645">
        <f t="shared" si="43"/>
        <v>5</v>
      </c>
      <c r="F645">
        <v>2007</v>
      </c>
      <c r="G645" t="s">
        <v>5408</v>
      </c>
      <c r="H645">
        <v>1</v>
      </c>
      <c r="I645" s="65">
        <v>0</v>
      </c>
      <c r="J645" t="s">
        <v>5350</v>
      </c>
      <c r="K645" s="35" t="s">
        <v>2197</v>
      </c>
      <c r="L645" s="35" t="s">
        <v>7147</v>
      </c>
      <c r="M645" s="39" t="str">
        <f>HYPERLINK("http://dx.doi.org/10.1002/jbt.20175","10.1002/jbt.20175")</f>
        <v>10.1002/jbt.20175</v>
      </c>
      <c r="N645" s="40" t="s">
        <v>1364</v>
      </c>
      <c r="O645" s="40" t="s">
        <v>690</v>
      </c>
      <c r="P645" s="40" t="s">
        <v>5409</v>
      </c>
      <c r="Q645" t="s">
        <v>316</v>
      </c>
    </row>
    <row r="646" spans="1:17" x14ac:dyDescent="0.25">
      <c r="A646" s="2" t="str">
        <f>HYPERLINK("https://www.ncbi.nlm.nih.gov/pubmed/17931785","17931785")</f>
        <v>17931785</v>
      </c>
      <c r="B646">
        <f t="shared" si="42"/>
        <v>5</v>
      </c>
      <c r="C646">
        <f t="shared" si="42"/>
        <v>1</v>
      </c>
      <c r="D646">
        <f t="shared" si="42"/>
        <v>0</v>
      </c>
      <c r="E646">
        <f t="shared" si="43"/>
        <v>6</v>
      </c>
      <c r="F646">
        <v>2007</v>
      </c>
      <c r="G646" t="s">
        <v>5417</v>
      </c>
      <c r="H646">
        <v>0</v>
      </c>
      <c r="I646" s="65">
        <v>0</v>
      </c>
      <c r="J646" t="s">
        <v>5418</v>
      </c>
      <c r="K646" s="35" t="s">
        <v>1052</v>
      </c>
      <c r="L646" s="35" t="s">
        <v>7149</v>
      </c>
      <c r="M646" s="39" t="str">
        <f>HYPERLINK("http://dx.doi.org/10.1016/j.vetpar.2007.08.040","10.1016/j.vetpar.2007.08.040")</f>
        <v>10.1016/j.vetpar.2007.08.040</v>
      </c>
      <c r="N646" s="40" t="s">
        <v>4031</v>
      </c>
      <c r="O646" s="40" t="s">
        <v>750</v>
      </c>
      <c r="P646" s="40" t="s">
        <v>5419</v>
      </c>
      <c r="Q646" t="s">
        <v>316</v>
      </c>
    </row>
    <row r="647" spans="1:17" x14ac:dyDescent="0.25">
      <c r="A647" s="2" t="str">
        <f>HYPERLINK("https://www.ncbi.nlm.nih.gov/pubmed/17827472","17827472")</f>
        <v>17827472</v>
      </c>
      <c r="B647">
        <f t="shared" si="42"/>
        <v>5</v>
      </c>
      <c r="C647">
        <f t="shared" si="42"/>
        <v>1</v>
      </c>
      <c r="D647">
        <f t="shared" si="42"/>
        <v>0</v>
      </c>
      <c r="E647">
        <f t="shared" si="43"/>
        <v>6</v>
      </c>
      <c r="F647">
        <v>2007</v>
      </c>
      <c r="G647" t="s">
        <v>5443</v>
      </c>
      <c r="H647">
        <v>0</v>
      </c>
      <c r="I647" s="65">
        <v>0</v>
      </c>
      <c r="J647" t="s">
        <v>5444</v>
      </c>
      <c r="K647" s="35" t="s">
        <v>4754</v>
      </c>
      <c r="L647" s="35" t="s">
        <v>7156</v>
      </c>
      <c r="M647" s="39" t="str">
        <f>HYPERLINK("http://dx.doi.org/10.1136/vr.161.10.335","10.1136/vr.161.10.335")</f>
        <v>10.1136/vr.161.10.335</v>
      </c>
      <c r="N647" s="40" t="s">
        <v>1801</v>
      </c>
      <c r="O647" s="40" t="s">
        <v>802</v>
      </c>
      <c r="P647" s="40" t="s">
        <v>5445</v>
      </c>
      <c r="Q647" t="s">
        <v>316</v>
      </c>
    </row>
    <row r="648" spans="1:17" x14ac:dyDescent="0.25">
      <c r="A648" s="2" t="str">
        <f>HYPERLINK("https://www.ncbi.nlm.nih.gov/pubmed/17615118","17615118")</f>
        <v>17615118</v>
      </c>
      <c r="B648">
        <f t="shared" si="42"/>
        <v>5</v>
      </c>
      <c r="C648">
        <f t="shared" si="42"/>
        <v>0</v>
      </c>
      <c r="D648">
        <f t="shared" si="42"/>
        <v>0</v>
      </c>
      <c r="E648">
        <f t="shared" si="43"/>
        <v>5</v>
      </c>
      <c r="F648">
        <v>2007</v>
      </c>
      <c r="G648" t="s">
        <v>5462</v>
      </c>
      <c r="H648">
        <v>1</v>
      </c>
      <c r="I648" s="64" t="str">
        <f>HYPERLINK("https://www.ncbi.nlm.nih.gov/research/pubtator/?view=docsum&amp;query=PMC2677724","1")</f>
        <v>1</v>
      </c>
      <c r="J648" t="s">
        <v>5463</v>
      </c>
      <c r="K648" s="35" t="s">
        <v>3074</v>
      </c>
      <c r="L648" s="35" t="s">
        <v>7158</v>
      </c>
      <c r="M648" s="39" t="str">
        <f>HYPERLINK("http://dx.doi.org/10.1177/0960327106078408","10.1177/0960327106078408")</f>
        <v>10.1177/0960327106078408</v>
      </c>
      <c r="N648" s="40" t="s">
        <v>752</v>
      </c>
      <c r="O648" s="40" t="s">
        <v>690</v>
      </c>
      <c r="P648" s="40" t="s">
        <v>5464</v>
      </c>
      <c r="Q648" t="s">
        <v>316</v>
      </c>
    </row>
    <row r="649" spans="1:17" x14ac:dyDescent="0.25">
      <c r="A649" s="2" t="str">
        <f>HYPERLINK("https://www.ncbi.nlm.nih.gov/pubmed/17206404","17206404")</f>
        <v>17206404</v>
      </c>
      <c r="B649">
        <f t="shared" si="42"/>
        <v>5</v>
      </c>
      <c r="C649">
        <f t="shared" si="42"/>
        <v>0</v>
      </c>
      <c r="D649">
        <f t="shared" si="42"/>
        <v>0</v>
      </c>
      <c r="E649">
        <f t="shared" si="43"/>
        <v>5</v>
      </c>
      <c r="F649">
        <v>2007</v>
      </c>
      <c r="G649" t="s">
        <v>5517</v>
      </c>
      <c r="H649">
        <v>0</v>
      </c>
      <c r="I649" s="65">
        <v>0</v>
      </c>
      <c r="J649" t="s">
        <v>5519</v>
      </c>
      <c r="K649" s="35" t="s">
        <v>5171</v>
      </c>
      <c r="L649" s="35" t="s">
        <v>5518</v>
      </c>
      <c r="M649" s="39" t="str">
        <f>HYPERLINK("http://dx.doi.org/10.1007/s00894-006-0167-2","10.1007/s00894-006-0167-2")</f>
        <v>10.1007/s00894-006-0167-2</v>
      </c>
      <c r="N649" s="40" t="s">
        <v>742</v>
      </c>
      <c r="O649" s="40" t="s">
        <v>750</v>
      </c>
      <c r="P649" s="40" t="s">
        <v>5520</v>
      </c>
      <c r="Q649" t="s">
        <v>316</v>
      </c>
    </row>
    <row r="650" spans="1:17" x14ac:dyDescent="0.25">
      <c r="A650" s="2" t="str">
        <f>HYPERLINK("https://www.ncbi.nlm.nih.gov/pubmed/17177495","17177495")</f>
        <v>17177495</v>
      </c>
      <c r="B650">
        <f t="shared" si="42"/>
        <v>5</v>
      </c>
      <c r="C650">
        <f t="shared" si="42"/>
        <v>0</v>
      </c>
      <c r="D650">
        <f t="shared" si="42"/>
        <v>0</v>
      </c>
      <c r="E650">
        <f t="shared" si="43"/>
        <v>5</v>
      </c>
      <c r="F650">
        <v>2006</v>
      </c>
      <c r="G650" t="s">
        <v>5534</v>
      </c>
      <c r="H650">
        <v>0</v>
      </c>
      <c r="I650" s="65">
        <v>0</v>
      </c>
      <c r="J650" t="s">
        <v>5536</v>
      </c>
      <c r="K650" s="35" t="s">
        <v>770</v>
      </c>
      <c r="L650" s="35" t="s">
        <v>5535</v>
      </c>
      <c r="M650" s="39" t="str">
        <f>HYPERLINK("http://dx.doi.org/10.1021/jf062035+","10.1021/jf062035+")</f>
        <v>10.1021/jf062035+</v>
      </c>
      <c r="N650" s="40" t="s">
        <v>2010</v>
      </c>
      <c r="O650" s="40" t="s">
        <v>752</v>
      </c>
      <c r="P650" s="40" t="s">
        <v>5537</v>
      </c>
      <c r="Q650" t="s">
        <v>316</v>
      </c>
    </row>
    <row r="651" spans="1:17" x14ac:dyDescent="0.25">
      <c r="A651" s="2" t="str">
        <f>HYPERLINK("https://www.ncbi.nlm.nih.gov/pubmed/16022321","16022321")</f>
        <v>16022321</v>
      </c>
      <c r="B651">
        <f t="shared" si="42"/>
        <v>5</v>
      </c>
      <c r="C651">
        <f t="shared" si="42"/>
        <v>0</v>
      </c>
      <c r="D651">
        <f t="shared" si="42"/>
        <v>0</v>
      </c>
      <c r="E651">
        <f t="shared" si="43"/>
        <v>5</v>
      </c>
      <c r="F651">
        <v>2005</v>
      </c>
      <c r="G651" t="s">
        <v>5762</v>
      </c>
      <c r="H651">
        <v>0</v>
      </c>
      <c r="I651" s="65">
        <v>0</v>
      </c>
      <c r="J651" t="s">
        <v>5764</v>
      </c>
      <c r="K651" s="35" t="s">
        <v>909</v>
      </c>
      <c r="L651" s="35" t="s">
        <v>5763</v>
      </c>
      <c r="M651" s="39" t="str">
        <f>HYPERLINK("http://dx.doi.org/10.1603/0022-0493-98.3.911","10.1603/0022-0493-98.3.911")</f>
        <v>10.1603/0022-0493-98.3.911</v>
      </c>
      <c r="N651" s="40" t="s">
        <v>3516</v>
      </c>
      <c r="O651" s="40" t="s">
        <v>750</v>
      </c>
      <c r="P651" s="40" t="s">
        <v>5765</v>
      </c>
      <c r="Q651" t="s">
        <v>316</v>
      </c>
    </row>
    <row r="652" spans="1:17" x14ac:dyDescent="0.25">
      <c r="A652" s="2" t="str">
        <f>HYPERLINK("https://www.ncbi.nlm.nih.gov/pubmed/15666766","15666766")</f>
        <v>15666766</v>
      </c>
      <c r="B652">
        <f t="shared" si="42"/>
        <v>5</v>
      </c>
      <c r="C652">
        <f t="shared" si="42"/>
        <v>0</v>
      </c>
      <c r="D652">
        <f t="shared" si="42"/>
        <v>0</v>
      </c>
      <c r="E652">
        <f t="shared" si="43"/>
        <v>5</v>
      </c>
      <c r="F652">
        <v>2004</v>
      </c>
      <c r="G652" t="s">
        <v>5837</v>
      </c>
      <c r="H652">
        <v>0</v>
      </c>
      <c r="I652" s="65">
        <v>0</v>
      </c>
      <c r="J652" t="s">
        <v>5556</v>
      </c>
      <c r="K652" s="35" t="s">
        <v>909</v>
      </c>
      <c r="L652" s="35" t="s">
        <v>5838</v>
      </c>
      <c r="M652" s="39" t="str">
        <f>HYPERLINK("http://dx.doi.org/10.1093/jee/97.6.2067","10.1093/jee/97.6.2067")</f>
        <v>10.1093/jee/97.6.2067</v>
      </c>
      <c r="N652" s="40" t="s">
        <v>749</v>
      </c>
      <c r="O652" s="40" t="s">
        <v>741</v>
      </c>
      <c r="P652" s="40" t="s">
        <v>5839</v>
      </c>
      <c r="Q652" t="s">
        <v>316</v>
      </c>
    </row>
    <row r="653" spans="1:17" x14ac:dyDescent="0.25">
      <c r="A653" s="2" t="str">
        <f>HYPERLINK("https://www.ncbi.nlm.nih.gov/pubmed/15666765","15666765")</f>
        <v>15666765</v>
      </c>
      <c r="B653">
        <f t="shared" si="42"/>
        <v>5</v>
      </c>
      <c r="C653">
        <f t="shared" si="42"/>
        <v>0</v>
      </c>
      <c r="D653">
        <f t="shared" si="42"/>
        <v>0</v>
      </c>
      <c r="E653">
        <f t="shared" si="43"/>
        <v>5</v>
      </c>
      <c r="F653">
        <v>2004</v>
      </c>
      <c r="G653" t="s">
        <v>5840</v>
      </c>
      <c r="H653">
        <v>0</v>
      </c>
      <c r="I653" s="65">
        <v>0</v>
      </c>
      <c r="J653" t="s">
        <v>5841</v>
      </c>
      <c r="K653" s="35" t="s">
        <v>909</v>
      </c>
      <c r="L653" s="35" t="s">
        <v>7204</v>
      </c>
      <c r="M653" s="39" t="str">
        <f>HYPERLINK("http://dx.doi.org/10.1093/jee/97.6.2057","10.1093/jee/97.6.2057")</f>
        <v>10.1093/jee/97.6.2057</v>
      </c>
      <c r="N653" s="40" t="s">
        <v>749</v>
      </c>
      <c r="O653" s="40" t="s">
        <v>741</v>
      </c>
      <c r="P653" s="40" t="s">
        <v>5842</v>
      </c>
      <c r="Q653" t="s">
        <v>316</v>
      </c>
    </row>
    <row r="654" spans="1:17" x14ac:dyDescent="0.25">
      <c r="A654" s="2" t="str">
        <f>HYPERLINK("https://www.ncbi.nlm.nih.gov/pubmed/15597898","15597898")</f>
        <v>15597898</v>
      </c>
      <c r="B654">
        <f t="shared" si="42"/>
        <v>5</v>
      </c>
      <c r="C654">
        <f t="shared" si="42"/>
        <v>0</v>
      </c>
      <c r="D654">
        <f t="shared" si="42"/>
        <v>0</v>
      </c>
      <c r="E654">
        <f t="shared" si="43"/>
        <v>5</v>
      </c>
      <c r="F654">
        <v>2004</v>
      </c>
      <c r="G654" t="s">
        <v>5865</v>
      </c>
      <c r="H654">
        <v>0</v>
      </c>
      <c r="I654" s="65">
        <v>0</v>
      </c>
      <c r="J654" t="s">
        <v>5866</v>
      </c>
      <c r="K654" s="35" t="s">
        <v>1058</v>
      </c>
      <c r="L654" s="35" t="s">
        <v>7207</v>
      </c>
      <c r="M654" s="39" t="str">
        <f>HYPERLINK("http://dx.doi.org/10.1021/es049654o","10.1021/es049654o")</f>
        <v>10.1021/es049654o</v>
      </c>
      <c r="N654" s="40" t="s">
        <v>3973</v>
      </c>
      <c r="O654" s="40" t="s">
        <v>737</v>
      </c>
      <c r="P654" s="40" t="s">
        <v>5867</v>
      </c>
      <c r="Q654" t="s">
        <v>316</v>
      </c>
    </row>
    <row r="655" spans="1:17" x14ac:dyDescent="0.25">
      <c r="A655" s="2" t="str">
        <f>HYPERLINK("https://www.ncbi.nlm.nih.gov/pubmed/15486667","15486667")</f>
        <v>15486667</v>
      </c>
      <c r="B655">
        <f t="shared" si="42"/>
        <v>5</v>
      </c>
      <c r="C655">
        <f t="shared" si="42"/>
        <v>0</v>
      </c>
      <c r="D655">
        <f t="shared" si="42"/>
        <v>0</v>
      </c>
      <c r="E655">
        <f t="shared" si="43"/>
        <v>5</v>
      </c>
      <c r="F655">
        <v>2004</v>
      </c>
      <c r="G655" t="s">
        <v>5890</v>
      </c>
      <c r="H655">
        <v>0</v>
      </c>
      <c r="I655" s="65">
        <v>0</v>
      </c>
      <c r="J655" t="s">
        <v>5892</v>
      </c>
      <c r="K655" s="35" t="s">
        <v>5893</v>
      </c>
      <c r="L655" s="35" t="s">
        <v>5891</v>
      </c>
      <c r="M655" s="39" t="str">
        <f>HYPERLINK("http://dx.doi.org/10.1590/s0102-311x2004000500018","10.1590/s0102-311x2004000500018")</f>
        <v>10.1590/s0102-311x2004000500018</v>
      </c>
      <c r="N655" s="40" t="s">
        <v>1109</v>
      </c>
      <c r="O655" s="40" t="s">
        <v>746</v>
      </c>
      <c r="P655" s="40" t="s">
        <v>5894</v>
      </c>
      <c r="Q655" t="s">
        <v>316</v>
      </c>
    </row>
    <row r="656" spans="1:17" x14ac:dyDescent="0.25">
      <c r="A656" s="2" t="str">
        <f>HYPERLINK("https://www.ncbi.nlm.nih.gov/pubmed/12836967","12836967")</f>
        <v>12836967</v>
      </c>
      <c r="B656">
        <f t="shared" si="42"/>
        <v>5</v>
      </c>
      <c r="C656">
        <f t="shared" si="42"/>
        <v>2</v>
      </c>
      <c r="D656">
        <f t="shared" si="42"/>
        <v>0</v>
      </c>
      <c r="E656">
        <f t="shared" si="43"/>
        <v>7</v>
      </c>
      <c r="F656">
        <v>2003</v>
      </c>
      <c r="G656" t="s">
        <v>6039</v>
      </c>
      <c r="H656">
        <v>0</v>
      </c>
      <c r="I656" s="65">
        <v>0</v>
      </c>
      <c r="J656" t="s">
        <v>6040</v>
      </c>
      <c r="K656" s="35" t="s">
        <v>755</v>
      </c>
      <c r="L656" s="35" t="s">
        <v>7225</v>
      </c>
      <c r="M656" s="39" t="str">
        <f>HYPERLINK("http://dx.doi.org/","")</f>
        <v/>
      </c>
      <c r="N656" s="40" t="s">
        <v>1092</v>
      </c>
      <c r="O656" s="40" t="s">
        <v>748</v>
      </c>
      <c r="P656" s="40" t="s">
        <v>6041</v>
      </c>
      <c r="Q656" t="s">
        <v>316</v>
      </c>
    </row>
    <row r="657" spans="1:17" x14ac:dyDescent="0.25">
      <c r="A657" s="2" t="str">
        <f>HYPERLINK("https://www.ncbi.nlm.nih.gov/pubmed/12718344","12718344")</f>
        <v>12718344</v>
      </c>
      <c r="B657">
        <f t="shared" si="42"/>
        <v>5</v>
      </c>
      <c r="C657">
        <f t="shared" si="42"/>
        <v>0</v>
      </c>
      <c r="D657">
        <f t="shared" si="42"/>
        <v>0</v>
      </c>
      <c r="E657">
        <f t="shared" si="43"/>
        <v>5</v>
      </c>
      <c r="F657">
        <v>2002</v>
      </c>
      <c r="G657" t="s">
        <v>6069</v>
      </c>
      <c r="H657">
        <v>0</v>
      </c>
      <c r="I657" s="65">
        <v>0</v>
      </c>
      <c r="J657" t="s">
        <v>6071</v>
      </c>
      <c r="K657" s="35" t="s">
        <v>6072</v>
      </c>
      <c r="L657" s="35" t="s">
        <v>6070</v>
      </c>
      <c r="M657" s="39" t="str">
        <f>HYPERLINK("http://dx.doi.org/","")</f>
        <v/>
      </c>
      <c r="N657" s="40" t="s">
        <v>1467</v>
      </c>
      <c r="O657" s="40" t="s">
        <v>638</v>
      </c>
      <c r="P657" s="40" t="s">
        <v>6073</v>
      </c>
      <c r="Q657" t="s">
        <v>316</v>
      </c>
    </row>
    <row r="658" spans="1:17" x14ac:dyDescent="0.25">
      <c r="A658" s="2" t="str">
        <f>HYPERLINK("https://www.ncbi.nlm.nih.gov/pubmed/12622471","12622471")</f>
        <v>12622471</v>
      </c>
      <c r="B658">
        <f t="shared" si="42"/>
        <v>5</v>
      </c>
      <c r="C658">
        <f t="shared" si="42"/>
        <v>0</v>
      </c>
      <c r="D658">
        <f t="shared" si="42"/>
        <v>0</v>
      </c>
      <c r="E658">
        <f t="shared" si="43"/>
        <v>5</v>
      </c>
      <c r="F658">
        <v>2003</v>
      </c>
      <c r="G658" t="s">
        <v>6081</v>
      </c>
      <c r="H658">
        <v>0</v>
      </c>
      <c r="I658" s="65">
        <v>0</v>
      </c>
      <c r="J658" t="s">
        <v>6083</v>
      </c>
      <c r="K658" s="35" t="s">
        <v>6084</v>
      </c>
      <c r="L658" s="35" t="s">
        <v>6082</v>
      </c>
      <c r="M658" s="39" t="str">
        <f>HYPERLINK("http://dx.doi.org/10.1111/j.1748-5827.2003.tb00123.x","10.1111/j.1748-5827.2003.tb00123.x")</f>
        <v>10.1111/j.1748-5827.2003.tb00123.x</v>
      </c>
      <c r="N658" s="40" t="s">
        <v>2001</v>
      </c>
      <c r="O658" s="40" t="s">
        <v>744</v>
      </c>
      <c r="P658" s="40" t="s">
        <v>6085</v>
      </c>
      <c r="Q658" t="s">
        <v>316</v>
      </c>
    </row>
    <row r="659" spans="1:17" x14ac:dyDescent="0.25">
      <c r="A659" s="2" t="str">
        <f>HYPERLINK("https://www.ncbi.nlm.nih.gov/pubmed/12591200","12591200")</f>
        <v>12591200</v>
      </c>
      <c r="B659">
        <f t="shared" si="42"/>
        <v>5</v>
      </c>
      <c r="C659">
        <f t="shared" si="42"/>
        <v>0</v>
      </c>
      <c r="D659">
        <f t="shared" si="42"/>
        <v>0</v>
      </c>
      <c r="E659">
        <f t="shared" si="43"/>
        <v>5</v>
      </c>
      <c r="F659">
        <v>2003</v>
      </c>
      <c r="G659" t="s">
        <v>6095</v>
      </c>
      <c r="H659">
        <v>0</v>
      </c>
      <c r="I659" s="65">
        <v>0</v>
      </c>
      <c r="J659" t="s">
        <v>6096</v>
      </c>
      <c r="K659" s="35" t="s">
        <v>1052</v>
      </c>
      <c r="L659" s="35" t="s">
        <v>7230</v>
      </c>
      <c r="M659" s="39" t="str">
        <f>HYPERLINK("http://dx.doi.org/10.1016/s0304-4017(02)00425-9","10.1016/s0304-4017(02)00425-9")</f>
        <v>10.1016/s0304-4017(02)00425-9</v>
      </c>
      <c r="N659" s="40" t="s">
        <v>2026</v>
      </c>
      <c r="O659" s="40" t="s">
        <v>750</v>
      </c>
      <c r="P659" s="40" t="s">
        <v>6097</v>
      </c>
      <c r="Q659" t="s">
        <v>316</v>
      </c>
    </row>
    <row r="660" spans="1:17" x14ac:dyDescent="0.25">
      <c r="A660" s="2" t="str">
        <f>HYPERLINK("https://www.ncbi.nlm.nih.gov/pubmed/12503761","12503761")</f>
        <v>12503761</v>
      </c>
      <c r="B660">
        <f t="shared" si="42"/>
        <v>5</v>
      </c>
      <c r="C660">
        <f t="shared" si="42"/>
        <v>0</v>
      </c>
      <c r="D660">
        <f t="shared" si="42"/>
        <v>0</v>
      </c>
      <c r="E660">
        <f t="shared" si="43"/>
        <v>5</v>
      </c>
      <c r="F660">
        <v>2003</v>
      </c>
      <c r="G660" t="s">
        <v>6107</v>
      </c>
      <c r="H660">
        <v>0</v>
      </c>
      <c r="I660" s="65">
        <v>0</v>
      </c>
      <c r="J660" t="s">
        <v>6108</v>
      </c>
      <c r="K660" s="35" t="s">
        <v>755</v>
      </c>
      <c r="L660" s="35" t="s">
        <v>7233</v>
      </c>
      <c r="M660" s="39" t="str">
        <f>HYPERLINK("http://dx.doi.org/","")</f>
        <v/>
      </c>
      <c r="N660" s="40" t="s">
        <v>1092</v>
      </c>
      <c r="O660" s="40" t="s">
        <v>638</v>
      </c>
      <c r="P660" s="40" t="s">
        <v>6109</v>
      </c>
      <c r="Q660" t="s">
        <v>316</v>
      </c>
    </row>
    <row r="661" spans="1:17" x14ac:dyDescent="0.25">
      <c r="A661" s="2" t="str">
        <f>HYPERLINK("https://www.ncbi.nlm.nih.gov/pubmed/12118589","12118589")</f>
        <v>12118589</v>
      </c>
      <c r="B661">
        <f t="shared" si="42"/>
        <v>5</v>
      </c>
      <c r="C661">
        <f t="shared" si="42"/>
        <v>0</v>
      </c>
      <c r="D661">
        <f t="shared" si="42"/>
        <v>0</v>
      </c>
      <c r="E661">
        <f t="shared" si="43"/>
        <v>5</v>
      </c>
      <c r="F661">
        <v>2002</v>
      </c>
      <c r="G661" t="s">
        <v>6147</v>
      </c>
      <c r="H661">
        <v>0</v>
      </c>
      <c r="I661" s="65">
        <v>0</v>
      </c>
      <c r="J661" t="s">
        <v>6149</v>
      </c>
      <c r="K661" s="35" t="s">
        <v>1649</v>
      </c>
      <c r="L661" s="35" t="s">
        <v>6148</v>
      </c>
      <c r="M661" s="39" t="str">
        <f>HYPERLINK("http://dx.doi.org/10.2460/javma.2002.221.254","10.2460/javma.2002.221.254")</f>
        <v>10.2460/javma.2002.221.254</v>
      </c>
      <c r="N661" s="40" t="s">
        <v>6150</v>
      </c>
      <c r="O661" s="40" t="s">
        <v>744</v>
      </c>
      <c r="P661" s="40" t="s">
        <v>6151</v>
      </c>
      <c r="Q661" t="s">
        <v>316</v>
      </c>
    </row>
    <row r="662" spans="1:17" x14ac:dyDescent="0.25">
      <c r="A662" s="2" t="str">
        <f>HYPERLINK("https://www.ncbi.nlm.nih.gov/pubmed/11777036","11777036")</f>
        <v>11777036</v>
      </c>
      <c r="B662">
        <f t="shared" si="42"/>
        <v>5</v>
      </c>
      <c r="C662">
        <f t="shared" si="42"/>
        <v>0</v>
      </c>
      <c r="D662">
        <f t="shared" si="42"/>
        <v>0</v>
      </c>
      <c r="E662">
        <f t="shared" si="43"/>
        <v>5</v>
      </c>
      <c r="F662">
        <v>2001</v>
      </c>
      <c r="G662" t="s">
        <v>6193</v>
      </c>
      <c r="H662">
        <v>0</v>
      </c>
      <c r="I662" s="65">
        <v>0</v>
      </c>
      <c r="J662" t="s">
        <v>6194</v>
      </c>
      <c r="K662" s="35" t="s">
        <v>909</v>
      </c>
      <c r="L662" s="35" t="s">
        <v>7238</v>
      </c>
      <c r="M662" s="39" t="str">
        <f>HYPERLINK("http://dx.doi.org/10.1603/0022-0493-94.6.1353","10.1603/0022-0493-94.6.1353")</f>
        <v>10.1603/0022-0493-94.6.1353</v>
      </c>
      <c r="N662" s="40" t="s">
        <v>1562</v>
      </c>
      <c r="O662" s="40" t="s">
        <v>741</v>
      </c>
      <c r="P662" s="40" t="s">
        <v>6195</v>
      </c>
      <c r="Q662" t="s">
        <v>316</v>
      </c>
    </row>
    <row r="663" spans="1:17" x14ac:dyDescent="0.25">
      <c r="A663" s="2" t="str">
        <f>HYPERLINK("https://www.ncbi.nlm.nih.gov/pubmed/11681687","11681687")</f>
        <v>11681687</v>
      </c>
      <c r="B663">
        <f t="shared" si="42"/>
        <v>5</v>
      </c>
      <c r="C663">
        <f t="shared" si="42"/>
        <v>0</v>
      </c>
      <c r="D663">
        <f t="shared" si="42"/>
        <v>0</v>
      </c>
      <c r="E663">
        <f t="shared" si="43"/>
        <v>5</v>
      </c>
      <c r="F663">
        <v>2001</v>
      </c>
      <c r="G663" t="s">
        <v>6209</v>
      </c>
      <c r="H663">
        <v>0</v>
      </c>
      <c r="I663" s="65">
        <v>0</v>
      </c>
      <c r="J663" t="s">
        <v>6210</v>
      </c>
      <c r="K663" s="35" t="s">
        <v>909</v>
      </c>
      <c r="L663" s="35" t="s">
        <v>7242</v>
      </c>
      <c r="M663" s="39" t="str">
        <f>HYPERLINK("http://dx.doi.org/10.1603/0022-0493-94.5.1217","10.1603/0022-0493-94.5.1217")</f>
        <v>10.1603/0022-0493-94.5.1217</v>
      </c>
      <c r="N663" s="40" t="s">
        <v>1562</v>
      </c>
      <c r="O663" s="40" t="s">
        <v>746</v>
      </c>
      <c r="P663" s="40" t="s">
        <v>6211</v>
      </c>
      <c r="Q663" t="s">
        <v>316</v>
      </c>
    </row>
    <row r="664" spans="1:17" x14ac:dyDescent="0.25">
      <c r="A664" s="2" t="str">
        <f>HYPERLINK("https://www.ncbi.nlm.nih.gov/pubmed/11312652","11312652")</f>
        <v>11312652</v>
      </c>
      <c r="B664">
        <f t="shared" ref="B664:D683" si="44">IF(ISBLANK(B$3),0,(LEN($L664) - LEN(SUBSTITUTE(LOWER($L664),LOWER(B$3),"")))/LEN(B$3))</f>
        <v>5</v>
      </c>
      <c r="C664">
        <f t="shared" si="44"/>
        <v>0</v>
      </c>
      <c r="D664">
        <f t="shared" si="44"/>
        <v>0</v>
      </c>
      <c r="E664">
        <f t="shared" si="43"/>
        <v>5</v>
      </c>
      <c r="F664">
        <v>2001</v>
      </c>
      <c r="G664" t="s">
        <v>6277</v>
      </c>
      <c r="H664">
        <v>0</v>
      </c>
      <c r="I664" s="65">
        <v>0</v>
      </c>
      <c r="J664" t="s">
        <v>6278</v>
      </c>
      <c r="K664" s="35" t="s">
        <v>767</v>
      </c>
      <c r="L664" s="35" t="s">
        <v>7246</v>
      </c>
      <c r="M664" s="39" t="str">
        <f>HYPERLINK("http://dx.doi.org/10.1006/taap.2001.9154","10.1006/taap.2001.9154")</f>
        <v>10.1006/taap.2001.9154</v>
      </c>
      <c r="N664" s="40" t="s">
        <v>725</v>
      </c>
      <c r="O664" s="40" t="s">
        <v>750</v>
      </c>
      <c r="P664" s="40" t="s">
        <v>6279</v>
      </c>
      <c r="Q664" t="s">
        <v>316</v>
      </c>
    </row>
    <row r="665" spans="1:17" x14ac:dyDescent="0.25">
      <c r="A665" s="2" t="str">
        <f>HYPERLINK("https://www.ncbi.nlm.nih.gov/pubmed/11297105","11297105")</f>
        <v>11297105</v>
      </c>
      <c r="B665">
        <f t="shared" si="44"/>
        <v>5</v>
      </c>
      <c r="C665">
        <f t="shared" si="44"/>
        <v>0</v>
      </c>
      <c r="D665">
        <f t="shared" si="44"/>
        <v>0</v>
      </c>
      <c r="E665">
        <f t="shared" si="43"/>
        <v>5</v>
      </c>
      <c r="F665">
        <v>2001</v>
      </c>
      <c r="G665" t="s">
        <v>6280</v>
      </c>
      <c r="H665">
        <v>0</v>
      </c>
      <c r="I665" s="65">
        <v>0</v>
      </c>
      <c r="J665" t="s">
        <v>6281</v>
      </c>
      <c r="K665" s="35" t="s">
        <v>1466</v>
      </c>
      <c r="L665" s="35" t="s">
        <v>7247</v>
      </c>
      <c r="M665" s="39" t="str">
        <f>HYPERLINK("http://dx.doi.org/10.1046/j.1365-2915.2001.00270.x","10.1046/j.1365-2915.2001.00270.x")</f>
        <v>10.1046/j.1365-2915.2001.00270.x</v>
      </c>
      <c r="N665" s="40" t="s">
        <v>929</v>
      </c>
      <c r="O665" s="40" t="s">
        <v>638</v>
      </c>
      <c r="P665" s="40" t="s">
        <v>6282</v>
      </c>
      <c r="Q665" t="s">
        <v>316</v>
      </c>
    </row>
    <row r="666" spans="1:17" x14ac:dyDescent="0.25">
      <c r="A666" s="2" t="str">
        <f>HYPERLINK("https://www.ncbi.nlm.nih.gov/pubmed/11293567","11293567")</f>
        <v>11293567</v>
      </c>
      <c r="B666">
        <f t="shared" si="44"/>
        <v>5</v>
      </c>
      <c r="C666">
        <f t="shared" si="44"/>
        <v>0</v>
      </c>
      <c r="D666">
        <f t="shared" si="44"/>
        <v>0</v>
      </c>
      <c r="E666">
        <f t="shared" si="43"/>
        <v>5</v>
      </c>
      <c r="F666">
        <v>2001</v>
      </c>
      <c r="G666" t="s">
        <v>6291</v>
      </c>
      <c r="H666">
        <v>0</v>
      </c>
      <c r="I666" s="65">
        <v>0</v>
      </c>
      <c r="J666" t="s">
        <v>6292</v>
      </c>
      <c r="K666" s="35" t="s">
        <v>1210</v>
      </c>
      <c r="L666" s="35" t="s">
        <v>7248</v>
      </c>
      <c r="M666" s="39" t="str">
        <f>HYPERLINK("http://dx.doi.org/10.1007/pl00008575","10.1007/pl00008575")</f>
        <v>10.1007/pl00008575</v>
      </c>
      <c r="N666" s="40" t="s">
        <v>5135</v>
      </c>
      <c r="O666" s="40" t="s">
        <v>750</v>
      </c>
      <c r="P666" s="40" t="s">
        <v>6293</v>
      </c>
      <c r="Q666" t="s">
        <v>316</v>
      </c>
    </row>
    <row r="667" spans="1:17" x14ac:dyDescent="0.25">
      <c r="A667" s="2" t="str">
        <f>HYPERLINK("https://www.ncbi.nlm.nih.gov/pubmed/10826197","10826197")</f>
        <v>10826197</v>
      </c>
      <c r="B667">
        <f t="shared" si="44"/>
        <v>5</v>
      </c>
      <c r="C667">
        <f t="shared" si="44"/>
        <v>0</v>
      </c>
      <c r="D667">
        <f t="shared" si="44"/>
        <v>0</v>
      </c>
      <c r="E667">
        <f t="shared" si="43"/>
        <v>5</v>
      </c>
      <c r="F667">
        <v>2000</v>
      </c>
      <c r="G667" t="s">
        <v>6359</v>
      </c>
      <c r="H667">
        <v>0</v>
      </c>
      <c r="I667" s="65">
        <v>0</v>
      </c>
      <c r="J667" t="s">
        <v>6024</v>
      </c>
      <c r="K667" s="35" t="s">
        <v>909</v>
      </c>
      <c r="L667" s="35" t="s">
        <v>6360</v>
      </c>
      <c r="M667" s="39" t="str">
        <f>HYPERLINK("http://dx.doi.org/10.1603/0022-0493-93.2.434","10.1603/0022-0493-93.2.434")</f>
        <v>10.1603/0022-0493-93.2.434</v>
      </c>
      <c r="N667" s="40" t="s">
        <v>1900</v>
      </c>
      <c r="O667" s="40" t="s">
        <v>744</v>
      </c>
      <c r="P667" s="40" t="s">
        <v>6361</v>
      </c>
      <c r="Q667" t="s">
        <v>316</v>
      </c>
    </row>
    <row r="668" spans="1:17" x14ac:dyDescent="0.25">
      <c r="A668" s="2" t="str">
        <f>HYPERLINK("https://www.ncbi.nlm.nih.gov/pubmed/10698677","10698677")</f>
        <v>10698677</v>
      </c>
      <c r="B668">
        <f t="shared" si="44"/>
        <v>5</v>
      </c>
      <c r="C668">
        <f t="shared" si="44"/>
        <v>0</v>
      </c>
      <c r="D668">
        <f t="shared" si="44"/>
        <v>0</v>
      </c>
      <c r="E668">
        <f t="shared" si="43"/>
        <v>5</v>
      </c>
      <c r="F668">
        <v>2000</v>
      </c>
      <c r="G668" t="s">
        <v>6374</v>
      </c>
      <c r="H668">
        <v>0</v>
      </c>
      <c r="I668" s="65">
        <v>0</v>
      </c>
      <c r="J668" t="s">
        <v>6375</v>
      </c>
      <c r="K668" s="35" t="s">
        <v>767</v>
      </c>
      <c r="L668" s="35" t="s">
        <v>7259</v>
      </c>
      <c r="M668" s="39" t="str">
        <f>HYPERLINK("http://dx.doi.org/10.1006/taap.1999.8865","10.1006/taap.1999.8865")</f>
        <v>10.1006/taap.1999.8865</v>
      </c>
      <c r="N668" s="40" t="s">
        <v>1644</v>
      </c>
      <c r="O668" s="40" t="s">
        <v>744</v>
      </c>
      <c r="P668" s="40" t="s">
        <v>6376</v>
      </c>
      <c r="Q668" t="s">
        <v>316</v>
      </c>
    </row>
    <row r="669" spans="1:17" x14ac:dyDescent="0.25">
      <c r="A669" s="2" t="str">
        <f>HYPERLINK("https://www.ncbi.nlm.nih.gov/pubmed/9673927","9673927")</f>
        <v>9673927</v>
      </c>
      <c r="B669">
        <f t="shared" si="44"/>
        <v>5</v>
      </c>
      <c r="C669">
        <f t="shared" si="44"/>
        <v>0</v>
      </c>
      <c r="D669">
        <f t="shared" si="44"/>
        <v>0</v>
      </c>
      <c r="E669">
        <f t="shared" si="43"/>
        <v>5</v>
      </c>
      <c r="F669">
        <v>1998</v>
      </c>
      <c r="G669" t="s">
        <v>6419</v>
      </c>
      <c r="H669">
        <v>0</v>
      </c>
      <c r="I669" s="65">
        <v>0</v>
      </c>
      <c r="J669" t="s">
        <v>6421</v>
      </c>
      <c r="K669" s="35" t="s">
        <v>5072</v>
      </c>
      <c r="L669" s="35" t="s">
        <v>6420</v>
      </c>
      <c r="M669" s="39" t="str">
        <f>HYPERLINK("http://dx.doi.org/","")</f>
        <v/>
      </c>
      <c r="N669" s="40" t="s">
        <v>871</v>
      </c>
      <c r="O669" s="40" t="s">
        <v>744</v>
      </c>
      <c r="P669" s="40" t="s">
        <v>6422</v>
      </c>
      <c r="Q669" t="s">
        <v>316</v>
      </c>
    </row>
    <row r="670" spans="1:17" x14ac:dyDescent="0.25">
      <c r="A670" s="2" t="str">
        <f>HYPERLINK("https://www.ncbi.nlm.nih.gov/pubmed/9561711","9561711")</f>
        <v>9561711</v>
      </c>
      <c r="B670">
        <f t="shared" si="44"/>
        <v>5</v>
      </c>
      <c r="C670">
        <f t="shared" si="44"/>
        <v>0</v>
      </c>
      <c r="D670">
        <f t="shared" si="44"/>
        <v>0</v>
      </c>
      <c r="E670">
        <f t="shared" si="43"/>
        <v>5</v>
      </c>
      <c r="F670">
        <v>1998</v>
      </c>
      <c r="G670" t="s">
        <v>6431</v>
      </c>
      <c r="H670">
        <v>0</v>
      </c>
      <c r="I670" s="65">
        <v>0</v>
      </c>
      <c r="J670" t="s">
        <v>6432</v>
      </c>
      <c r="K670" s="35" t="s">
        <v>1052</v>
      </c>
      <c r="L670" s="35" t="s">
        <v>7266</v>
      </c>
      <c r="M670" s="39" t="str">
        <f>HYPERLINK("http://dx.doi.org/10.1016/s0304-4017(97)00152-0","10.1016/s0304-4017(97)00152-0")</f>
        <v>10.1016/s0304-4017(97)00152-0</v>
      </c>
      <c r="N670" s="40" t="s">
        <v>2474</v>
      </c>
      <c r="O670" s="40" t="s">
        <v>4523</v>
      </c>
      <c r="P670" s="40" t="s">
        <v>6433</v>
      </c>
      <c r="Q670" t="s">
        <v>316</v>
      </c>
    </row>
    <row r="671" spans="1:17" x14ac:dyDescent="0.25">
      <c r="A671" s="2" t="str">
        <f>HYPERLINK("https://www.ncbi.nlm.nih.gov/pubmed/9002435","9002435")</f>
        <v>9002435</v>
      </c>
      <c r="B671">
        <f t="shared" si="44"/>
        <v>5</v>
      </c>
      <c r="C671">
        <f t="shared" si="44"/>
        <v>0</v>
      </c>
      <c r="D671">
        <f t="shared" si="44"/>
        <v>0</v>
      </c>
      <c r="E671">
        <f t="shared" si="43"/>
        <v>5</v>
      </c>
      <c r="F671">
        <v>1997</v>
      </c>
      <c r="G671" t="s">
        <v>6458</v>
      </c>
      <c r="H671">
        <v>0</v>
      </c>
      <c r="I671" s="65">
        <v>0</v>
      </c>
      <c r="J671" t="s">
        <v>6460</v>
      </c>
      <c r="K671" s="35" t="s">
        <v>1395</v>
      </c>
      <c r="L671" s="35" t="s">
        <v>6459</v>
      </c>
      <c r="M671" s="39" t="str">
        <f>HYPERLINK("http://dx.doi.org/10.1007/s002449900155","10.1007/s002449900155")</f>
        <v>10.1007/s002449900155</v>
      </c>
      <c r="N671" s="40" t="s">
        <v>1018</v>
      </c>
      <c r="O671" s="40" t="s">
        <v>638</v>
      </c>
      <c r="P671" s="40" t="s">
        <v>6461</v>
      </c>
      <c r="Q671" t="s">
        <v>316</v>
      </c>
    </row>
    <row r="672" spans="1:17" x14ac:dyDescent="0.25">
      <c r="A672" s="2" t="str">
        <f>HYPERLINK("https://www.ncbi.nlm.nih.gov/pubmed/34356537","34356537")</f>
        <v>34356537</v>
      </c>
      <c r="B672">
        <f t="shared" si="44"/>
        <v>4</v>
      </c>
      <c r="C672">
        <f t="shared" si="44"/>
        <v>7</v>
      </c>
      <c r="D672">
        <f t="shared" si="44"/>
        <v>0</v>
      </c>
      <c r="E672">
        <f t="shared" si="43"/>
        <v>11</v>
      </c>
      <c r="F672">
        <v>2021</v>
      </c>
      <c r="G672" t="s">
        <v>798</v>
      </c>
      <c r="H672">
        <v>0</v>
      </c>
      <c r="I672" s="64" t="str">
        <f>HYPERLINK("https://www.ncbi.nlm.nih.gov/research/pubtator/?view=docsum&amp;query=PMC8301478","1")</f>
        <v>1</v>
      </c>
      <c r="J672" t="s">
        <v>800</v>
      </c>
      <c r="K672" s="35" t="s">
        <v>801</v>
      </c>
      <c r="L672" s="35" t="s">
        <v>799</v>
      </c>
      <c r="M672" s="39" t="str">
        <f>HYPERLINK("http://dx.doi.org/10.3390/biology10070682","10.3390/biology10070682")</f>
        <v>10.3390/biology10070682</v>
      </c>
      <c r="N672" s="40" t="s">
        <v>802</v>
      </c>
      <c r="O672" s="40" t="s">
        <v>748</v>
      </c>
      <c r="P672" s="40" t="s">
        <v>383</v>
      </c>
      <c r="Q672" t="s">
        <v>316</v>
      </c>
    </row>
    <row r="673" spans="1:17" x14ac:dyDescent="0.25">
      <c r="A673" s="2" t="str">
        <f>HYPERLINK("https://www.ncbi.nlm.nih.gov/pubmed/34352653","34352653")</f>
        <v>34352653</v>
      </c>
      <c r="B673">
        <f t="shared" si="44"/>
        <v>4</v>
      </c>
      <c r="C673">
        <f t="shared" si="44"/>
        <v>1</v>
      </c>
      <c r="D673">
        <f t="shared" si="44"/>
        <v>0</v>
      </c>
      <c r="E673">
        <f t="shared" si="43"/>
        <v>5</v>
      </c>
      <c r="F673">
        <v>2021</v>
      </c>
      <c r="G673" t="s">
        <v>803</v>
      </c>
      <c r="H673">
        <v>0</v>
      </c>
      <c r="I673" s="65">
        <v>0</v>
      </c>
      <c r="J673" t="s">
        <v>804</v>
      </c>
      <c r="K673" s="35" t="s">
        <v>805</v>
      </c>
      <c r="L673" s="35" t="s">
        <v>6531</v>
      </c>
      <c r="M673" s="39" t="str">
        <f>HYPERLINK("http://dx.doi.org/10.1016/j.acthis.2021.151764","10.1016/j.acthis.2021.151764")</f>
        <v>10.1016/j.acthis.2021.151764</v>
      </c>
      <c r="N673" s="40" t="s">
        <v>806</v>
      </c>
      <c r="O673" s="40" t="s">
        <v>741</v>
      </c>
      <c r="P673" s="40" t="s">
        <v>807</v>
      </c>
      <c r="Q673" t="s">
        <v>316</v>
      </c>
    </row>
    <row r="674" spans="1:17" x14ac:dyDescent="0.25">
      <c r="A674" s="2" t="str">
        <f>HYPERLINK("https://www.ncbi.nlm.nih.gov/pubmed/34184332","34184332")</f>
        <v>34184332</v>
      </c>
      <c r="B674">
        <f t="shared" si="44"/>
        <v>4</v>
      </c>
      <c r="C674">
        <f t="shared" si="44"/>
        <v>0</v>
      </c>
      <c r="D674">
        <f t="shared" si="44"/>
        <v>0</v>
      </c>
      <c r="E674">
        <f t="shared" si="43"/>
        <v>4</v>
      </c>
      <c r="F674">
        <v>2021</v>
      </c>
      <c r="G674" t="s">
        <v>873</v>
      </c>
      <c r="H674">
        <v>0</v>
      </c>
      <c r="I674" s="65">
        <v>0</v>
      </c>
      <c r="J674" t="s">
        <v>875</v>
      </c>
      <c r="K674" s="35" t="s">
        <v>876</v>
      </c>
      <c r="L674" s="35" t="s">
        <v>874</v>
      </c>
      <c r="M674" s="39" t="str">
        <f>HYPERLINK("http://dx.doi.org/10.1002/chir.23336","10.1002/chir.23336")</f>
        <v>10.1002/chir.23336</v>
      </c>
      <c r="N674" s="40" t="s">
        <v>877</v>
      </c>
      <c r="O674" s="40" t="s">
        <v>660</v>
      </c>
      <c r="P674" s="40" t="s">
        <v>878</v>
      </c>
      <c r="Q674" t="s">
        <v>316</v>
      </c>
    </row>
    <row r="675" spans="1:17" x14ac:dyDescent="0.25">
      <c r="A675" s="2" t="str">
        <f>HYPERLINK("https://www.ncbi.nlm.nih.gov/pubmed/33970228","33970228")</f>
        <v>33970228</v>
      </c>
      <c r="B675">
        <f t="shared" si="44"/>
        <v>4</v>
      </c>
      <c r="C675">
        <f t="shared" si="44"/>
        <v>0</v>
      </c>
      <c r="D675">
        <f t="shared" si="44"/>
        <v>0</v>
      </c>
      <c r="E675">
        <f t="shared" si="43"/>
        <v>4</v>
      </c>
      <c r="F675">
        <v>2021</v>
      </c>
      <c r="G675" t="s">
        <v>969</v>
      </c>
      <c r="H675">
        <v>0</v>
      </c>
      <c r="I675" s="65">
        <v>0</v>
      </c>
      <c r="J675" t="s">
        <v>971</v>
      </c>
      <c r="K675" s="35" t="s">
        <v>909</v>
      </c>
      <c r="L675" s="35" t="s">
        <v>970</v>
      </c>
      <c r="M675" s="39" t="str">
        <f>HYPERLINK("http://dx.doi.org/10.1093/jee/toab079","10.1093/jee/toab079")</f>
        <v>10.1093/jee/toab079</v>
      </c>
      <c r="N675" s="40" t="s">
        <v>910</v>
      </c>
      <c r="O675" s="40" t="s">
        <v>690</v>
      </c>
      <c r="P675" s="40" t="s">
        <v>972</v>
      </c>
      <c r="Q675" t="s">
        <v>316</v>
      </c>
    </row>
    <row r="676" spans="1:17" x14ac:dyDescent="0.25">
      <c r="A676" s="2" t="str">
        <f>HYPERLINK("https://www.ncbi.nlm.nih.gov/pubmed/33940742","33940742")</f>
        <v>33940742</v>
      </c>
      <c r="B676">
        <f t="shared" si="44"/>
        <v>4</v>
      </c>
      <c r="C676">
        <f t="shared" si="44"/>
        <v>0</v>
      </c>
      <c r="D676">
        <f t="shared" si="44"/>
        <v>0</v>
      </c>
      <c r="E676">
        <f t="shared" si="43"/>
        <v>4</v>
      </c>
      <c r="F676">
        <v>2021</v>
      </c>
      <c r="G676" t="s">
        <v>980</v>
      </c>
      <c r="H676">
        <v>0</v>
      </c>
      <c r="I676" s="65">
        <v>0</v>
      </c>
      <c r="J676" t="s">
        <v>981</v>
      </c>
      <c r="K676" s="35" t="s">
        <v>670</v>
      </c>
      <c r="L676" s="35" t="s">
        <v>6549</v>
      </c>
      <c r="M676" s="39" t="str">
        <f>HYPERLINK("http://dx.doi.org/10.1016/j.scitotenv.2021.145636","10.1016/j.scitotenv.2021.145636")</f>
        <v>10.1016/j.scitotenv.2021.145636</v>
      </c>
      <c r="N676" s="40" t="s">
        <v>982</v>
      </c>
      <c r="O676" s="40" t="s">
        <v>383</v>
      </c>
      <c r="P676" s="40" t="s">
        <v>983</v>
      </c>
      <c r="Q676" t="s">
        <v>316</v>
      </c>
    </row>
    <row r="677" spans="1:17" x14ac:dyDescent="0.25">
      <c r="A677" s="2" t="str">
        <f>HYPERLINK("https://www.ncbi.nlm.nih.gov/pubmed/33933775","33933775")</f>
        <v>33933775</v>
      </c>
      <c r="B677">
        <f t="shared" si="44"/>
        <v>4</v>
      </c>
      <c r="C677">
        <f t="shared" si="44"/>
        <v>5</v>
      </c>
      <c r="D677">
        <f t="shared" si="44"/>
        <v>0</v>
      </c>
      <c r="E677">
        <f t="shared" si="43"/>
        <v>9</v>
      </c>
      <c r="F677">
        <v>2021</v>
      </c>
      <c r="G677" t="s">
        <v>984</v>
      </c>
      <c r="H677">
        <v>0</v>
      </c>
      <c r="I677" s="65">
        <v>0</v>
      </c>
      <c r="J677" t="s">
        <v>985</v>
      </c>
      <c r="K677" s="35" t="s">
        <v>670</v>
      </c>
      <c r="L677" s="35" t="s">
        <v>6550</v>
      </c>
      <c r="M677" s="39" t="str">
        <f>HYPERLINK("http://dx.doi.org/10.1016/j.scitotenv.2021.147384","10.1016/j.scitotenv.2021.147384")</f>
        <v>10.1016/j.scitotenv.2021.147384</v>
      </c>
      <c r="N677" s="40" t="s">
        <v>986</v>
      </c>
      <c r="O677" s="40" t="s">
        <v>383</v>
      </c>
      <c r="P677" s="40" t="s">
        <v>987</v>
      </c>
      <c r="Q677" t="s">
        <v>316</v>
      </c>
    </row>
    <row r="678" spans="1:17" x14ac:dyDescent="0.25">
      <c r="A678" s="2" t="str">
        <f>HYPERLINK("https://www.ncbi.nlm.nih.gov/pubmed/33771263","33771263")</f>
        <v>33771263</v>
      </c>
      <c r="B678">
        <f t="shared" si="44"/>
        <v>4</v>
      </c>
      <c r="C678">
        <f t="shared" si="44"/>
        <v>0</v>
      </c>
      <c r="D678">
        <f t="shared" si="44"/>
        <v>0</v>
      </c>
      <c r="E678">
        <f t="shared" si="43"/>
        <v>4</v>
      </c>
      <c r="F678">
        <v>2021</v>
      </c>
      <c r="G678" t="s">
        <v>1034</v>
      </c>
      <c r="H678">
        <v>0</v>
      </c>
      <c r="I678" s="65">
        <v>0</v>
      </c>
      <c r="J678" t="s">
        <v>1036</v>
      </c>
      <c r="K678" s="35" t="s">
        <v>831</v>
      </c>
      <c r="L678" s="35" t="s">
        <v>1035</v>
      </c>
      <c r="M678" s="39" t="str">
        <f>HYPERLINK("http://dx.doi.org/10.1016/j.pestbp.2021.104785","10.1016/j.pestbp.2021.104785")</f>
        <v>10.1016/j.pestbp.2021.104785</v>
      </c>
      <c r="N678" s="40" t="s">
        <v>1037</v>
      </c>
      <c r="O678" s="40" t="s">
        <v>383</v>
      </c>
      <c r="P678" s="40" t="s">
        <v>1038</v>
      </c>
      <c r="Q678" t="s">
        <v>316</v>
      </c>
    </row>
    <row r="679" spans="1:17" x14ac:dyDescent="0.25">
      <c r="A679" s="2" t="str">
        <f>HYPERLINK("https://www.ncbi.nlm.nih.gov/pubmed/33456276","33456276")</f>
        <v>33456276</v>
      </c>
      <c r="B679">
        <f t="shared" si="44"/>
        <v>4</v>
      </c>
      <c r="C679">
        <f t="shared" si="44"/>
        <v>0</v>
      </c>
      <c r="D679">
        <f t="shared" si="44"/>
        <v>0</v>
      </c>
      <c r="E679">
        <f t="shared" si="43"/>
        <v>4</v>
      </c>
      <c r="F679">
        <v>2020</v>
      </c>
      <c r="G679" t="s">
        <v>1117</v>
      </c>
      <c r="H679">
        <v>0</v>
      </c>
      <c r="I679" s="64" t="str">
        <f>HYPERLINK("https://www.ncbi.nlm.nih.gov/research/pubtator/?view=docsum&amp;query=PMC7806194","1")</f>
        <v>1</v>
      </c>
      <c r="J679" t="s">
        <v>1119</v>
      </c>
      <c r="K679" s="35" t="s">
        <v>1120</v>
      </c>
      <c r="L679" s="35" t="s">
        <v>1118</v>
      </c>
      <c r="M679" s="39" t="str">
        <f>HYPERLINK("http://dx.doi.org/10.1002/elan.202000051","10.1002/elan.202000051")</f>
        <v>10.1002/elan.202000051</v>
      </c>
      <c r="N679" s="40" t="s">
        <v>1018</v>
      </c>
      <c r="O679" s="40" t="s">
        <v>660</v>
      </c>
      <c r="P679" s="40" t="s">
        <v>1121</v>
      </c>
      <c r="Q679" t="s">
        <v>316</v>
      </c>
    </row>
    <row r="680" spans="1:17" x14ac:dyDescent="0.25">
      <c r="A680" s="2" t="str">
        <f>HYPERLINK("https://www.ncbi.nlm.nih.gov/pubmed/33443713","33443713")</f>
        <v>33443713</v>
      </c>
      <c r="B680">
        <f t="shared" si="44"/>
        <v>4</v>
      </c>
      <c r="C680">
        <f t="shared" si="44"/>
        <v>0</v>
      </c>
      <c r="D680">
        <f t="shared" si="44"/>
        <v>0</v>
      </c>
      <c r="E680">
        <f t="shared" si="43"/>
        <v>4</v>
      </c>
      <c r="F680">
        <v>2021</v>
      </c>
      <c r="G680" t="s">
        <v>1125</v>
      </c>
      <c r="H680">
        <v>0</v>
      </c>
      <c r="I680" s="65">
        <v>0</v>
      </c>
      <c r="J680" t="s">
        <v>1127</v>
      </c>
      <c r="K680" s="35" t="s">
        <v>730</v>
      </c>
      <c r="L680" s="35" t="s">
        <v>1126</v>
      </c>
      <c r="M680" s="39" t="str">
        <f>HYPERLINK("http://dx.doi.org/10.1007/s10646-020-02324-y","10.1007/s10646-020-02324-y")</f>
        <v>10.1007/s10646-020-02324-y</v>
      </c>
      <c r="N680" s="40" t="s">
        <v>745</v>
      </c>
      <c r="O680" s="40" t="s">
        <v>744</v>
      </c>
      <c r="P680" s="40" t="s">
        <v>1128</v>
      </c>
      <c r="Q680" t="s">
        <v>316</v>
      </c>
    </row>
    <row r="681" spans="1:17" x14ac:dyDescent="0.25">
      <c r="A681" s="2" t="str">
        <f>HYPERLINK("https://www.ncbi.nlm.nih.gov/pubmed/33396142","33396142")</f>
        <v>33396142</v>
      </c>
      <c r="B681">
        <f t="shared" si="44"/>
        <v>4</v>
      </c>
      <c r="C681">
        <f t="shared" si="44"/>
        <v>0</v>
      </c>
      <c r="D681">
        <f t="shared" si="44"/>
        <v>0</v>
      </c>
      <c r="E681">
        <f t="shared" si="43"/>
        <v>4</v>
      </c>
      <c r="F681">
        <v>2021</v>
      </c>
      <c r="G681" t="s">
        <v>1149</v>
      </c>
      <c r="H681">
        <v>0</v>
      </c>
      <c r="I681" s="65">
        <v>0</v>
      </c>
      <c r="J681" t="s">
        <v>1150</v>
      </c>
      <c r="K681" s="35" t="s">
        <v>714</v>
      </c>
      <c r="L681" s="35" t="s">
        <v>6565</v>
      </c>
      <c r="M681" s="39" t="str">
        <f>HYPERLINK("http://dx.doi.org/10.1016/j.ecoenv.2020.111622","10.1016/j.ecoenv.2020.111622")</f>
        <v>10.1016/j.ecoenv.2020.111622</v>
      </c>
      <c r="N681" s="40" t="s">
        <v>1151</v>
      </c>
      <c r="O681" s="40" t="s">
        <v>383</v>
      </c>
      <c r="P681" s="40" t="s">
        <v>1152</v>
      </c>
      <c r="Q681" t="s">
        <v>316</v>
      </c>
    </row>
    <row r="682" spans="1:17" x14ac:dyDescent="0.25">
      <c r="A682" s="2" t="str">
        <f>HYPERLINK("https://www.ncbi.nlm.nih.gov/pubmed/33361683","33361683")</f>
        <v>33361683</v>
      </c>
      <c r="B682">
        <f t="shared" si="44"/>
        <v>4</v>
      </c>
      <c r="C682">
        <f t="shared" si="44"/>
        <v>1</v>
      </c>
      <c r="D682">
        <f t="shared" si="44"/>
        <v>0</v>
      </c>
      <c r="E682">
        <f t="shared" si="43"/>
        <v>5</v>
      </c>
      <c r="F682">
        <v>2021</v>
      </c>
      <c r="G682" t="s">
        <v>1165</v>
      </c>
      <c r="H682">
        <v>0</v>
      </c>
      <c r="I682" s="64" t="str">
        <f>HYPERLINK("https://www.ncbi.nlm.nih.gov/research/pubtator/?view=docsum&amp;query=PMC7972900","1")</f>
        <v>1</v>
      </c>
      <c r="J682" t="s">
        <v>1167</v>
      </c>
      <c r="K682" s="35" t="s">
        <v>1168</v>
      </c>
      <c r="L682" s="35" t="s">
        <v>1166</v>
      </c>
      <c r="M682" s="39" t="str">
        <f>HYPERLINK("http://dx.doi.org/10.1292/jvms.20-0551","10.1292/jvms.20-0551")</f>
        <v>10.1292/jvms.20-0551</v>
      </c>
      <c r="N682" s="40" t="s">
        <v>1169</v>
      </c>
      <c r="O682" s="40" t="s">
        <v>744</v>
      </c>
      <c r="P682" s="40" t="s">
        <v>1170</v>
      </c>
      <c r="Q682" t="s">
        <v>316</v>
      </c>
    </row>
    <row r="683" spans="1:17" x14ac:dyDescent="0.25">
      <c r="A683" s="2" t="str">
        <f>HYPERLINK("https://www.ncbi.nlm.nih.gov/pubmed/33050807","33050807")</f>
        <v>33050807</v>
      </c>
      <c r="B683">
        <f t="shared" si="44"/>
        <v>4</v>
      </c>
      <c r="C683">
        <f t="shared" si="44"/>
        <v>0</v>
      </c>
      <c r="D683">
        <f t="shared" si="44"/>
        <v>0</v>
      </c>
      <c r="E683">
        <f t="shared" si="43"/>
        <v>4</v>
      </c>
      <c r="F683">
        <v>2021</v>
      </c>
      <c r="G683" t="s">
        <v>1295</v>
      </c>
      <c r="H683">
        <v>0</v>
      </c>
      <c r="I683" s="65">
        <v>0</v>
      </c>
      <c r="J683" t="s">
        <v>1297</v>
      </c>
      <c r="K683" s="35" t="s">
        <v>1298</v>
      </c>
      <c r="L683" s="35" t="s">
        <v>1296</v>
      </c>
      <c r="M683" s="39" t="str">
        <f>HYPERLINK("http://dx.doi.org/10.1080/15376516.2020.1831122","10.1080/15376516.2020.1831122")</f>
        <v>10.1080/15376516.2020.1831122</v>
      </c>
      <c r="N683" s="40" t="s">
        <v>753</v>
      </c>
      <c r="O683" s="40" t="s">
        <v>638</v>
      </c>
      <c r="P683" s="40" t="s">
        <v>1299</v>
      </c>
      <c r="Q683" t="s">
        <v>316</v>
      </c>
    </row>
    <row r="684" spans="1:17" x14ac:dyDescent="0.25">
      <c r="A684" s="2" t="str">
        <f>HYPERLINK("https://www.ncbi.nlm.nih.gov/pubmed/32940837","32940837")</f>
        <v>32940837</v>
      </c>
      <c r="B684">
        <f t="shared" ref="B684:D703" si="45">IF(ISBLANK(B$3),0,(LEN($L684) - LEN(SUBSTITUTE(LOWER($L684),LOWER(B$3),"")))/LEN(B$3))</f>
        <v>4</v>
      </c>
      <c r="C684">
        <f t="shared" si="45"/>
        <v>0</v>
      </c>
      <c r="D684">
        <f t="shared" si="45"/>
        <v>0</v>
      </c>
      <c r="E684">
        <f t="shared" si="43"/>
        <v>4</v>
      </c>
      <c r="F684">
        <v>2021</v>
      </c>
      <c r="G684" t="s">
        <v>1358</v>
      </c>
      <c r="H684">
        <v>0</v>
      </c>
      <c r="I684" s="65">
        <v>0</v>
      </c>
      <c r="J684" t="s">
        <v>1359</v>
      </c>
      <c r="K684" s="35" t="s">
        <v>810</v>
      </c>
      <c r="L684" s="35" t="s">
        <v>6596</v>
      </c>
      <c r="M684" s="39" t="str">
        <f>HYPERLINK("http://dx.doi.org/10.1007/s11356-020-10798-w","10.1007/s11356-020-10798-w")</f>
        <v>10.1007/s11356-020-10798-w</v>
      </c>
      <c r="N684" s="40" t="s">
        <v>731</v>
      </c>
      <c r="O684" s="40" t="s">
        <v>690</v>
      </c>
      <c r="P684" s="40" t="s">
        <v>1360</v>
      </c>
      <c r="Q684" t="s">
        <v>316</v>
      </c>
    </row>
    <row r="685" spans="1:17" x14ac:dyDescent="0.25">
      <c r="A685" s="2" t="str">
        <f>HYPERLINK("https://www.ncbi.nlm.nih.gov/pubmed/32860191","32860191")</f>
        <v>32860191</v>
      </c>
      <c r="B685">
        <f t="shared" si="45"/>
        <v>4</v>
      </c>
      <c r="C685">
        <f t="shared" si="45"/>
        <v>0</v>
      </c>
      <c r="D685">
        <f t="shared" si="45"/>
        <v>0</v>
      </c>
      <c r="E685">
        <f t="shared" si="43"/>
        <v>4</v>
      </c>
      <c r="F685">
        <v>2020</v>
      </c>
      <c r="G685" t="s">
        <v>1389</v>
      </c>
      <c r="H685">
        <v>0</v>
      </c>
      <c r="I685" s="65">
        <v>0</v>
      </c>
      <c r="J685" t="s">
        <v>1390</v>
      </c>
      <c r="K685" s="35" t="s">
        <v>1391</v>
      </c>
      <c r="L685" s="35" t="s">
        <v>6600</v>
      </c>
      <c r="M685" s="39" t="str">
        <f>HYPERLINK("http://dx.doi.org/10.1007/s11626-020-00480-3","10.1007/s11626-020-00480-3")</f>
        <v>10.1007/s11626-020-00480-3</v>
      </c>
      <c r="N685" s="40" t="s">
        <v>751</v>
      </c>
      <c r="O685" s="40" t="s">
        <v>748</v>
      </c>
      <c r="P685" s="40" t="s">
        <v>1392</v>
      </c>
      <c r="Q685" t="s">
        <v>316</v>
      </c>
    </row>
    <row r="686" spans="1:17" x14ac:dyDescent="0.25">
      <c r="A686" s="2" t="str">
        <f>HYPERLINK("https://www.ncbi.nlm.nih.gov/pubmed/32772290","32772290")</f>
        <v>32772290</v>
      </c>
      <c r="B686">
        <f t="shared" si="45"/>
        <v>4</v>
      </c>
      <c r="C686">
        <f t="shared" si="45"/>
        <v>2</v>
      </c>
      <c r="D686">
        <f t="shared" si="45"/>
        <v>0</v>
      </c>
      <c r="E686">
        <f t="shared" si="43"/>
        <v>6</v>
      </c>
      <c r="F686">
        <v>2020</v>
      </c>
      <c r="G686" t="s">
        <v>1432</v>
      </c>
      <c r="H686">
        <v>0</v>
      </c>
      <c r="I686" s="65">
        <v>0</v>
      </c>
      <c r="J686" t="s">
        <v>1433</v>
      </c>
      <c r="K686" s="35" t="s">
        <v>810</v>
      </c>
      <c r="L686" s="35" t="s">
        <v>6607</v>
      </c>
      <c r="M686" s="39" t="str">
        <f>HYPERLINK("http://dx.doi.org/10.1007/s11356-020-10306-0","10.1007/s11356-020-10306-0")</f>
        <v>10.1007/s11356-020-10306-0</v>
      </c>
      <c r="N686" s="40" t="s">
        <v>1116</v>
      </c>
      <c r="O686" s="40" t="s">
        <v>639</v>
      </c>
      <c r="P686" s="40" t="s">
        <v>1434</v>
      </c>
      <c r="Q686" t="s">
        <v>316</v>
      </c>
    </row>
    <row r="687" spans="1:17" x14ac:dyDescent="0.25">
      <c r="A687" s="2" t="str">
        <f>HYPERLINK("https://www.ncbi.nlm.nih.gov/pubmed/32751827","32751827")</f>
        <v>32751827</v>
      </c>
      <c r="B687">
        <f t="shared" si="45"/>
        <v>4</v>
      </c>
      <c r="C687">
        <f t="shared" si="45"/>
        <v>2</v>
      </c>
      <c r="D687">
        <f t="shared" si="45"/>
        <v>0</v>
      </c>
      <c r="E687">
        <f t="shared" si="43"/>
        <v>6</v>
      </c>
      <c r="F687">
        <v>2020</v>
      </c>
      <c r="G687" t="s">
        <v>1439</v>
      </c>
      <c r="H687">
        <v>0</v>
      </c>
      <c r="I687" s="64" t="str">
        <f>HYPERLINK("https://www.ncbi.nlm.nih.gov/research/pubtator/?view=docsum&amp;query=PMC7435388","1")</f>
        <v>1</v>
      </c>
      <c r="J687" t="s">
        <v>1440</v>
      </c>
      <c r="K687" s="35" t="s">
        <v>736</v>
      </c>
      <c r="L687" s="35" t="s">
        <v>6608</v>
      </c>
      <c r="M687" s="39" t="str">
        <f>HYPERLINK("http://dx.doi.org/10.3390/molecules25153479","10.3390/molecules25153479")</f>
        <v>10.3390/molecules25153479</v>
      </c>
      <c r="N687" s="40" t="s">
        <v>1369</v>
      </c>
      <c r="O687" s="40" t="s">
        <v>929</v>
      </c>
      <c r="P687" s="40" t="s">
        <v>383</v>
      </c>
      <c r="Q687" t="s">
        <v>316</v>
      </c>
    </row>
    <row r="688" spans="1:17" x14ac:dyDescent="0.25">
      <c r="A688" s="2" t="str">
        <f>HYPERLINK("https://www.ncbi.nlm.nih.gov/pubmed/32651782","32651782")</f>
        <v>32651782</v>
      </c>
      <c r="B688">
        <f t="shared" si="45"/>
        <v>4</v>
      </c>
      <c r="C688">
        <f t="shared" si="45"/>
        <v>2</v>
      </c>
      <c r="D688">
        <f t="shared" si="45"/>
        <v>0</v>
      </c>
      <c r="E688">
        <f t="shared" si="43"/>
        <v>6</v>
      </c>
      <c r="F688">
        <v>2020</v>
      </c>
      <c r="G688" t="s">
        <v>1475</v>
      </c>
      <c r="H688">
        <v>0</v>
      </c>
      <c r="I688" s="65">
        <v>0</v>
      </c>
      <c r="J688" t="s">
        <v>1477</v>
      </c>
      <c r="K688" s="35" t="s">
        <v>810</v>
      </c>
      <c r="L688" s="35" t="s">
        <v>1476</v>
      </c>
      <c r="M688" s="39" t="str">
        <f>HYPERLINK("http://dx.doi.org/10.1007/s11356-020-10018-5","10.1007/s11356-020-10018-5")</f>
        <v>10.1007/s11356-020-10018-5</v>
      </c>
      <c r="N688" s="40" t="s">
        <v>1116</v>
      </c>
      <c r="O688" s="40" t="s">
        <v>753</v>
      </c>
      <c r="P688" s="40" t="s">
        <v>1478</v>
      </c>
      <c r="Q688" t="s">
        <v>316</v>
      </c>
    </row>
    <row r="689" spans="1:17" x14ac:dyDescent="0.25">
      <c r="A689" s="2" t="str">
        <f>HYPERLINK("https://www.ncbi.nlm.nih.gov/pubmed/32557616","32557616")</f>
        <v>32557616</v>
      </c>
      <c r="B689">
        <f t="shared" si="45"/>
        <v>4</v>
      </c>
      <c r="C689">
        <f t="shared" si="45"/>
        <v>0</v>
      </c>
      <c r="D689">
        <f t="shared" si="45"/>
        <v>0</v>
      </c>
      <c r="E689">
        <f t="shared" si="43"/>
        <v>4</v>
      </c>
      <c r="F689">
        <v>2020</v>
      </c>
      <c r="G689" t="s">
        <v>1490</v>
      </c>
      <c r="H689">
        <v>0</v>
      </c>
      <c r="I689" s="65">
        <v>0</v>
      </c>
      <c r="J689" t="s">
        <v>1492</v>
      </c>
      <c r="K689" s="35" t="s">
        <v>1493</v>
      </c>
      <c r="L689" s="35" t="s">
        <v>1491</v>
      </c>
      <c r="M689" s="39" t="str">
        <f>HYPERLINK("http://dx.doi.org/10.1111/risa.13533","10.1111/risa.13533")</f>
        <v>10.1111/risa.13533</v>
      </c>
      <c r="N689" s="40" t="s">
        <v>1494</v>
      </c>
      <c r="O689" s="40" t="s">
        <v>802</v>
      </c>
      <c r="P689" s="40" t="s">
        <v>1495</v>
      </c>
      <c r="Q689" t="s">
        <v>316</v>
      </c>
    </row>
    <row r="690" spans="1:17" x14ac:dyDescent="0.25">
      <c r="A690" s="2" t="str">
        <f>HYPERLINK("https://www.ncbi.nlm.nih.gov/pubmed/32434115","32434115")</f>
        <v>32434115</v>
      </c>
      <c r="B690">
        <f t="shared" si="45"/>
        <v>4</v>
      </c>
      <c r="C690">
        <f t="shared" si="45"/>
        <v>0</v>
      </c>
      <c r="D690">
        <f t="shared" si="45"/>
        <v>0</v>
      </c>
      <c r="E690">
        <f t="shared" si="43"/>
        <v>4</v>
      </c>
      <c r="F690">
        <v>2020</v>
      </c>
      <c r="G690" t="s">
        <v>1518</v>
      </c>
      <c r="H690">
        <v>0</v>
      </c>
      <c r="I690" s="65">
        <v>0</v>
      </c>
      <c r="J690" t="s">
        <v>1519</v>
      </c>
      <c r="K690" s="35" t="s">
        <v>707</v>
      </c>
      <c r="L690" s="35" t="s">
        <v>6622</v>
      </c>
      <c r="M690" s="39" t="str">
        <f>HYPERLINK("http://dx.doi.org/10.1016/j.envpol.2020.114808","10.1016/j.envpol.2020.114808")</f>
        <v>10.1016/j.envpol.2020.114808</v>
      </c>
      <c r="N690" s="40" t="s">
        <v>951</v>
      </c>
      <c r="O690" s="40" t="s">
        <v>383</v>
      </c>
      <c r="P690" s="40" t="s">
        <v>1520</v>
      </c>
      <c r="Q690" t="s">
        <v>316</v>
      </c>
    </row>
    <row r="691" spans="1:17" x14ac:dyDescent="0.25">
      <c r="A691" s="2" t="str">
        <f>HYPERLINK("https://www.ncbi.nlm.nih.gov/pubmed/32294523","32294523")</f>
        <v>32294523</v>
      </c>
      <c r="B691">
        <f t="shared" si="45"/>
        <v>4</v>
      </c>
      <c r="C691">
        <f t="shared" si="45"/>
        <v>0</v>
      </c>
      <c r="D691">
        <f t="shared" si="45"/>
        <v>0</v>
      </c>
      <c r="E691">
        <f t="shared" si="43"/>
        <v>4</v>
      </c>
      <c r="F691">
        <v>2020</v>
      </c>
      <c r="G691" t="s">
        <v>1559</v>
      </c>
      <c r="H691">
        <v>0</v>
      </c>
      <c r="I691" s="65">
        <v>0</v>
      </c>
      <c r="J691" t="s">
        <v>1560</v>
      </c>
      <c r="K691" s="35" t="s">
        <v>1561</v>
      </c>
      <c r="L691" s="35" t="s">
        <v>6626</v>
      </c>
      <c r="M691" s="39" t="str">
        <f>HYPERLINK("http://dx.doi.org/10.1016/j.reprotox.2020.04.002","10.1016/j.reprotox.2020.04.002")</f>
        <v>10.1016/j.reprotox.2020.04.002</v>
      </c>
      <c r="N691" s="40" t="s">
        <v>1562</v>
      </c>
      <c r="O691" s="40" t="s">
        <v>383</v>
      </c>
      <c r="P691" s="40" t="s">
        <v>1563</v>
      </c>
      <c r="Q691" t="s">
        <v>316</v>
      </c>
    </row>
    <row r="692" spans="1:17" x14ac:dyDescent="0.25">
      <c r="A692" s="2" t="str">
        <f>HYPERLINK("https://www.ncbi.nlm.nih.gov/pubmed/32237102","32237102")</f>
        <v>32237102</v>
      </c>
      <c r="B692">
        <f t="shared" si="45"/>
        <v>4</v>
      </c>
      <c r="C692">
        <f t="shared" si="45"/>
        <v>0</v>
      </c>
      <c r="D692">
        <f t="shared" si="45"/>
        <v>0</v>
      </c>
      <c r="E692">
        <f t="shared" si="43"/>
        <v>4</v>
      </c>
      <c r="F692">
        <v>2020</v>
      </c>
      <c r="G692" t="s">
        <v>1567</v>
      </c>
      <c r="H692">
        <v>0</v>
      </c>
      <c r="I692" s="65">
        <v>0</v>
      </c>
      <c r="J692" t="s">
        <v>1568</v>
      </c>
      <c r="K692" s="35" t="s">
        <v>968</v>
      </c>
      <c r="L692" s="35" t="s">
        <v>6628</v>
      </c>
      <c r="M692" s="39" t="str">
        <f>HYPERLINK("http://dx.doi.org/10.1002/ps.5838","10.1002/ps.5838")</f>
        <v>10.1002/ps.5838</v>
      </c>
      <c r="N692" s="40" t="s">
        <v>1485</v>
      </c>
      <c r="O692" s="40" t="s">
        <v>781</v>
      </c>
      <c r="P692" s="40" t="s">
        <v>1569</v>
      </c>
      <c r="Q692" t="s">
        <v>316</v>
      </c>
    </row>
    <row r="693" spans="1:17" x14ac:dyDescent="0.25">
      <c r="A693" s="2" t="str">
        <f>HYPERLINK("https://www.ncbi.nlm.nih.gov/pubmed/32221516","32221516")</f>
        <v>32221516</v>
      </c>
      <c r="B693">
        <f t="shared" si="45"/>
        <v>4</v>
      </c>
      <c r="C693">
        <f t="shared" si="45"/>
        <v>0</v>
      </c>
      <c r="D693">
        <f t="shared" si="45"/>
        <v>0</v>
      </c>
      <c r="E693">
        <f t="shared" si="43"/>
        <v>4</v>
      </c>
      <c r="F693">
        <v>2020</v>
      </c>
      <c r="G693" t="s">
        <v>1575</v>
      </c>
      <c r="H693">
        <v>0</v>
      </c>
      <c r="I693" s="65">
        <v>0</v>
      </c>
      <c r="J693" t="s">
        <v>1576</v>
      </c>
      <c r="K693" s="35" t="s">
        <v>909</v>
      </c>
      <c r="L693" s="35" t="s">
        <v>6629</v>
      </c>
      <c r="M693" s="39" t="str">
        <f>HYPERLINK("http://dx.doi.org/10.1093/jee/toaa053","10.1093/jee/toaa053")</f>
        <v>10.1093/jee/toaa053</v>
      </c>
      <c r="N693" s="40" t="s">
        <v>1577</v>
      </c>
      <c r="O693" s="40" t="s">
        <v>750</v>
      </c>
      <c r="P693" s="40" t="s">
        <v>1578</v>
      </c>
      <c r="Q693" t="s">
        <v>316</v>
      </c>
    </row>
    <row r="694" spans="1:17" x14ac:dyDescent="0.25">
      <c r="A694" s="2" t="str">
        <f>HYPERLINK("https://www.ncbi.nlm.nih.gov/pubmed/32145576","32145576")</f>
        <v>32145576</v>
      </c>
      <c r="B694">
        <f t="shared" si="45"/>
        <v>4</v>
      </c>
      <c r="C694">
        <f t="shared" si="45"/>
        <v>0</v>
      </c>
      <c r="D694">
        <f t="shared" si="45"/>
        <v>0</v>
      </c>
      <c r="E694">
        <f t="shared" si="43"/>
        <v>4</v>
      </c>
      <c r="F694">
        <v>2020</v>
      </c>
      <c r="G694" t="s">
        <v>1602</v>
      </c>
      <c r="H694">
        <v>0</v>
      </c>
      <c r="I694" s="65">
        <v>0</v>
      </c>
      <c r="J694" t="s">
        <v>1603</v>
      </c>
      <c r="K694" s="35" t="s">
        <v>822</v>
      </c>
      <c r="L694" s="35" t="s">
        <v>6631</v>
      </c>
      <c r="M694" s="39" t="str">
        <f>HYPERLINK("http://dx.doi.org/10.1016/j.chemosphere.2020.126385","10.1016/j.chemosphere.2020.126385")</f>
        <v>10.1016/j.chemosphere.2020.126385</v>
      </c>
      <c r="N694" s="40" t="s">
        <v>1604</v>
      </c>
      <c r="O694" s="40" t="s">
        <v>383</v>
      </c>
      <c r="P694" s="40" t="s">
        <v>1605</v>
      </c>
      <c r="Q694" t="s">
        <v>316</v>
      </c>
    </row>
    <row r="695" spans="1:17" x14ac:dyDescent="0.25">
      <c r="A695" s="2" t="str">
        <f>HYPERLINK("https://www.ncbi.nlm.nih.gov/pubmed/31973870","31973870")</f>
        <v>31973870</v>
      </c>
      <c r="B695">
        <f t="shared" si="45"/>
        <v>4</v>
      </c>
      <c r="C695">
        <f t="shared" si="45"/>
        <v>0</v>
      </c>
      <c r="D695">
        <f t="shared" si="45"/>
        <v>0</v>
      </c>
      <c r="E695">
        <f t="shared" si="43"/>
        <v>4</v>
      </c>
      <c r="F695">
        <v>2020</v>
      </c>
      <c r="G695" t="s">
        <v>1642</v>
      </c>
      <c r="H695">
        <v>0</v>
      </c>
      <c r="I695" s="65">
        <v>0</v>
      </c>
      <c r="J695" t="s">
        <v>1643</v>
      </c>
      <c r="K695" s="35" t="s">
        <v>831</v>
      </c>
      <c r="L695" s="35" t="s">
        <v>6636</v>
      </c>
      <c r="M695" s="39" t="str">
        <f>HYPERLINK("http://dx.doi.org/10.1016/j.pestbp.2019.10.003","10.1016/j.pestbp.2019.10.003")</f>
        <v>10.1016/j.pestbp.2019.10.003</v>
      </c>
      <c r="N695" s="40" t="s">
        <v>1644</v>
      </c>
      <c r="O695" s="40" t="s">
        <v>383</v>
      </c>
      <c r="P695" s="40" t="s">
        <v>1645</v>
      </c>
      <c r="Q695" t="s">
        <v>316</v>
      </c>
    </row>
    <row r="696" spans="1:17" x14ac:dyDescent="0.25">
      <c r="A696" s="2" t="str">
        <f>HYPERLINK("https://www.ncbi.nlm.nih.gov/pubmed/31873888","31873888")</f>
        <v>31873888</v>
      </c>
      <c r="B696">
        <f t="shared" si="45"/>
        <v>4</v>
      </c>
      <c r="C696">
        <f t="shared" si="45"/>
        <v>3</v>
      </c>
      <c r="D696">
        <f t="shared" si="45"/>
        <v>0</v>
      </c>
      <c r="E696">
        <f t="shared" si="43"/>
        <v>7</v>
      </c>
      <c r="F696">
        <v>2020</v>
      </c>
      <c r="G696" t="s">
        <v>1683</v>
      </c>
      <c r="H696">
        <v>0</v>
      </c>
      <c r="I696" s="65">
        <v>0</v>
      </c>
      <c r="J696" t="s">
        <v>1684</v>
      </c>
      <c r="K696" s="35" t="s">
        <v>810</v>
      </c>
      <c r="L696" s="35" t="s">
        <v>6642</v>
      </c>
      <c r="M696" s="39" t="str">
        <f>HYPERLINK("http://dx.doi.org/10.1007/s11356-019-07344-8","10.1007/s11356-019-07344-8")</f>
        <v>10.1007/s11356-019-07344-8</v>
      </c>
      <c r="N696" s="40" t="s">
        <v>1116</v>
      </c>
      <c r="O696" s="40" t="s">
        <v>741</v>
      </c>
      <c r="P696" s="40" t="s">
        <v>1685</v>
      </c>
      <c r="Q696" t="s">
        <v>316</v>
      </c>
    </row>
    <row r="697" spans="1:17" x14ac:dyDescent="0.25">
      <c r="A697" s="2" t="str">
        <f>HYPERLINK("https://www.ncbi.nlm.nih.gov/pubmed/31865660","31865660")</f>
        <v>31865660</v>
      </c>
      <c r="B697">
        <f t="shared" si="45"/>
        <v>4</v>
      </c>
      <c r="C697">
        <f t="shared" si="45"/>
        <v>0</v>
      </c>
      <c r="D697">
        <f t="shared" si="45"/>
        <v>0</v>
      </c>
      <c r="E697">
        <f t="shared" si="43"/>
        <v>4</v>
      </c>
      <c r="F697">
        <v>2019</v>
      </c>
      <c r="G697" t="s">
        <v>1686</v>
      </c>
      <c r="H697">
        <v>0</v>
      </c>
      <c r="I697" s="65">
        <v>0</v>
      </c>
      <c r="J697" t="s">
        <v>1688</v>
      </c>
      <c r="K697" s="35" t="s">
        <v>1689</v>
      </c>
      <c r="L697" s="35" t="s">
        <v>1687</v>
      </c>
      <c r="M697" s="39" t="str">
        <f>HYPERLINK("http://dx.doi.org/10.4274/tpd.galenos.2019.6338","10.4274/tpd.galenos.2019.6338")</f>
        <v>10.4274/tpd.galenos.2019.6338</v>
      </c>
      <c r="N697" s="40" t="s">
        <v>1279</v>
      </c>
      <c r="O697" s="40" t="s">
        <v>690</v>
      </c>
      <c r="P697" s="40" t="s">
        <v>1690</v>
      </c>
      <c r="Q697" t="s">
        <v>316</v>
      </c>
    </row>
    <row r="698" spans="1:17" x14ac:dyDescent="0.25">
      <c r="A698" s="2" t="str">
        <f>HYPERLINK("https://www.ncbi.nlm.nih.gov/pubmed/31865514","31865514")</f>
        <v>31865514</v>
      </c>
      <c r="B698">
        <f t="shared" si="45"/>
        <v>4</v>
      </c>
      <c r="C698">
        <f t="shared" si="45"/>
        <v>0</v>
      </c>
      <c r="D698">
        <f t="shared" si="45"/>
        <v>0</v>
      </c>
      <c r="E698">
        <f t="shared" si="43"/>
        <v>4</v>
      </c>
      <c r="F698">
        <v>2020</v>
      </c>
      <c r="G698" t="s">
        <v>1691</v>
      </c>
      <c r="H698">
        <v>0</v>
      </c>
      <c r="I698" s="65">
        <v>0</v>
      </c>
      <c r="J698" t="s">
        <v>1692</v>
      </c>
      <c r="K698" s="35" t="s">
        <v>730</v>
      </c>
      <c r="L698" s="35" t="s">
        <v>6643</v>
      </c>
      <c r="M698" s="39" t="str">
        <f>HYPERLINK("http://dx.doi.org/10.1007/s10646-019-02146-7","10.1007/s10646-019-02146-7")</f>
        <v>10.1007/s10646-019-02146-7</v>
      </c>
      <c r="N698" s="40" t="s">
        <v>858</v>
      </c>
      <c r="O698" s="40" t="s">
        <v>744</v>
      </c>
      <c r="P698" s="40" t="s">
        <v>1693</v>
      </c>
      <c r="Q698" t="s">
        <v>316</v>
      </c>
    </row>
    <row r="699" spans="1:17" x14ac:dyDescent="0.25">
      <c r="A699" s="2" t="str">
        <f>HYPERLINK("https://www.ncbi.nlm.nih.gov/pubmed/31863081","31863081")</f>
        <v>31863081</v>
      </c>
      <c r="B699">
        <f t="shared" si="45"/>
        <v>4</v>
      </c>
      <c r="C699">
        <f t="shared" si="45"/>
        <v>0</v>
      </c>
      <c r="D699">
        <f t="shared" si="45"/>
        <v>0</v>
      </c>
      <c r="E699">
        <f t="shared" si="43"/>
        <v>4</v>
      </c>
      <c r="F699">
        <v>2019</v>
      </c>
      <c r="G699" t="s">
        <v>1694</v>
      </c>
      <c r="H699">
        <v>0</v>
      </c>
      <c r="I699" s="64" t="str">
        <f>HYPERLINK("https://www.ncbi.nlm.nih.gov/research/pubtator/?view=docsum&amp;query=PMC6925143","1")</f>
        <v>1</v>
      </c>
      <c r="J699" t="s">
        <v>1695</v>
      </c>
      <c r="K699" s="35" t="s">
        <v>747</v>
      </c>
      <c r="L699" s="35" t="s">
        <v>6644</v>
      </c>
      <c r="M699" s="39" t="str">
        <f>HYPERLINK("http://dx.doi.org/10.1038/s41598-019-56189-1","10.1038/s41598-019-56189-1")</f>
        <v>10.1038/s41598-019-56189-1</v>
      </c>
      <c r="N699" s="40" t="s">
        <v>660</v>
      </c>
      <c r="O699" s="40" t="s">
        <v>638</v>
      </c>
      <c r="P699" s="40" t="s">
        <v>1696</v>
      </c>
      <c r="Q699" t="s">
        <v>316</v>
      </c>
    </row>
    <row r="700" spans="1:17" x14ac:dyDescent="0.25">
      <c r="A700" s="2" t="str">
        <f>HYPERLINK("https://www.ncbi.nlm.nih.gov/pubmed/31797083","31797083")</f>
        <v>31797083</v>
      </c>
      <c r="B700">
        <f t="shared" si="45"/>
        <v>4</v>
      </c>
      <c r="C700">
        <f t="shared" si="45"/>
        <v>1</v>
      </c>
      <c r="D700">
        <f t="shared" si="45"/>
        <v>0</v>
      </c>
      <c r="E700">
        <f t="shared" si="43"/>
        <v>5</v>
      </c>
      <c r="F700">
        <v>2019</v>
      </c>
      <c r="G700" t="s">
        <v>1723</v>
      </c>
      <c r="H700">
        <v>0</v>
      </c>
      <c r="I700" s="65">
        <v>0</v>
      </c>
      <c r="J700" t="s">
        <v>1725</v>
      </c>
      <c r="K700" s="35" t="s">
        <v>1726</v>
      </c>
      <c r="L700" s="35" t="s">
        <v>1724</v>
      </c>
      <c r="M700" s="39" t="str">
        <f>HYPERLINK("http://dx.doi.org/10.1208/s12249-019-1571-0","10.1208/s12249-019-1571-0")</f>
        <v>10.1208/s12249-019-1571-0</v>
      </c>
      <c r="N700" s="40" t="s">
        <v>1364</v>
      </c>
      <c r="O700" s="40" t="s">
        <v>638</v>
      </c>
      <c r="P700" s="40" t="s">
        <v>660</v>
      </c>
      <c r="Q700" t="s">
        <v>316</v>
      </c>
    </row>
    <row r="701" spans="1:17" x14ac:dyDescent="0.25">
      <c r="A701" s="2" t="str">
        <f>HYPERLINK("https://www.ncbi.nlm.nih.gov/pubmed/31536766","31536766")</f>
        <v>31536766</v>
      </c>
      <c r="B701">
        <f t="shared" si="45"/>
        <v>4</v>
      </c>
      <c r="C701">
        <f t="shared" si="45"/>
        <v>0</v>
      </c>
      <c r="D701">
        <f t="shared" si="45"/>
        <v>0</v>
      </c>
      <c r="E701">
        <f t="shared" si="43"/>
        <v>4</v>
      </c>
      <c r="F701">
        <v>2019</v>
      </c>
      <c r="G701" t="s">
        <v>1852</v>
      </c>
      <c r="H701">
        <v>0</v>
      </c>
      <c r="I701" s="65">
        <v>0</v>
      </c>
      <c r="J701" t="s">
        <v>1853</v>
      </c>
      <c r="K701" s="35" t="s">
        <v>1854</v>
      </c>
      <c r="L701" s="35" t="s">
        <v>6661</v>
      </c>
      <c r="M701" s="39" t="str">
        <f>HYPERLINK("http://dx.doi.org/10.1016/j.fsi.2019.09.033","10.1016/j.fsi.2019.09.033")</f>
        <v>10.1016/j.fsi.2019.09.033</v>
      </c>
      <c r="N701" s="40" t="s">
        <v>1562</v>
      </c>
      <c r="O701" s="40" t="s">
        <v>383</v>
      </c>
      <c r="P701" s="40" t="s">
        <v>1855</v>
      </c>
      <c r="Q701" t="s">
        <v>316</v>
      </c>
    </row>
    <row r="702" spans="1:17" x14ac:dyDescent="0.25">
      <c r="A702" s="2" t="str">
        <f>HYPERLINK("https://www.ncbi.nlm.nih.gov/pubmed/31240517","31240517")</f>
        <v>31240517</v>
      </c>
      <c r="B702">
        <f t="shared" si="45"/>
        <v>4</v>
      </c>
      <c r="C702">
        <f t="shared" si="45"/>
        <v>0</v>
      </c>
      <c r="D702">
        <f t="shared" si="45"/>
        <v>0</v>
      </c>
      <c r="E702">
        <f t="shared" si="43"/>
        <v>4</v>
      </c>
      <c r="F702">
        <v>2019</v>
      </c>
      <c r="G702" t="s">
        <v>1950</v>
      </c>
      <c r="H702">
        <v>0</v>
      </c>
      <c r="I702" s="65">
        <v>0</v>
      </c>
      <c r="J702" t="s">
        <v>1951</v>
      </c>
      <c r="K702" s="35" t="s">
        <v>1952</v>
      </c>
      <c r="L702" s="35" t="s">
        <v>6672</v>
      </c>
      <c r="M702" s="39" t="str">
        <f>HYPERLINK("http://dx.doi.org/10.1007/s10495-019-01552-w","10.1007/s10495-019-01552-w")</f>
        <v>10.1007/s10495-019-01552-w</v>
      </c>
      <c r="N702" s="40" t="s">
        <v>1188</v>
      </c>
      <c r="O702" s="40" t="s">
        <v>1953</v>
      </c>
      <c r="P702" s="40" t="s">
        <v>1954</v>
      </c>
      <c r="Q702" t="s">
        <v>316</v>
      </c>
    </row>
    <row r="703" spans="1:17" x14ac:dyDescent="0.25">
      <c r="A703" s="2" t="str">
        <f>HYPERLINK("https://www.ncbi.nlm.nih.gov/pubmed/31220656","31220656")</f>
        <v>31220656</v>
      </c>
      <c r="B703">
        <f t="shared" si="45"/>
        <v>4</v>
      </c>
      <c r="C703">
        <f t="shared" si="45"/>
        <v>0</v>
      </c>
      <c r="D703">
        <f t="shared" si="45"/>
        <v>0</v>
      </c>
      <c r="E703">
        <f t="shared" si="43"/>
        <v>4</v>
      </c>
      <c r="F703">
        <v>2019</v>
      </c>
      <c r="G703" t="s">
        <v>1955</v>
      </c>
      <c r="H703">
        <v>0</v>
      </c>
      <c r="I703" s="65">
        <v>0</v>
      </c>
      <c r="J703" t="s">
        <v>1956</v>
      </c>
      <c r="K703" s="35" t="s">
        <v>822</v>
      </c>
      <c r="L703" s="35" t="s">
        <v>6673</v>
      </c>
      <c r="M703" s="39" t="str">
        <f>HYPERLINK("http://dx.doi.org/10.1016/j.chemosphere.2019.05.243","10.1016/j.chemosphere.2019.05.243")</f>
        <v>10.1016/j.chemosphere.2019.05.243</v>
      </c>
      <c r="N703" s="40" t="s">
        <v>1957</v>
      </c>
      <c r="O703" s="40" t="s">
        <v>383</v>
      </c>
      <c r="P703" s="40" t="s">
        <v>1958</v>
      </c>
      <c r="Q703" t="s">
        <v>316</v>
      </c>
    </row>
    <row r="704" spans="1:17" x14ac:dyDescent="0.25">
      <c r="A704" s="2" t="str">
        <f>HYPERLINK("https://www.ncbi.nlm.nih.gov/pubmed/31190101","31190101")</f>
        <v>31190101</v>
      </c>
      <c r="B704">
        <f t="shared" ref="B704:D723" si="46">IF(ISBLANK(B$3),0,(LEN($L704) - LEN(SUBSTITUTE(LOWER($L704),LOWER(B$3),"")))/LEN(B$3))</f>
        <v>4</v>
      </c>
      <c r="C704">
        <f t="shared" si="46"/>
        <v>2</v>
      </c>
      <c r="D704">
        <f t="shared" si="46"/>
        <v>0</v>
      </c>
      <c r="E704">
        <f t="shared" si="43"/>
        <v>6</v>
      </c>
      <c r="F704">
        <v>2019</v>
      </c>
      <c r="G704" t="s">
        <v>1962</v>
      </c>
      <c r="H704">
        <v>0</v>
      </c>
      <c r="I704" s="65">
        <v>0</v>
      </c>
      <c r="J704" t="s">
        <v>1964</v>
      </c>
      <c r="K704" s="35" t="s">
        <v>1395</v>
      </c>
      <c r="L704" s="35" t="s">
        <v>1963</v>
      </c>
      <c r="M704" s="39" t="str">
        <f>HYPERLINK("http://dx.doi.org/10.1007/s00244-019-00644-7","10.1007/s00244-019-00644-7")</f>
        <v>10.1007/s00244-019-00644-7</v>
      </c>
      <c r="N704" s="40" t="s">
        <v>1074</v>
      </c>
      <c r="O704" s="40" t="s">
        <v>750</v>
      </c>
      <c r="P704" s="40" t="s">
        <v>1965</v>
      </c>
      <c r="Q704" t="s">
        <v>316</v>
      </c>
    </row>
    <row r="705" spans="1:17" x14ac:dyDescent="0.25">
      <c r="A705" s="2" t="str">
        <f>HYPERLINK("https://www.ncbi.nlm.nih.gov/pubmed/31159137","31159137")</f>
        <v>31159137</v>
      </c>
      <c r="B705">
        <f t="shared" si="46"/>
        <v>4</v>
      </c>
      <c r="C705">
        <f t="shared" si="46"/>
        <v>0</v>
      </c>
      <c r="D705">
        <f t="shared" si="46"/>
        <v>0</v>
      </c>
      <c r="E705">
        <f t="shared" si="43"/>
        <v>4</v>
      </c>
      <c r="F705">
        <v>2019</v>
      </c>
      <c r="G705" t="s">
        <v>1980</v>
      </c>
      <c r="H705">
        <v>0</v>
      </c>
      <c r="I705" s="65">
        <v>0</v>
      </c>
      <c r="J705" t="s">
        <v>1981</v>
      </c>
      <c r="K705" s="35" t="s">
        <v>707</v>
      </c>
      <c r="L705" s="35" t="s">
        <v>6677</v>
      </c>
      <c r="M705" s="39" t="str">
        <f>HYPERLINK("http://dx.doi.org/10.1016/j.envpol.2018.12.096","10.1016/j.envpol.2018.12.096")</f>
        <v>10.1016/j.envpol.2018.12.096</v>
      </c>
      <c r="N705" s="40" t="s">
        <v>1982</v>
      </c>
      <c r="O705" s="40" t="s">
        <v>383</v>
      </c>
      <c r="P705" s="40" t="s">
        <v>1983</v>
      </c>
      <c r="Q705" t="s">
        <v>316</v>
      </c>
    </row>
    <row r="706" spans="1:17" x14ac:dyDescent="0.25">
      <c r="A706" s="2" t="str">
        <f>HYPERLINK("https://www.ncbi.nlm.nih.gov/pubmed/31108296","31108296")</f>
        <v>31108296</v>
      </c>
      <c r="B706">
        <f t="shared" si="46"/>
        <v>4</v>
      </c>
      <c r="C706">
        <f t="shared" si="46"/>
        <v>0</v>
      </c>
      <c r="D706">
        <f t="shared" si="46"/>
        <v>0</v>
      </c>
      <c r="E706">
        <f t="shared" si="43"/>
        <v>4</v>
      </c>
      <c r="F706">
        <v>2019</v>
      </c>
      <c r="G706" t="s">
        <v>2032</v>
      </c>
      <c r="H706">
        <v>0</v>
      </c>
      <c r="I706" s="65">
        <v>0</v>
      </c>
      <c r="J706" t="s">
        <v>2033</v>
      </c>
      <c r="K706" s="35" t="s">
        <v>707</v>
      </c>
      <c r="L706" s="35" t="s">
        <v>6685</v>
      </c>
      <c r="M706" s="39" t="str">
        <f>HYPERLINK("http://dx.doi.org/10.1016/j.envpol.2019.05.009","10.1016/j.envpol.2019.05.009")</f>
        <v>10.1016/j.envpol.2019.05.009</v>
      </c>
      <c r="N706" s="40" t="s">
        <v>1604</v>
      </c>
      <c r="O706" s="40" t="s">
        <v>383</v>
      </c>
      <c r="P706" s="40" t="s">
        <v>2034</v>
      </c>
      <c r="Q706" t="s">
        <v>316</v>
      </c>
    </row>
    <row r="707" spans="1:17" x14ac:dyDescent="0.25">
      <c r="A707" s="2" t="str">
        <f>HYPERLINK("https://www.ncbi.nlm.nih.gov/pubmed/31010115","31010115")</f>
        <v>31010115</v>
      </c>
      <c r="B707">
        <f t="shared" si="46"/>
        <v>4</v>
      </c>
      <c r="C707">
        <f t="shared" si="46"/>
        <v>4</v>
      </c>
      <c r="D707">
        <f t="shared" si="46"/>
        <v>0</v>
      </c>
      <c r="E707">
        <f t="shared" si="43"/>
        <v>8</v>
      </c>
      <c r="F707">
        <v>2019</v>
      </c>
      <c r="G707" t="s">
        <v>2047</v>
      </c>
      <c r="H707">
        <v>0</v>
      </c>
      <c r="I707" s="64" t="str">
        <f>HYPERLINK("https://www.ncbi.nlm.nih.gov/research/pubtator/?view=docsum&amp;query=PMC6523913","1")</f>
        <v>1</v>
      </c>
      <c r="J707" t="s">
        <v>2049</v>
      </c>
      <c r="K707" s="35" t="s">
        <v>925</v>
      </c>
      <c r="L707" s="35" t="s">
        <v>2048</v>
      </c>
      <c r="M707" s="39" t="str">
        <f>HYPERLINK("http://dx.doi.org/10.3390/insects10040111","10.3390/insects10040111")</f>
        <v>10.3390/insects10040111</v>
      </c>
      <c r="N707" s="40" t="s">
        <v>802</v>
      </c>
      <c r="O707" s="40" t="s">
        <v>690</v>
      </c>
      <c r="P707" s="40" t="s">
        <v>383</v>
      </c>
      <c r="Q707" t="s">
        <v>316</v>
      </c>
    </row>
    <row r="708" spans="1:17" x14ac:dyDescent="0.25">
      <c r="A708" s="2" t="str">
        <f>HYPERLINK("https://www.ncbi.nlm.nih.gov/pubmed/30858095","30858095")</f>
        <v>30858095</v>
      </c>
      <c r="B708">
        <f t="shared" si="46"/>
        <v>4</v>
      </c>
      <c r="C708">
        <f t="shared" si="46"/>
        <v>0</v>
      </c>
      <c r="D708">
        <f t="shared" si="46"/>
        <v>0</v>
      </c>
      <c r="E708">
        <f t="shared" ref="E708:E771" si="47">SUM(B708:D708)</f>
        <v>4</v>
      </c>
      <c r="F708">
        <v>2019</v>
      </c>
      <c r="G708" t="s">
        <v>2115</v>
      </c>
      <c r="H708">
        <v>0</v>
      </c>
      <c r="I708" s="65">
        <v>0</v>
      </c>
      <c r="J708" t="s">
        <v>2116</v>
      </c>
      <c r="K708" s="35" t="s">
        <v>2117</v>
      </c>
      <c r="L708" s="35" t="s">
        <v>6697</v>
      </c>
      <c r="M708" s="39" t="str">
        <f>HYPERLINK("http://dx.doi.org/10.1016/j.jinsphys.2019.03.001","10.1016/j.jinsphys.2019.03.001")</f>
        <v>10.1016/j.jinsphys.2019.03.001</v>
      </c>
      <c r="N708" s="40" t="s">
        <v>2118</v>
      </c>
      <c r="O708" s="40" t="s">
        <v>383</v>
      </c>
      <c r="P708" s="40" t="s">
        <v>2119</v>
      </c>
      <c r="Q708" t="s">
        <v>316</v>
      </c>
    </row>
    <row r="709" spans="1:17" x14ac:dyDescent="0.25">
      <c r="A709" s="2" t="str">
        <f>HYPERLINK("https://www.ncbi.nlm.nih.gov/pubmed/30777931","30777931")</f>
        <v>30777931</v>
      </c>
      <c r="B709">
        <f t="shared" si="46"/>
        <v>4</v>
      </c>
      <c r="C709">
        <f t="shared" si="46"/>
        <v>2</v>
      </c>
      <c r="D709">
        <f t="shared" si="46"/>
        <v>0</v>
      </c>
      <c r="E709">
        <f t="shared" si="47"/>
        <v>6</v>
      </c>
      <c r="F709">
        <v>2019</v>
      </c>
      <c r="G709" t="s">
        <v>2136</v>
      </c>
      <c r="H709">
        <v>0</v>
      </c>
      <c r="I709" s="64" t="str">
        <f>HYPERLINK("https://www.ncbi.nlm.nih.gov/research/pubtator/?view=docsum&amp;query=PMC6395302","1")</f>
        <v>1</v>
      </c>
      <c r="J709" t="s">
        <v>2138</v>
      </c>
      <c r="K709" s="35" t="s">
        <v>2139</v>
      </c>
      <c r="L709" s="35" t="s">
        <v>2137</v>
      </c>
      <c r="M709" s="39" t="str">
        <f>HYPERLINK("http://dx.doi.org/10.1042/BSR20181363","10.1042/BSR20181363")</f>
        <v>10.1042/BSR20181363</v>
      </c>
      <c r="N709" s="40" t="s">
        <v>852</v>
      </c>
      <c r="O709" s="40" t="s">
        <v>750</v>
      </c>
      <c r="P709" s="40" t="s">
        <v>383</v>
      </c>
      <c r="Q709" t="s">
        <v>316</v>
      </c>
    </row>
    <row r="710" spans="1:17" x14ac:dyDescent="0.25">
      <c r="A710" s="2" t="str">
        <f>HYPERLINK("https://www.ncbi.nlm.nih.gov/pubmed/30597675","30597675")</f>
        <v>30597675</v>
      </c>
      <c r="B710">
        <f t="shared" si="46"/>
        <v>4</v>
      </c>
      <c r="C710">
        <f t="shared" si="46"/>
        <v>0</v>
      </c>
      <c r="D710">
        <f t="shared" si="46"/>
        <v>0</v>
      </c>
      <c r="E710">
        <f t="shared" si="47"/>
        <v>4</v>
      </c>
      <c r="F710">
        <v>2019</v>
      </c>
      <c r="G710" t="s">
        <v>2194</v>
      </c>
      <c r="H710">
        <v>0</v>
      </c>
      <c r="I710" s="65">
        <v>0</v>
      </c>
      <c r="J710" t="s">
        <v>2196</v>
      </c>
      <c r="K710" s="35" t="s">
        <v>2197</v>
      </c>
      <c r="L710" s="35" t="s">
        <v>2195</v>
      </c>
      <c r="M710" s="39" t="str">
        <f>HYPERLINK("http://dx.doi.org/10.1002/jbt.22264","10.1002/jbt.22264")</f>
        <v>10.1002/jbt.22264</v>
      </c>
      <c r="N710" s="40" t="s">
        <v>877</v>
      </c>
      <c r="O710" s="40" t="s">
        <v>750</v>
      </c>
      <c r="P710" s="40" t="s">
        <v>2198</v>
      </c>
      <c r="Q710" t="s">
        <v>316</v>
      </c>
    </row>
    <row r="711" spans="1:17" x14ac:dyDescent="0.25">
      <c r="A711" s="2" t="str">
        <f>HYPERLINK("https://www.ncbi.nlm.nih.gov/pubmed/30477124","30477124")</f>
        <v>30477124</v>
      </c>
      <c r="B711">
        <f t="shared" si="46"/>
        <v>4</v>
      </c>
      <c r="C711">
        <f t="shared" si="46"/>
        <v>0</v>
      </c>
      <c r="D711">
        <f t="shared" si="46"/>
        <v>0</v>
      </c>
      <c r="E711">
        <f t="shared" si="47"/>
        <v>4</v>
      </c>
      <c r="F711">
        <v>2018</v>
      </c>
      <c r="G711" t="s">
        <v>2231</v>
      </c>
      <c r="H711">
        <v>0</v>
      </c>
      <c r="I711" s="64" t="str">
        <f>HYPERLINK("https://www.ncbi.nlm.nih.gov/research/pubtator/?view=docsum&amp;query=PMC6315350","1")</f>
        <v>1</v>
      </c>
      <c r="J711" t="s">
        <v>2232</v>
      </c>
      <c r="K711" s="35" t="s">
        <v>925</v>
      </c>
      <c r="L711" s="35" t="s">
        <v>6713</v>
      </c>
      <c r="M711" s="39" t="str">
        <f>HYPERLINK("http://dx.doi.org/10.3390/insects9040171","10.3390/insects9040171")</f>
        <v>10.3390/insects9040171</v>
      </c>
      <c r="N711" s="40" t="s">
        <v>660</v>
      </c>
      <c r="O711" s="40" t="s">
        <v>690</v>
      </c>
      <c r="P711" s="40" t="s">
        <v>383</v>
      </c>
      <c r="Q711" t="s">
        <v>316</v>
      </c>
    </row>
    <row r="712" spans="1:17" x14ac:dyDescent="0.25">
      <c r="A712" s="2" t="str">
        <f>HYPERLINK("https://www.ncbi.nlm.nih.gov/pubmed/30402070","30402070")</f>
        <v>30402070</v>
      </c>
      <c r="B712">
        <f t="shared" si="46"/>
        <v>4</v>
      </c>
      <c r="C712">
        <f t="shared" si="46"/>
        <v>0</v>
      </c>
      <c r="D712">
        <f t="shared" si="46"/>
        <v>0</v>
      </c>
      <c r="E712">
        <f t="shared" si="47"/>
        <v>4</v>
      </c>
      <c r="F712">
        <v>2018</v>
      </c>
      <c r="G712" t="s">
        <v>2240</v>
      </c>
      <c r="H712">
        <v>0</v>
      </c>
      <c r="I712" s="64" t="str">
        <f>HYPERLINK("https://www.ncbi.nlm.nih.gov/research/pubtator/?view=docsum&amp;query=PMC6007217","1")</f>
        <v>1</v>
      </c>
      <c r="J712" t="s">
        <v>2241</v>
      </c>
      <c r="K712" s="35" t="s">
        <v>2242</v>
      </c>
      <c r="L712" s="35" t="s">
        <v>6716</v>
      </c>
      <c r="M712" s="39" t="str">
        <f>HYPERLINK("http://dx.doi.org/10.1093/cz/zox036","10.1093/cz/zox036")</f>
        <v>10.1093/cz/zox036</v>
      </c>
      <c r="N712" s="40" t="s">
        <v>2243</v>
      </c>
      <c r="O712" s="40" t="s">
        <v>750</v>
      </c>
      <c r="P712" s="40" t="s">
        <v>2244</v>
      </c>
      <c r="Q712" t="s">
        <v>316</v>
      </c>
    </row>
    <row r="713" spans="1:17" x14ac:dyDescent="0.25">
      <c r="A713" s="2" t="str">
        <f>HYPERLINK("https://www.ncbi.nlm.nih.gov/pubmed/30333227","30333227")</f>
        <v>30333227</v>
      </c>
      <c r="B713">
        <f t="shared" si="46"/>
        <v>4</v>
      </c>
      <c r="C713">
        <f t="shared" si="46"/>
        <v>0</v>
      </c>
      <c r="D713">
        <f t="shared" si="46"/>
        <v>0</v>
      </c>
      <c r="E713">
        <f t="shared" si="47"/>
        <v>4</v>
      </c>
      <c r="F713">
        <v>2018</v>
      </c>
      <c r="G713" t="s">
        <v>2276</v>
      </c>
      <c r="H713">
        <v>0</v>
      </c>
      <c r="I713" s="64" t="str">
        <f>HYPERLINK("https://www.ncbi.nlm.nih.gov/research/pubtator/?view=docsum&amp;query=PMC6295728","1")</f>
        <v>1</v>
      </c>
      <c r="J713" t="s">
        <v>2277</v>
      </c>
      <c r="K713" s="35" t="s">
        <v>2278</v>
      </c>
      <c r="L713" s="35" t="s">
        <v>6723</v>
      </c>
      <c r="M713" s="39" t="str">
        <f>HYPERLINK("http://dx.doi.org/10.1074/jbc.RA118.005365","10.1074/jbc.RA118.005365")</f>
        <v>10.1074/jbc.RA118.005365</v>
      </c>
      <c r="N713" s="40" t="s">
        <v>2279</v>
      </c>
      <c r="O713" s="40" t="s">
        <v>2085</v>
      </c>
      <c r="P713" s="40" t="s">
        <v>2280</v>
      </c>
      <c r="Q713" t="s">
        <v>316</v>
      </c>
    </row>
    <row r="714" spans="1:17" x14ac:dyDescent="0.25">
      <c r="A714" s="2" t="str">
        <f>HYPERLINK("https://www.ncbi.nlm.nih.gov/pubmed/30290348","30290348")</f>
        <v>30290348</v>
      </c>
      <c r="B714">
        <f t="shared" si="46"/>
        <v>4</v>
      </c>
      <c r="C714">
        <f t="shared" si="46"/>
        <v>3</v>
      </c>
      <c r="D714">
        <f t="shared" si="46"/>
        <v>0</v>
      </c>
      <c r="E714">
        <f t="shared" si="47"/>
        <v>7</v>
      </c>
      <c r="F714">
        <v>2019</v>
      </c>
      <c r="G714" t="s">
        <v>2290</v>
      </c>
      <c r="H714">
        <v>0</v>
      </c>
      <c r="I714" s="65">
        <v>0</v>
      </c>
      <c r="J714" t="s">
        <v>2291</v>
      </c>
      <c r="K714" s="35" t="s">
        <v>670</v>
      </c>
      <c r="L714" s="35" t="s">
        <v>6725</v>
      </c>
      <c r="M714" s="39" t="str">
        <f>HYPERLINK("http://dx.doi.org/10.1016/j.scitotenv.2018.09.313","10.1016/j.scitotenv.2018.09.313")</f>
        <v>10.1016/j.scitotenv.2018.09.313</v>
      </c>
      <c r="N714" s="40" t="s">
        <v>2292</v>
      </c>
      <c r="O714" s="40" t="s">
        <v>2293</v>
      </c>
      <c r="P714" s="40" t="s">
        <v>2294</v>
      </c>
      <c r="Q714" t="s">
        <v>316</v>
      </c>
    </row>
    <row r="715" spans="1:17" x14ac:dyDescent="0.25">
      <c r="A715" s="2" t="str">
        <f>HYPERLINK("https://www.ncbi.nlm.nih.gov/pubmed/30277523","30277523")</f>
        <v>30277523</v>
      </c>
      <c r="B715">
        <f t="shared" si="46"/>
        <v>4</v>
      </c>
      <c r="C715">
        <f t="shared" si="46"/>
        <v>0</v>
      </c>
      <c r="D715">
        <f t="shared" si="46"/>
        <v>0</v>
      </c>
      <c r="E715">
        <f t="shared" si="47"/>
        <v>4</v>
      </c>
      <c r="F715">
        <v>2018</v>
      </c>
      <c r="G715" t="s">
        <v>2298</v>
      </c>
      <c r="H715">
        <v>0</v>
      </c>
      <c r="I715" s="65">
        <v>0</v>
      </c>
      <c r="J715" t="s">
        <v>2300</v>
      </c>
      <c r="K715" s="35" t="s">
        <v>909</v>
      </c>
      <c r="L715" s="35" t="s">
        <v>2299</v>
      </c>
      <c r="M715" s="39" t="str">
        <f>HYPERLINK("http://dx.doi.org/10.1093/jee/toy295","10.1093/jee/toy295")</f>
        <v>10.1093/jee/toy295</v>
      </c>
      <c r="N715" s="40" t="s">
        <v>2301</v>
      </c>
      <c r="O715" s="40" t="s">
        <v>741</v>
      </c>
      <c r="P715" s="40" t="s">
        <v>2302</v>
      </c>
      <c r="Q715" t="s">
        <v>316</v>
      </c>
    </row>
    <row r="716" spans="1:17" x14ac:dyDescent="0.25">
      <c r="A716" s="2" t="str">
        <f>HYPERLINK("https://www.ncbi.nlm.nih.gov/pubmed/30260395","30260395")</f>
        <v>30260395</v>
      </c>
      <c r="B716">
        <f t="shared" si="46"/>
        <v>4</v>
      </c>
      <c r="C716">
        <f t="shared" si="46"/>
        <v>0</v>
      </c>
      <c r="D716">
        <f t="shared" si="46"/>
        <v>0</v>
      </c>
      <c r="E716">
        <f t="shared" si="47"/>
        <v>4</v>
      </c>
      <c r="F716">
        <v>2019</v>
      </c>
      <c r="G716" t="s">
        <v>2306</v>
      </c>
      <c r="H716">
        <v>0</v>
      </c>
      <c r="I716" s="65">
        <v>0</v>
      </c>
      <c r="J716" t="s">
        <v>2308</v>
      </c>
      <c r="K716" s="35" t="s">
        <v>909</v>
      </c>
      <c r="L716" s="35" t="s">
        <v>2307</v>
      </c>
      <c r="M716" s="39" t="str">
        <f>HYPERLINK("http://dx.doi.org/10.1093/jee/toy278","10.1093/jee/toy278")</f>
        <v>10.1093/jee/toy278</v>
      </c>
      <c r="N716" s="40" t="s">
        <v>2026</v>
      </c>
      <c r="O716" s="40" t="s">
        <v>638</v>
      </c>
      <c r="P716" s="40" t="s">
        <v>2309</v>
      </c>
      <c r="Q716" t="s">
        <v>316</v>
      </c>
    </row>
    <row r="717" spans="1:17" x14ac:dyDescent="0.25">
      <c r="A717" s="2" t="str">
        <f>HYPERLINK("https://www.ncbi.nlm.nih.gov/pubmed/30212798","30212798")</f>
        <v>30212798</v>
      </c>
      <c r="B717">
        <f t="shared" si="46"/>
        <v>4</v>
      </c>
      <c r="C717">
        <f t="shared" si="46"/>
        <v>0</v>
      </c>
      <c r="D717">
        <f t="shared" si="46"/>
        <v>0</v>
      </c>
      <c r="E717">
        <f t="shared" si="47"/>
        <v>4</v>
      </c>
      <c r="F717">
        <v>2018</v>
      </c>
      <c r="G717" t="s">
        <v>2323</v>
      </c>
      <c r="H717">
        <v>0</v>
      </c>
      <c r="I717" s="65">
        <v>0</v>
      </c>
      <c r="J717" t="s">
        <v>2324</v>
      </c>
      <c r="K717" s="35" t="s">
        <v>707</v>
      </c>
      <c r="L717" s="35" t="s">
        <v>6728</v>
      </c>
      <c r="M717" s="39" t="str">
        <f>HYPERLINK("http://dx.doi.org/10.1016/j.envpol.2018.09.021","10.1016/j.envpol.2018.09.021")</f>
        <v>10.1016/j.envpol.2018.09.021</v>
      </c>
      <c r="N717" s="40" t="s">
        <v>2288</v>
      </c>
      <c r="O717" s="40" t="s">
        <v>709</v>
      </c>
      <c r="P717" s="40" t="s">
        <v>2325</v>
      </c>
      <c r="Q717" t="s">
        <v>316</v>
      </c>
    </row>
    <row r="718" spans="1:17" x14ac:dyDescent="0.25">
      <c r="A718" s="2" t="str">
        <f>HYPERLINK("https://www.ncbi.nlm.nih.gov/pubmed/30081296","30081296")</f>
        <v>30081296</v>
      </c>
      <c r="B718">
        <f t="shared" si="46"/>
        <v>4</v>
      </c>
      <c r="C718">
        <f t="shared" si="46"/>
        <v>0</v>
      </c>
      <c r="D718">
        <f t="shared" si="46"/>
        <v>0</v>
      </c>
      <c r="E718">
        <f t="shared" si="47"/>
        <v>4</v>
      </c>
      <c r="F718">
        <v>2018</v>
      </c>
      <c r="G718" t="s">
        <v>2366</v>
      </c>
      <c r="H718">
        <v>0</v>
      </c>
      <c r="I718" s="64" t="str">
        <f>HYPERLINK("https://www.ncbi.nlm.nih.gov/research/pubtator/?view=docsum&amp;query=PMC6083343","1")</f>
        <v>1</v>
      </c>
      <c r="J718" t="s">
        <v>2367</v>
      </c>
      <c r="K718" s="35" t="s">
        <v>2368</v>
      </c>
      <c r="L718" s="35" t="s">
        <v>6735</v>
      </c>
      <c r="M718" s="39" t="str">
        <f>HYPERLINK("http://dx.doi.org/10.1016/j.ijpddr.2018.06.002","10.1016/j.ijpddr.2018.06.002")</f>
        <v>10.1016/j.ijpddr.2018.06.002</v>
      </c>
      <c r="N718" s="40" t="s">
        <v>781</v>
      </c>
      <c r="O718" s="40" t="s">
        <v>750</v>
      </c>
      <c r="P718" s="40" t="s">
        <v>2369</v>
      </c>
      <c r="Q718" t="s">
        <v>316</v>
      </c>
    </row>
    <row r="719" spans="1:17" x14ac:dyDescent="0.25">
      <c r="A719" s="2" t="str">
        <f>HYPERLINK("https://www.ncbi.nlm.nih.gov/pubmed/29881965","29881965")</f>
        <v>29881965</v>
      </c>
      <c r="B719">
        <f t="shared" si="46"/>
        <v>4</v>
      </c>
      <c r="C719">
        <f t="shared" si="46"/>
        <v>3</v>
      </c>
      <c r="D719">
        <f t="shared" si="46"/>
        <v>0</v>
      </c>
      <c r="E719">
        <f t="shared" si="47"/>
        <v>7</v>
      </c>
      <c r="F719">
        <v>2018</v>
      </c>
      <c r="G719" t="s">
        <v>2439</v>
      </c>
      <c r="H719">
        <v>0</v>
      </c>
      <c r="I719" s="65">
        <v>0</v>
      </c>
      <c r="J719" t="s">
        <v>2440</v>
      </c>
      <c r="K719" s="35" t="s">
        <v>810</v>
      </c>
      <c r="L719" s="35" t="s">
        <v>6749</v>
      </c>
      <c r="M719" s="39" t="str">
        <f>HYPERLINK("http://dx.doi.org/10.1007/s11356-018-2386-3","10.1007/s11356-018-2386-3")</f>
        <v>10.1007/s11356-018-2386-3</v>
      </c>
      <c r="N719" s="40" t="s">
        <v>1369</v>
      </c>
      <c r="O719" s="40" t="s">
        <v>1188</v>
      </c>
      <c r="P719" s="40" t="s">
        <v>2441</v>
      </c>
      <c r="Q719" t="s">
        <v>316</v>
      </c>
    </row>
    <row r="720" spans="1:17" x14ac:dyDescent="0.25">
      <c r="A720" s="2" t="str">
        <f>HYPERLINK("https://www.ncbi.nlm.nih.gov/pubmed/29718557","29718557")</f>
        <v>29718557</v>
      </c>
      <c r="B720">
        <f t="shared" si="46"/>
        <v>4</v>
      </c>
      <c r="C720">
        <f t="shared" si="46"/>
        <v>0</v>
      </c>
      <c r="D720">
        <f t="shared" si="46"/>
        <v>0</v>
      </c>
      <c r="E720">
        <f t="shared" si="47"/>
        <v>4</v>
      </c>
      <c r="F720">
        <v>2018</v>
      </c>
      <c r="G720" t="s">
        <v>2472</v>
      </c>
      <c r="H720">
        <v>0</v>
      </c>
      <c r="I720" s="65">
        <v>0</v>
      </c>
      <c r="J720" t="s">
        <v>2473</v>
      </c>
      <c r="K720" s="35" t="s">
        <v>968</v>
      </c>
      <c r="L720" s="35" t="s">
        <v>6754</v>
      </c>
      <c r="M720" s="39" t="str">
        <f>HYPERLINK("http://dx.doi.org/10.1002/ps.5059","10.1002/ps.5059")</f>
        <v>10.1002/ps.5059</v>
      </c>
      <c r="N720" s="40" t="s">
        <v>2474</v>
      </c>
      <c r="O720" s="40" t="s">
        <v>678</v>
      </c>
      <c r="P720" s="40" t="s">
        <v>2475</v>
      </c>
      <c r="Q720" t="s">
        <v>316</v>
      </c>
    </row>
    <row r="721" spans="1:17" x14ac:dyDescent="0.25">
      <c r="A721" s="2" t="str">
        <f>HYPERLINK("https://www.ncbi.nlm.nih.gov/pubmed/32625889","32625889")</f>
        <v>32625889</v>
      </c>
      <c r="B721">
        <f t="shared" si="46"/>
        <v>4</v>
      </c>
      <c r="C721">
        <f t="shared" si="46"/>
        <v>0</v>
      </c>
      <c r="D721">
        <f t="shared" si="46"/>
        <v>0</v>
      </c>
      <c r="E721">
        <f t="shared" si="47"/>
        <v>4</v>
      </c>
      <c r="F721">
        <v>2018</v>
      </c>
      <c r="G721" t="s">
        <v>2476</v>
      </c>
      <c r="H721">
        <v>0</v>
      </c>
      <c r="I721" s="64" t="str">
        <f>HYPERLINK("https://www.ncbi.nlm.nih.gov/research/pubtator/?view=docsum&amp;query=PMC7009608","1")</f>
        <v>1</v>
      </c>
      <c r="J721" t="s">
        <v>2478</v>
      </c>
      <c r="K721" s="35" t="s">
        <v>2479</v>
      </c>
      <c r="L721" s="35" t="s">
        <v>2477</v>
      </c>
      <c r="M721" s="39" t="str">
        <f>HYPERLINK("http://dx.doi.org/10.2903/j.efsa.2018.5164","10.2903/j.efsa.2018.5164")</f>
        <v>10.2903/j.efsa.2018.5164</v>
      </c>
      <c r="N721" s="40" t="s">
        <v>780</v>
      </c>
      <c r="O721" s="40" t="s">
        <v>746</v>
      </c>
      <c r="P721" s="40" t="s">
        <v>2480</v>
      </c>
      <c r="Q721" t="s">
        <v>316</v>
      </c>
    </row>
    <row r="722" spans="1:17" x14ac:dyDescent="0.25">
      <c r="A722" s="2" t="str">
        <f>HYPERLINK("https://www.ncbi.nlm.nih.gov/pubmed/29432839","29432839")</f>
        <v>29432839</v>
      </c>
      <c r="B722">
        <f t="shared" si="46"/>
        <v>4</v>
      </c>
      <c r="C722">
        <f t="shared" si="46"/>
        <v>3</v>
      </c>
      <c r="D722">
        <f t="shared" si="46"/>
        <v>0</v>
      </c>
      <c r="E722">
        <f t="shared" si="47"/>
        <v>7</v>
      </c>
      <c r="F722">
        <v>2018</v>
      </c>
      <c r="G722" t="s">
        <v>2543</v>
      </c>
      <c r="H722">
        <v>0</v>
      </c>
      <c r="I722" s="65">
        <v>0</v>
      </c>
      <c r="J722" t="s">
        <v>2544</v>
      </c>
      <c r="K722" s="35" t="s">
        <v>695</v>
      </c>
      <c r="L722" s="35" t="s">
        <v>6765</v>
      </c>
      <c r="M722" s="39" t="str">
        <f>HYPERLINK("http://dx.doi.org/10.1016/j.fct.2018.01.055","10.1016/j.fct.2018.01.055")</f>
        <v>10.1016/j.fct.2018.01.055</v>
      </c>
      <c r="N722" s="40" t="s">
        <v>910</v>
      </c>
      <c r="O722" s="40" t="s">
        <v>383</v>
      </c>
      <c r="P722" s="40" t="s">
        <v>2545</v>
      </c>
      <c r="Q722" t="s">
        <v>316</v>
      </c>
    </row>
    <row r="723" spans="1:17" x14ac:dyDescent="0.25">
      <c r="A723" s="2" t="str">
        <f>HYPERLINK("https://www.ncbi.nlm.nih.gov/pubmed/29331520","29331520")</f>
        <v>29331520</v>
      </c>
      <c r="B723">
        <f t="shared" si="46"/>
        <v>4</v>
      </c>
      <c r="C723">
        <f t="shared" si="46"/>
        <v>3</v>
      </c>
      <c r="D723">
        <f t="shared" si="46"/>
        <v>0</v>
      </c>
      <c r="E723">
        <f t="shared" si="47"/>
        <v>7</v>
      </c>
      <c r="F723">
        <v>2018</v>
      </c>
      <c r="G723" t="s">
        <v>2576</v>
      </c>
      <c r="H723">
        <v>0</v>
      </c>
      <c r="I723" s="65">
        <v>0</v>
      </c>
      <c r="J723" t="s">
        <v>2577</v>
      </c>
      <c r="K723" s="35" t="s">
        <v>763</v>
      </c>
      <c r="L723" s="35" t="s">
        <v>6769</v>
      </c>
      <c r="M723" s="39" t="str">
        <f>HYPERLINK("http://dx.doi.org/10.1016/j.aquatox.2017.12.015","10.1016/j.aquatox.2017.12.015")</f>
        <v>10.1016/j.aquatox.2017.12.015</v>
      </c>
      <c r="N723" s="40" t="s">
        <v>2578</v>
      </c>
      <c r="O723" s="40" t="s">
        <v>383</v>
      </c>
      <c r="P723" s="40" t="s">
        <v>2579</v>
      </c>
      <c r="Q723" t="s">
        <v>316</v>
      </c>
    </row>
    <row r="724" spans="1:17" x14ac:dyDescent="0.25">
      <c r="A724" s="2" t="str">
        <f>HYPERLINK("https://www.ncbi.nlm.nih.gov/pubmed/29265060","29265060")</f>
        <v>29265060</v>
      </c>
      <c r="B724">
        <f t="shared" ref="B724:D743" si="48">IF(ISBLANK(B$3),0,(LEN($L724) - LEN(SUBSTITUTE(LOWER($L724),LOWER(B$3),"")))/LEN(B$3))</f>
        <v>4</v>
      </c>
      <c r="C724">
        <f t="shared" si="48"/>
        <v>0</v>
      </c>
      <c r="D724">
        <f t="shared" si="48"/>
        <v>0</v>
      </c>
      <c r="E724">
        <f t="shared" si="47"/>
        <v>4</v>
      </c>
      <c r="F724">
        <v>2017</v>
      </c>
      <c r="G724" t="s">
        <v>2590</v>
      </c>
      <c r="H724">
        <v>0</v>
      </c>
      <c r="I724" s="65">
        <v>0</v>
      </c>
      <c r="J724" t="s">
        <v>2592</v>
      </c>
      <c r="K724" s="35" t="s">
        <v>2593</v>
      </c>
      <c r="L724" s="35" t="s">
        <v>2591</v>
      </c>
      <c r="M724" s="39" t="str">
        <f>HYPERLINK("http://dx.doi.org/10.4103/1319-2442.220867","10.4103/1319-2442.220867")</f>
        <v>10.4103/1319-2442.220867</v>
      </c>
      <c r="N724" s="40" t="s">
        <v>731</v>
      </c>
      <c r="O724" s="40" t="s">
        <v>741</v>
      </c>
      <c r="P724" s="40" t="s">
        <v>2594</v>
      </c>
      <c r="Q724" t="s">
        <v>316</v>
      </c>
    </row>
    <row r="725" spans="1:17" x14ac:dyDescent="0.25">
      <c r="A725" s="2" t="str">
        <f>HYPERLINK("https://www.ncbi.nlm.nih.gov/pubmed/29136552","29136552")</f>
        <v>29136552</v>
      </c>
      <c r="B725">
        <f t="shared" si="48"/>
        <v>4</v>
      </c>
      <c r="C725">
        <f t="shared" si="48"/>
        <v>1</v>
      </c>
      <c r="D725">
        <f t="shared" si="48"/>
        <v>0</v>
      </c>
      <c r="E725">
        <f t="shared" si="47"/>
        <v>5</v>
      </c>
      <c r="F725">
        <v>2018</v>
      </c>
      <c r="G725" t="s">
        <v>2621</v>
      </c>
      <c r="H725">
        <v>0</v>
      </c>
      <c r="I725" s="65">
        <v>0</v>
      </c>
      <c r="J725" t="s">
        <v>2622</v>
      </c>
      <c r="K725" s="35" t="s">
        <v>1815</v>
      </c>
      <c r="L725" s="35" t="s">
        <v>6777</v>
      </c>
      <c r="M725" s="39" t="str">
        <f>HYPERLINK("http://dx.doi.org/10.1016/j.jchromb.2017.11.011","10.1016/j.jchromb.2017.11.011")</f>
        <v>10.1016/j.jchromb.2017.11.011</v>
      </c>
      <c r="N725" s="40" t="s">
        <v>2623</v>
      </c>
      <c r="O725" s="40" t="s">
        <v>383</v>
      </c>
      <c r="P725" s="40" t="s">
        <v>2624</v>
      </c>
      <c r="Q725" t="s">
        <v>316</v>
      </c>
    </row>
    <row r="726" spans="1:17" x14ac:dyDescent="0.25">
      <c r="A726" s="2" t="str">
        <f>HYPERLINK("https://www.ncbi.nlm.nih.gov/pubmed/29123242","29123242")</f>
        <v>29123242</v>
      </c>
      <c r="B726">
        <f t="shared" si="48"/>
        <v>4</v>
      </c>
      <c r="C726">
        <f t="shared" si="48"/>
        <v>0</v>
      </c>
      <c r="D726">
        <f t="shared" si="48"/>
        <v>0</v>
      </c>
      <c r="E726">
        <f t="shared" si="47"/>
        <v>4</v>
      </c>
      <c r="F726">
        <v>2017</v>
      </c>
      <c r="G726" t="s">
        <v>2628</v>
      </c>
      <c r="H726">
        <v>0</v>
      </c>
      <c r="I726" s="64" t="str">
        <f>HYPERLINK("https://www.ncbi.nlm.nih.gov/research/pubtator/?view=docsum&amp;query=PMC5680249","1")</f>
        <v>1</v>
      </c>
      <c r="J726" t="s">
        <v>2629</v>
      </c>
      <c r="K726" s="35" t="s">
        <v>747</v>
      </c>
      <c r="L726" s="35" t="s">
        <v>6779</v>
      </c>
      <c r="M726" s="39" t="str">
        <f>HYPERLINK("http://dx.doi.org/10.1038/s41598-017-15581-5","10.1038/s41598-017-15581-5")</f>
        <v>10.1038/s41598-017-15581-5</v>
      </c>
      <c r="N726" s="40" t="s">
        <v>748</v>
      </c>
      <c r="O726" s="40" t="s">
        <v>638</v>
      </c>
      <c r="P726" s="40" t="s">
        <v>2630</v>
      </c>
      <c r="Q726" t="s">
        <v>316</v>
      </c>
    </row>
    <row r="727" spans="1:17" x14ac:dyDescent="0.25">
      <c r="A727" s="2" t="str">
        <f>HYPERLINK("https://www.ncbi.nlm.nih.gov/pubmed/29090615","29090615")</f>
        <v>29090615</v>
      </c>
      <c r="B727">
        <f t="shared" si="48"/>
        <v>4</v>
      </c>
      <c r="C727">
        <f t="shared" si="48"/>
        <v>0</v>
      </c>
      <c r="D727">
        <f t="shared" si="48"/>
        <v>0</v>
      </c>
      <c r="E727">
        <f t="shared" si="47"/>
        <v>4</v>
      </c>
      <c r="F727">
        <v>2018</v>
      </c>
      <c r="G727" t="s">
        <v>2638</v>
      </c>
      <c r="H727">
        <v>0</v>
      </c>
      <c r="I727" s="65">
        <v>0</v>
      </c>
      <c r="J727" t="s">
        <v>2640</v>
      </c>
      <c r="K727" s="35" t="s">
        <v>896</v>
      </c>
      <c r="L727" s="35" t="s">
        <v>2639</v>
      </c>
      <c r="M727" s="39" t="str">
        <f>HYPERLINK("http://dx.doi.org/10.1080/19440049.2017.1398419","10.1080/19440049.2017.1398419")</f>
        <v>10.1080/19440049.2017.1398419</v>
      </c>
      <c r="N727" s="40" t="s">
        <v>2274</v>
      </c>
      <c r="O727" s="40" t="s">
        <v>744</v>
      </c>
      <c r="P727" s="40" t="s">
        <v>2641</v>
      </c>
      <c r="Q727" t="s">
        <v>316</v>
      </c>
    </row>
    <row r="728" spans="1:17" x14ac:dyDescent="0.25">
      <c r="A728" s="2" t="str">
        <f>HYPERLINK("https://www.ncbi.nlm.nih.gov/pubmed/29089046","29089046")</f>
        <v>29089046</v>
      </c>
      <c r="B728">
        <f t="shared" si="48"/>
        <v>4</v>
      </c>
      <c r="C728">
        <f t="shared" si="48"/>
        <v>0</v>
      </c>
      <c r="D728">
        <f t="shared" si="48"/>
        <v>0</v>
      </c>
      <c r="E728">
        <f t="shared" si="47"/>
        <v>4</v>
      </c>
      <c r="F728">
        <v>2017</v>
      </c>
      <c r="G728" t="s">
        <v>2647</v>
      </c>
      <c r="H728">
        <v>0</v>
      </c>
      <c r="I728" s="64" t="str">
        <f>HYPERLINK("https://www.ncbi.nlm.nih.gov/research/pubtator/?view=docsum&amp;query=PMC5664438","1")</f>
        <v>1</v>
      </c>
      <c r="J728" t="s">
        <v>2648</v>
      </c>
      <c r="K728" s="35" t="s">
        <v>870</v>
      </c>
      <c r="L728" s="35" t="s">
        <v>6783</v>
      </c>
      <c r="M728" s="39" t="str">
        <f>HYPERLINK("http://dx.doi.org/10.1186/s13071-017-2470-4","10.1186/s13071-017-2470-4")</f>
        <v>10.1186/s13071-017-2470-4</v>
      </c>
      <c r="N728" s="40" t="s">
        <v>802</v>
      </c>
      <c r="O728" s="40" t="s">
        <v>638</v>
      </c>
      <c r="P728" s="40" t="s">
        <v>2649</v>
      </c>
      <c r="Q728" t="s">
        <v>316</v>
      </c>
    </row>
    <row r="729" spans="1:17" x14ac:dyDescent="0.25">
      <c r="A729" s="2" t="str">
        <f>HYPERLINK("https://www.ncbi.nlm.nih.gov/pubmed/28842940","28842940")</f>
        <v>28842940</v>
      </c>
      <c r="B729">
        <f t="shared" si="48"/>
        <v>4</v>
      </c>
      <c r="C729">
        <f t="shared" si="48"/>
        <v>0</v>
      </c>
      <c r="D729">
        <f t="shared" si="48"/>
        <v>0</v>
      </c>
      <c r="E729">
        <f t="shared" si="47"/>
        <v>4</v>
      </c>
      <c r="F729">
        <v>2018</v>
      </c>
      <c r="G729" t="s">
        <v>2697</v>
      </c>
      <c r="H729">
        <v>0</v>
      </c>
      <c r="I729" s="64" t="str">
        <f>HYPERLINK("https://www.ncbi.nlm.nih.gov/research/pubtator/?view=docsum&amp;query=PMC5765491","1")</f>
        <v>1</v>
      </c>
      <c r="J729" t="s">
        <v>2698</v>
      </c>
      <c r="K729" s="35" t="s">
        <v>968</v>
      </c>
      <c r="L729" s="35" t="s">
        <v>6793</v>
      </c>
      <c r="M729" s="39" t="str">
        <f>HYPERLINK("http://dx.doi.org/10.1002/ps.4715","10.1002/ps.4715")</f>
        <v>10.1002/ps.4715</v>
      </c>
      <c r="N729" s="40" t="s">
        <v>2474</v>
      </c>
      <c r="O729" s="40" t="s">
        <v>638</v>
      </c>
      <c r="P729" s="40" t="s">
        <v>2699</v>
      </c>
      <c r="Q729" t="s">
        <v>316</v>
      </c>
    </row>
    <row r="730" spans="1:17" x14ac:dyDescent="0.25">
      <c r="A730" s="2" t="str">
        <f>HYPERLINK("https://www.ncbi.nlm.nih.gov/pubmed/28819220","28819220")</f>
        <v>28819220</v>
      </c>
      <c r="B730">
        <f t="shared" si="48"/>
        <v>4</v>
      </c>
      <c r="C730">
        <f t="shared" si="48"/>
        <v>0</v>
      </c>
      <c r="D730">
        <f t="shared" si="48"/>
        <v>0</v>
      </c>
      <c r="E730">
        <f t="shared" si="47"/>
        <v>4</v>
      </c>
      <c r="F730">
        <v>2017</v>
      </c>
      <c r="G730" t="s">
        <v>2700</v>
      </c>
      <c r="H730">
        <v>0</v>
      </c>
      <c r="I730" s="64" t="str">
        <f>HYPERLINK("https://www.ncbi.nlm.nih.gov/research/pubtator/?view=docsum&amp;query=PMC5561069","1")</f>
        <v>1</v>
      </c>
      <c r="J730" t="s">
        <v>2702</v>
      </c>
      <c r="K730" s="35" t="s">
        <v>747</v>
      </c>
      <c r="L730" s="35" t="s">
        <v>2701</v>
      </c>
      <c r="M730" s="39" t="str">
        <f>HYPERLINK("http://dx.doi.org/10.1038/s41598-017-08380-5","10.1038/s41598-017-08380-5")</f>
        <v>10.1038/s41598-017-08380-5</v>
      </c>
      <c r="N730" s="40" t="s">
        <v>748</v>
      </c>
      <c r="O730" s="40" t="s">
        <v>638</v>
      </c>
      <c r="P730" s="40" t="s">
        <v>2703</v>
      </c>
      <c r="Q730" t="s">
        <v>316</v>
      </c>
    </row>
    <row r="731" spans="1:17" x14ac:dyDescent="0.25">
      <c r="A731" s="2" t="str">
        <f>HYPERLINK("https://www.ncbi.nlm.nih.gov/pubmed/28692262","28692262")</f>
        <v>28692262</v>
      </c>
      <c r="B731">
        <f t="shared" si="48"/>
        <v>4</v>
      </c>
      <c r="C731">
        <f t="shared" si="48"/>
        <v>0</v>
      </c>
      <c r="D731">
        <f t="shared" si="48"/>
        <v>0</v>
      </c>
      <c r="E731">
        <f t="shared" si="47"/>
        <v>4</v>
      </c>
      <c r="F731">
        <v>2017</v>
      </c>
      <c r="G731" t="s">
        <v>2736</v>
      </c>
      <c r="H731">
        <v>0</v>
      </c>
      <c r="I731" s="65">
        <v>0</v>
      </c>
      <c r="J731" t="s">
        <v>2737</v>
      </c>
      <c r="K731" s="35" t="s">
        <v>770</v>
      </c>
      <c r="L731" s="35" t="s">
        <v>6801</v>
      </c>
      <c r="M731" s="39" t="str">
        <f>HYPERLINK("http://dx.doi.org/10.1021/acs.jafc.7b02044","10.1021/acs.jafc.7b02044")</f>
        <v>10.1021/acs.jafc.7b02044</v>
      </c>
      <c r="N731" s="40" t="s">
        <v>2738</v>
      </c>
      <c r="O731" s="40" t="s">
        <v>745</v>
      </c>
      <c r="P731" s="40" t="s">
        <v>2739</v>
      </c>
      <c r="Q731" t="s">
        <v>316</v>
      </c>
    </row>
    <row r="732" spans="1:17" x14ac:dyDescent="0.25">
      <c r="A732" s="2" t="str">
        <f>HYPERLINK("https://www.ncbi.nlm.nih.gov/pubmed/28658738","28658738")</f>
        <v>28658738</v>
      </c>
      <c r="B732">
        <f t="shared" si="48"/>
        <v>4</v>
      </c>
      <c r="C732">
        <f t="shared" si="48"/>
        <v>0</v>
      </c>
      <c r="D732">
        <f t="shared" si="48"/>
        <v>0</v>
      </c>
      <c r="E732">
        <f t="shared" si="47"/>
        <v>4</v>
      </c>
      <c r="F732">
        <v>2017</v>
      </c>
      <c r="G732" t="s">
        <v>2750</v>
      </c>
      <c r="H732">
        <v>0</v>
      </c>
      <c r="I732" s="65">
        <v>0</v>
      </c>
      <c r="J732" t="s">
        <v>2751</v>
      </c>
      <c r="K732" s="35" t="s">
        <v>822</v>
      </c>
      <c r="L732" s="35" t="s">
        <v>6802</v>
      </c>
      <c r="M732" s="39" t="str">
        <f>HYPERLINK("http://dx.doi.org/10.1016/j.chemosphere.2017.06.085","10.1016/j.chemosphere.2017.06.085")</f>
        <v>10.1016/j.chemosphere.2017.06.085</v>
      </c>
      <c r="N732" s="40" t="s">
        <v>2752</v>
      </c>
      <c r="O732" s="40" t="s">
        <v>383</v>
      </c>
      <c r="P732" s="40" t="s">
        <v>2753</v>
      </c>
      <c r="Q732" t="s">
        <v>316</v>
      </c>
    </row>
    <row r="733" spans="1:17" x14ac:dyDescent="0.25">
      <c r="A733" s="2" t="str">
        <f>HYPERLINK("https://www.ncbi.nlm.nih.gov/pubmed/28627284","28627284")</f>
        <v>28627284</v>
      </c>
      <c r="B733">
        <f t="shared" si="48"/>
        <v>4</v>
      </c>
      <c r="C733">
        <f t="shared" si="48"/>
        <v>0</v>
      </c>
      <c r="D733">
        <f t="shared" si="48"/>
        <v>0</v>
      </c>
      <c r="E733">
        <f t="shared" si="47"/>
        <v>4</v>
      </c>
      <c r="F733">
        <v>2018</v>
      </c>
      <c r="G733" t="s">
        <v>2770</v>
      </c>
      <c r="H733">
        <v>0</v>
      </c>
      <c r="I733" s="64" t="str">
        <f>HYPERLINK("https://www.ncbi.nlm.nih.gov/research/pubtator/?view=docsum&amp;query=PMC5971366","1")</f>
        <v>1</v>
      </c>
      <c r="J733" t="s">
        <v>2771</v>
      </c>
      <c r="K733" s="35" t="s">
        <v>2772</v>
      </c>
      <c r="L733" s="35" t="s">
        <v>6805</v>
      </c>
      <c r="M733" s="39" t="str">
        <f>HYPERLINK("http://dx.doi.org/10.1177/1098612X17715153","10.1177/1098612X17715153")</f>
        <v>10.1177/1098612X17715153</v>
      </c>
      <c r="N733" s="40" t="s">
        <v>1109</v>
      </c>
      <c r="O733" s="40" t="s">
        <v>741</v>
      </c>
      <c r="P733" s="40" t="s">
        <v>2773</v>
      </c>
      <c r="Q733" t="s">
        <v>316</v>
      </c>
    </row>
    <row r="734" spans="1:17" x14ac:dyDescent="0.25">
      <c r="A734" s="2" t="str">
        <f>HYPERLINK("https://www.ncbi.nlm.nih.gov/pubmed/28580617","28580617")</f>
        <v>28580617</v>
      </c>
      <c r="B734">
        <f t="shared" si="48"/>
        <v>4</v>
      </c>
      <c r="C734">
        <f t="shared" si="48"/>
        <v>0</v>
      </c>
      <c r="D734">
        <f t="shared" si="48"/>
        <v>0</v>
      </c>
      <c r="E734">
        <f t="shared" si="47"/>
        <v>4</v>
      </c>
      <c r="F734">
        <v>2017</v>
      </c>
      <c r="G734" t="s">
        <v>2777</v>
      </c>
      <c r="H734">
        <v>0</v>
      </c>
      <c r="I734" s="65">
        <v>0</v>
      </c>
      <c r="J734" t="s">
        <v>2778</v>
      </c>
      <c r="K734" s="35" t="s">
        <v>968</v>
      </c>
      <c r="L734" s="35" t="s">
        <v>6807</v>
      </c>
      <c r="M734" s="39" t="str">
        <f>HYPERLINK("http://dx.doi.org/10.1002/ps.4633","10.1002/ps.4633")</f>
        <v>10.1002/ps.4633</v>
      </c>
      <c r="N734" s="40" t="s">
        <v>2599</v>
      </c>
      <c r="O734" s="40" t="s">
        <v>915</v>
      </c>
      <c r="P734" s="40" t="s">
        <v>2779</v>
      </c>
      <c r="Q734" t="s">
        <v>316</v>
      </c>
    </row>
    <row r="735" spans="1:17" x14ac:dyDescent="0.25">
      <c r="A735" s="2" t="str">
        <f>HYPERLINK("https://www.ncbi.nlm.nih.gov/pubmed/28395750","28395750")</f>
        <v>28395750</v>
      </c>
      <c r="B735">
        <f t="shared" si="48"/>
        <v>4</v>
      </c>
      <c r="C735">
        <f t="shared" si="48"/>
        <v>2</v>
      </c>
      <c r="D735">
        <f t="shared" si="48"/>
        <v>0</v>
      </c>
      <c r="E735">
        <f t="shared" si="47"/>
        <v>6</v>
      </c>
      <c r="F735">
        <v>2017</v>
      </c>
      <c r="G735" t="s">
        <v>2831</v>
      </c>
      <c r="H735">
        <v>0</v>
      </c>
      <c r="I735" s="65">
        <v>0</v>
      </c>
      <c r="J735" t="s">
        <v>2832</v>
      </c>
      <c r="K735" s="35" t="s">
        <v>1052</v>
      </c>
      <c r="L735" s="35" t="s">
        <v>6817</v>
      </c>
      <c r="M735" s="39" t="str">
        <f>HYPERLINK("http://dx.doi.org/10.1016/j.vetpar.2017.03.008","10.1016/j.vetpar.2017.03.008")</f>
        <v>10.1016/j.vetpar.2017.03.008</v>
      </c>
      <c r="N735" s="40" t="s">
        <v>2833</v>
      </c>
      <c r="O735" s="40" t="s">
        <v>383</v>
      </c>
      <c r="P735" s="40" t="s">
        <v>2834</v>
      </c>
      <c r="Q735" t="s">
        <v>316</v>
      </c>
    </row>
    <row r="736" spans="1:17" x14ac:dyDescent="0.25">
      <c r="A736" s="2" t="str">
        <f>HYPERLINK("https://www.ncbi.nlm.nih.gov/pubmed/28103942","28103942")</f>
        <v>28103942</v>
      </c>
      <c r="B736">
        <f t="shared" si="48"/>
        <v>4</v>
      </c>
      <c r="C736">
        <f t="shared" si="48"/>
        <v>0</v>
      </c>
      <c r="D736">
        <f t="shared" si="48"/>
        <v>0</v>
      </c>
      <c r="E736">
        <f t="shared" si="47"/>
        <v>4</v>
      </c>
      <c r="F736">
        <v>2017</v>
      </c>
      <c r="G736" t="s">
        <v>2897</v>
      </c>
      <c r="H736">
        <v>0</v>
      </c>
      <c r="I736" s="64" t="str">
        <f>HYPERLINK("https://www.ncbi.nlm.nih.gov/research/pubtator/?view=docsum&amp;query=PMC5248512","1")</f>
        <v>1</v>
      </c>
      <c r="J736" t="s">
        <v>2896</v>
      </c>
      <c r="K736" s="35" t="s">
        <v>870</v>
      </c>
      <c r="L736" s="35" t="s">
        <v>6831</v>
      </c>
      <c r="M736" s="39" t="str">
        <f>HYPERLINK("http://dx.doi.org/10.1186/s13071-017-1972-4","10.1186/s13071-017-1972-4")</f>
        <v>10.1186/s13071-017-1972-4</v>
      </c>
      <c r="N736" s="40" t="s">
        <v>802</v>
      </c>
      <c r="O736" s="40" t="s">
        <v>638</v>
      </c>
      <c r="P736" s="40" t="s">
        <v>1869</v>
      </c>
      <c r="Q736" t="s">
        <v>316</v>
      </c>
    </row>
    <row r="737" spans="1:17" x14ac:dyDescent="0.25">
      <c r="A737" s="2" t="str">
        <f>HYPERLINK("https://www.ncbi.nlm.nih.gov/pubmed/30351841","30351841")</f>
        <v>30351841</v>
      </c>
      <c r="B737">
        <f t="shared" si="48"/>
        <v>4</v>
      </c>
      <c r="C737">
        <f t="shared" si="48"/>
        <v>0</v>
      </c>
      <c r="D737">
        <f t="shared" si="48"/>
        <v>0</v>
      </c>
      <c r="E737">
        <f t="shared" si="47"/>
        <v>4</v>
      </c>
      <c r="F737">
        <v>2017</v>
      </c>
      <c r="G737" t="s">
        <v>2902</v>
      </c>
      <c r="H737">
        <v>0</v>
      </c>
      <c r="I737" s="65">
        <v>0</v>
      </c>
      <c r="J737" t="s">
        <v>2904</v>
      </c>
      <c r="K737" s="35" t="s">
        <v>2905</v>
      </c>
      <c r="L737" s="35" t="s">
        <v>2903</v>
      </c>
      <c r="M737" s="39" t="str">
        <f>HYPERLINK("http://dx.doi.org/","")</f>
        <v/>
      </c>
      <c r="N737" s="40" t="s">
        <v>383</v>
      </c>
      <c r="O737" s="40" t="s">
        <v>744</v>
      </c>
      <c r="P737" s="40" t="s">
        <v>2710</v>
      </c>
      <c r="Q737" t="s">
        <v>316</v>
      </c>
    </row>
    <row r="738" spans="1:17" x14ac:dyDescent="0.25">
      <c r="A738" s="2" t="str">
        <f>HYPERLINK("https://www.ncbi.nlm.nih.gov/pubmed/27703984","27703984")</f>
        <v>27703984</v>
      </c>
      <c r="B738">
        <f t="shared" si="48"/>
        <v>4</v>
      </c>
      <c r="C738">
        <f t="shared" si="48"/>
        <v>0</v>
      </c>
      <c r="D738">
        <f t="shared" si="48"/>
        <v>0</v>
      </c>
      <c r="E738">
        <f t="shared" si="47"/>
        <v>4</v>
      </c>
      <c r="F738">
        <v>2016</v>
      </c>
      <c r="G738" t="s">
        <v>2996</v>
      </c>
      <c r="H738">
        <v>0</v>
      </c>
      <c r="I738" s="64" t="str">
        <f>HYPERLINK("https://www.ncbi.nlm.nih.gov/research/pubtator/?view=docsum&amp;query=PMC5040778","1")</f>
        <v>1</v>
      </c>
      <c r="J738" t="s">
        <v>2998</v>
      </c>
      <c r="K738" s="35" t="s">
        <v>2999</v>
      </c>
      <c r="L738" s="35" t="s">
        <v>2997</v>
      </c>
      <c r="M738" s="39" t="str">
        <f>HYPERLINK("http://dx.doi.org/10.1155/2016/9498604","10.1155/2016/9498604")</f>
        <v>10.1155/2016/9498604</v>
      </c>
      <c r="N738" s="40" t="s">
        <v>3000</v>
      </c>
      <c r="O738" s="40" t="s">
        <v>383</v>
      </c>
      <c r="P738" s="40" t="s">
        <v>3001</v>
      </c>
      <c r="Q738" t="s">
        <v>316</v>
      </c>
    </row>
    <row r="739" spans="1:17" x14ac:dyDescent="0.25">
      <c r="A739" s="2" t="str">
        <f>HYPERLINK("https://www.ncbi.nlm.nih.gov/pubmed/27643517","27643517")</f>
        <v>27643517</v>
      </c>
      <c r="B739">
        <f t="shared" si="48"/>
        <v>4</v>
      </c>
      <c r="C739">
        <f t="shared" si="48"/>
        <v>0</v>
      </c>
      <c r="D739">
        <f t="shared" si="48"/>
        <v>0</v>
      </c>
      <c r="E739">
        <f t="shared" si="47"/>
        <v>4</v>
      </c>
      <c r="F739">
        <v>2016</v>
      </c>
      <c r="G739" t="s">
        <v>3007</v>
      </c>
      <c r="H739">
        <v>1</v>
      </c>
      <c r="I739" s="65">
        <v>0</v>
      </c>
      <c r="J739" t="s">
        <v>3009</v>
      </c>
      <c r="K739" s="35" t="s">
        <v>3010</v>
      </c>
      <c r="L739" s="35" t="s">
        <v>3008</v>
      </c>
      <c r="M739" s="39" t="str">
        <f>HYPERLINK("http://dx.doi.org/10.1080/10408444.2016.1223014","10.1080/10408444.2016.1223014")</f>
        <v>10.1080/10408444.2016.1223014</v>
      </c>
      <c r="N739" s="40" t="s">
        <v>1229</v>
      </c>
      <c r="O739" s="40" t="s">
        <v>802</v>
      </c>
      <c r="P739" s="40" t="s">
        <v>3011</v>
      </c>
      <c r="Q739" t="s">
        <v>316</v>
      </c>
    </row>
    <row r="740" spans="1:17" x14ac:dyDescent="0.25">
      <c r="A740" s="2" t="str">
        <f>HYPERLINK("https://www.ncbi.nlm.nih.gov/pubmed/27571108","27571108")</f>
        <v>27571108</v>
      </c>
      <c r="B740">
        <f t="shared" si="48"/>
        <v>4</v>
      </c>
      <c r="C740">
        <f t="shared" si="48"/>
        <v>0</v>
      </c>
      <c r="D740">
        <f t="shared" si="48"/>
        <v>0</v>
      </c>
      <c r="E740">
        <f t="shared" si="47"/>
        <v>4</v>
      </c>
      <c r="F740">
        <v>2016</v>
      </c>
      <c r="G740" t="s">
        <v>3024</v>
      </c>
      <c r="H740">
        <v>0</v>
      </c>
      <c r="I740" s="64" t="str">
        <f>HYPERLINK("https://www.ncbi.nlm.nih.gov/research/pubtator/?view=docsum&amp;query=PMC5039556","1")</f>
        <v>1</v>
      </c>
      <c r="J740" t="s">
        <v>3026</v>
      </c>
      <c r="K740" s="35" t="s">
        <v>925</v>
      </c>
      <c r="L740" s="35" t="s">
        <v>3025</v>
      </c>
      <c r="M740" s="39" t="str">
        <f>HYPERLINK("http://dx.doi.org/10.3390/insects7030043","10.3390/insects7030043")</f>
        <v>10.3390/insects7030043</v>
      </c>
      <c r="N740" s="40" t="s">
        <v>748</v>
      </c>
      <c r="O740" s="40" t="s">
        <v>750</v>
      </c>
      <c r="P740" s="40" t="s">
        <v>383</v>
      </c>
      <c r="Q740" t="s">
        <v>316</v>
      </c>
    </row>
    <row r="741" spans="1:17" x14ac:dyDescent="0.25">
      <c r="A741" s="2" t="str">
        <f>HYPERLINK("https://www.ncbi.nlm.nih.gov/pubmed/27557781","27557781")</f>
        <v>27557781</v>
      </c>
      <c r="B741">
        <f t="shared" si="48"/>
        <v>4</v>
      </c>
      <c r="C741">
        <f t="shared" si="48"/>
        <v>0</v>
      </c>
      <c r="D741">
        <f t="shared" si="48"/>
        <v>0</v>
      </c>
      <c r="E741">
        <f t="shared" si="47"/>
        <v>4</v>
      </c>
      <c r="F741">
        <v>2016</v>
      </c>
      <c r="G741" t="s">
        <v>3027</v>
      </c>
      <c r="H741">
        <v>0</v>
      </c>
      <c r="I741" s="64" t="str">
        <f>HYPERLINK("https://www.ncbi.nlm.nih.gov/research/pubtator/?view=docsum&amp;query=PMC4997714","1")</f>
        <v>1</v>
      </c>
      <c r="J741" t="s">
        <v>3029</v>
      </c>
      <c r="K741" s="35" t="s">
        <v>747</v>
      </c>
      <c r="L741" s="35" t="s">
        <v>3028</v>
      </c>
      <c r="M741" s="39" t="str">
        <f>HYPERLINK("http://dx.doi.org/10.1038/srep32335","10.1038/srep32335")</f>
        <v>10.1038/srep32335</v>
      </c>
      <c r="N741" s="40" t="s">
        <v>741</v>
      </c>
      <c r="O741" s="40" t="s">
        <v>383</v>
      </c>
      <c r="P741" s="40" t="s">
        <v>3030</v>
      </c>
      <c r="Q741" t="s">
        <v>316</v>
      </c>
    </row>
    <row r="742" spans="1:17" x14ac:dyDescent="0.25">
      <c r="A742" s="2" t="str">
        <f>HYPERLINK("https://www.ncbi.nlm.nih.gov/pubmed/27549030","27549030")</f>
        <v>27549030</v>
      </c>
      <c r="B742">
        <f t="shared" si="48"/>
        <v>4</v>
      </c>
      <c r="C742">
        <f t="shared" si="48"/>
        <v>0</v>
      </c>
      <c r="D742">
        <f t="shared" si="48"/>
        <v>0</v>
      </c>
      <c r="E742">
        <f t="shared" si="47"/>
        <v>4</v>
      </c>
      <c r="F742">
        <v>2016</v>
      </c>
      <c r="G742" t="s">
        <v>3031</v>
      </c>
      <c r="H742">
        <v>0</v>
      </c>
      <c r="I742" s="64" t="str">
        <f>HYPERLINK("https://www.ncbi.nlm.nih.gov/research/pubtator/?view=docsum&amp;query=PMC4994044","1")</f>
        <v>1</v>
      </c>
      <c r="J742" t="s">
        <v>3033</v>
      </c>
      <c r="K742" s="35" t="s">
        <v>747</v>
      </c>
      <c r="L742" s="35" t="s">
        <v>3032</v>
      </c>
      <c r="M742" s="39" t="str">
        <f>HYPERLINK("http://dx.doi.org/10.1038/srep31904","10.1038/srep31904")</f>
        <v>10.1038/srep31904</v>
      </c>
      <c r="N742" s="40" t="s">
        <v>741</v>
      </c>
      <c r="O742" s="40" t="s">
        <v>383</v>
      </c>
      <c r="P742" s="40" t="s">
        <v>3034</v>
      </c>
      <c r="Q742" t="s">
        <v>316</v>
      </c>
    </row>
    <row r="743" spans="1:17" x14ac:dyDescent="0.25">
      <c r="A743" s="2" t="str">
        <f>HYPERLINK("https://www.ncbi.nlm.nih.gov/pubmed/27537774","27537774")</f>
        <v>27537774</v>
      </c>
      <c r="B743">
        <f t="shared" si="48"/>
        <v>4</v>
      </c>
      <c r="C743">
        <f t="shared" si="48"/>
        <v>0</v>
      </c>
      <c r="D743">
        <f t="shared" si="48"/>
        <v>0</v>
      </c>
      <c r="E743">
        <f t="shared" si="47"/>
        <v>4</v>
      </c>
      <c r="F743">
        <v>2016</v>
      </c>
      <c r="G743" t="s">
        <v>3035</v>
      </c>
      <c r="H743">
        <v>0</v>
      </c>
      <c r="I743" s="64" t="str">
        <f>HYPERLINK("https://www.ncbi.nlm.nih.gov/research/pubtator/?view=docsum&amp;query=PMC4990243","1")</f>
        <v>1</v>
      </c>
      <c r="J743" t="s">
        <v>3036</v>
      </c>
      <c r="K743" s="35" t="s">
        <v>1629</v>
      </c>
      <c r="L743" s="35" t="s">
        <v>6853</v>
      </c>
      <c r="M743" s="39" t="str">
        <f>HYPERLINK("http://dx.doi.org/10.1371/journal.pntd.0004868","10.1371/journal.pntd.0004868")</f>
        <v>10.1371/journal.pntd.0004868</v>
      </c>
      <c r="N743" s="40" t="s">
        <v>802</v>
      </c>
      <c r="O743" s="40" t="s">
        <v>781</v>
      </c>
      <c r="P743" s="40" t="s">
        <v>3037</v>
      </c>
      <c r="Q743" t="s">
        <v>316</v>
      </c>
    </row>
    <row r="744" spans="1:17" x14ac:dyDescent="0.25">
      <c r="A744" s="2" t="str">
        <f>HYPERLINK("https://www.ncbi.nlm.nih.gov/pubmed/27443857","27443857")</f>
        <v>27443857</v>
      </c>
      <c r="B744">
        <f t="shared" ref="B744:D763" si="49">IF(ISBLANK(B$3),0,(LEN($L744) - LEN(SUBSTITUTE(LOWER($L744),LOWER(B$3),"")))/LEN(B$3))</f>
        <v>4</v>
      </c>
      <c r="C744">
        <f t="shared" si="49"/>
        <v>0</v>
      </c>
      <c r="D744">
        <f t="shared" si="49"/>
        <v>0</v>
      </c>
      <c r="E744">
        <f t="shared" si="47"/>
        <v>4</v>
      </c>
      <c r="F744">
        <v>2016</v>
      </c>
      <c r="G744" t="s">
        <v>3061</v>
      </c>
      <c r="H744">
        <v>0</v>
      </c>
      <c r="I744" s="65">
        <v>0</v>
      </c>
      <c r="J744" t="s">
        <v>3062</v>
      </c>
      <c r="K744" s="35" t="s">
        <v>810</v>
      </c>
      <c r="L744" s="35" t="s">
        <v>6855</v>
      </c>
      <c r="M744" s="39" t="str">
        <f>HYPERLINK("http://dx.doi.org/10.1007/s11356-016-7136-9","10.1007/s11356-016-7136-9")</f>
        <v>10.1007/s11356-016-7136-9</v>
      </c>
      <c r="N744" s="40" t="s">
        <v>737</v>
      </c>
      <c r="O744" s="40" t="s">
        <v>1109</v>
      </c>
      <c r="P744" s="40" t="s">
        <v>3063</v>
      </c>
      <c r="Q744" t="s">
        <v>316</v>
      </c>
    </row>
    <row r="745" spans="1:17" x14ac:dyDescent="0.25">
      <c r="A745" s="2" t="str">
        <f>HYPERLINK("https://www.ncbi.nlm.nih.gov/pubmed/27313094","27313094")</f>
        <v>27313094</v>
      </c>
      <c r="B745">
        <f t="shared" si="49"/>
        <v>4</v>
      </c>
      <c r="C745">
        <f t="shared" si="49"/>
        <v>0</v>
      </c>
      <c r="D745">
        <f t="shared" si="49"/>
        <v>0</v>
      </c>
      <c r="E745">
        <f t="shared" si="47"/>
        <v>4</v>
      </c>
      <c r="F745">
        <v>2016</v>
      </c>
      <c r="G745" t="s">
        <v>3076</v>
      </c>
      <c r="H745">
        <v>0</v>
      </c>
      <c r="I745" s="65">
        <v>0</v>
      </c>
      <c r="J745" t="s">
        <v>3077</v>
      </c>
      <c r="K745" s="35" t="s">
        <v>1936</v>
      </c>
      <c r="L745" s="35" t="s">
        <v>6859</v>
      </c>
      <c r="M745" s="39" t="str">
        <f>HYPERLINK("http://dx.doi.org/10.1016/j.toxlet.2016.06.011","10.1016/j.toxlet.2016.06.011")</f>
        <v>10.1016/j.toxlet.2016.06.011</v>
      </c>
      <c r="N745" s="40" t="s">
        <v>2361</v>
      </c>
      <c r="O745" s="40" t="s">
        <v>383</v>
      </c>
      <c r="P745" s="40" t="s">
        <v>3078</v>
      </c>
      <c r="Q745" t="s">
        <v>316</v>
      </c>
    </row>
    <row r="746" spans="1:17" x14ac:dyDescent="0.25">
      <c r="A746" s="2" t="str">
        <f>HYPERLINK("https://www.ncbi.nlm.nih.gov/pubmed/27288983","27288983")</f>
        <v>27288983</v>
      </c>
      <c r="B746">
        <f t="shared" si="49"/>
        <v>4</v>
      </c>
      <c r="C746">
        <f t="shared" si="49"/>
        <v>0</v>
      </c>
      <c r="D746">
        <f t="shared" si="49"/>
        <v>0</v>
      </c>
      <c r="E746">
        <f t="shared" si="47"/>
        <v>4</v>
      </c>
      <c r="F746">
        <v>2017</v>
      </c>
      <c r="G746" t="s">
        <v>3087</v>
      </c>
      <c r="H746">
        <v>0</v>
      </c>
      <c r="I746" s="65">
        <v>0</v>
      </c>
      <c r="J746" t="s">
        <v>3089</v>
      </c>
      <c r="K746" s="35" t="s">
        <v>937</v>
      </c>
      <c r="L746" s="35" t="s">
        <v>3088</v>
      </c>
      <c r="M746" s="39" t="str">
        <f>HYPERLINK("http://dx.doi.org/10.1016/j.neuro.2016.06.007","10.1016/j.neuro.2016.06.007")</f>
        <v>10.1016/j.neuro.2016.06.007</v>
      </c>
      <c r="N746" s="40" t="s">
        <v>1655</v>
      </c>
      <c r="O746" s="40" t="s">
        <v>383</v>
      </c>
      <c r="P746" s="40" t="s">
        <v>3090</v>
      </c>
      <c r="Q746" t="s">
        <v>316</v>
      </c>
    </row>
    <row r="747" spans="1:17" x14ac:dyDescent="0.25">
      <c r="A747" s="2" t="str">
        <f>HYPERLINK("https://www.ncbi.nlm.nih.gov/pubmed/27190688","27190688")</f>
        <v>27190688</v>
      </c>
      <c r="B747">
        <f t="shared" si="49"/>
        <v>4</v>
      </c>
      <c r="C747">
        <f t="shared" si="49"/>
        <v>0</v>
      </c>
      <c r="D747">
        <f t="shared" si="49"/>
        <v>0</v>
      </c>
      <c r="E747">
        <f t="shared" si="47"/>
        <v>4</v>
      </c>
      <c r="F747">
        <v>2016</v>
      </c>
      <c r="G747" t="s">
        <v>3106</v>
      </c>
      <c r="H747">
        <v>0</v>
      </c>
      <c r="I747" s="64" t="str">
        <f>HYPERLINK("https://www.ncbi.nlm.nih.gov/research/pubtator/?view=docsum&amp;query=PMC4852104","1")</f>
        <v>1</v>
      </c>
      <c r="J747" t="s">
        <v>3108</v>
      </c>
      <c r="K747" s="35" t="s">
        <v>3109</v>
      </c>
      <c r="L747" s="35" t="s">
        <v>3107</v>
      </c>
      <c r="M747" s="39" t="str">
        <f>HYPERLINK("http://dx.doi.org/10.1155/2016/7174685","10.1155/2016/7174685")</f>
        <v>10.1155/2016/7174685</v>
      </c>
      <c r="N747" s="40" t="s">
        <v>3000</v>
      </c>
      <c r="O747" s="40" t="s">
        <v>383</v>
      </c>
      <c r="P747" s="40" t="s">
        <v>3110</v>
      </c>
      <c r="Q747" t="s">
        <v>316</v>
      </c>
    </row>
    <row r="748" spans="1:17" x14ac:dyDescent="0.25">
      <c r="A748" s="2" t="str">
        <f>HYPERLINK("https://www.ncbi.nlm.nih.gov/pubmed/27092815","27092815")</f>
        <v>27092815</v>
      </c>
      <c r="B748">
        <f t="shared" si="49"/>
        <v>4</v>
      </c>
      <c r="C748">
        <f t="shared" si="49"/>
        <v>0</v>
      </c>
      <c r="D748">
        <f t="shared" si="49"/>
        <v>0</v>
      </c>
      <c r="E748">
        <f t="shared" si="47"/>
        <v>4</v>
      </c>
      <c r="F748">
        <v>2016</v>
      </c>
      <c r="G748" t="s">
        <v>3155</v>
      </c>
      <c r="H748">
        <v>0</v>
      </c>
      <c r="I748" s="65">
        <v>0</v>
      </c>
      <c r="J748" t="s">
        <v>3156</v>
      </c>
      <c r="K748" s="35" t="s">
        <v>770</v>
      </c>
      <c r="L748" s="35" t="s">
        <v>6874</v>
      </c>
      <c r="M748" s="39" t="str">
        <f>HYPERLINK("http://dx.doi.org/10.1021/acs.jafc.5b06042","10.1021/acs.jafc.5b06042")</f>
        <v>10.1021/acs.jafc.5b06042</v>
      </c>
      <c r="N748" s="40" t="s">
        <v>2243</v>
      </c>
      <c r="O748" s="40" t="s">
        <v>1115</v>
      </c>
      <c r="P748" s="40" t="s">
        <v>3157</v>
      </c>
      <c r="Q748" t="s">
        <v>316</v>
      </c>
    </row>
    <row r="749" spans="1:17" x14ac:dyDescent="0.25">
      <c r="A749" s="2" t="str">
        <f>HYPERLINK("https://www.ncbi.nlm.nih.gov/pubmed/26862281","26862281")</f>
        <v>26862281</v>
      </c>
      <c r="B749">
        <f t="shared" si="49"/>
        <v>4</v>
      </c>
      <c r="C749">
        <f t="shared" si="49"/>
        <v>0</v>
      </c>
      <c r="D749">
        <f t="shared" si="49"/>
        <v>0</v>
      </c>
      <c r="E749">
        <f t="shared" si="47"/>
        <v>4</v>
      </c>
      <c r="F749">
        <v>2015</v>
      </c>
      <c r="G749" t="s">
        <v>3245</v>
      </c>
      <c r="H749">
        <v>0</v>
      </c>
      <c r="I749" s="64" t="str">
        <f>HYPERLINK("https://www.ncbi.nlm.nih.gov/research/pubtator/?view=docsum&amp;query=PMC4721168","1")</f>
        <v>1</v>
      </c>
      <c r="J749" t="s">
        <v>3247</v>
      </c>
      <c r="K749" s="35" t="s">
        <v>3248</v>
      </c>
      <c r="L749" s="35" t="s">
        <v>3246</v>
      </c>
      <c r="M749" s="39" t="str">
        <f>HYPERLINK("http://dx.doi.org/10.4103/0971-6580.172280","10.4103/0971-6580.172280")</f>
        <v>10.4103/0971-6580.172280</v>
      </c>
      <c r="N749" s="40" t="s">
        <v>1092</v>
      </c>
      <c r="O749" s="40" t="s">
        <v>638</v>
      </c>
      <c r="P749" s="40" t="s">
        <v>3249</v>
      </c>
      <c r="Q749" t="s">
        <v>316</v>
      </c>
    </row>
    <row r="750" spans="1:17" x14ac:dyDescent="0.25">
      <c r="A750" s="2" t="str">
        <f>HYPERLINK("https://www.ncbi.nlm.nih.gov/pubmed/26817422","26817422")</f>
        <v>26817422</v>
      </c>
      <c r="B750">
        <f t="shared" si="49"/>
        <v>4</v>
      </c>
      <c r="C750">
        <f t="shared" si="49"/>
        <v>0</v>
      </c>
      <c r="D750">
        <f t="shared" si="49"/>
        <v>0</v>
      </c>
      <c r="E750">
        <f t="shared" si="47"/>
        <v>4</v>
      </c>
      <c r="F750">
        <v>2016</v>
      </c>
      <c r="G750" t="s">
        <v>3268</v>
      </c>
      <c r="H750">
        <v>0</v>
      </c>
      <c r="I750" s="65">
        <v>0</v>
      </c>
      <c r="J750" t="s">
        <v>3270</v>
      </c>
      <c r="K750" s="35" t="s">
        <v>968</v>
      </c>
      <c r="L750" s="35" t="s">
        <v>3269</v>
      </c>
      <c r="M750" s="39" t="str">
        <f>HYPERLINK("http://dx.doi.org/10.1002/ps.4239","10.1002/ps.4239")</f>
        <v>10.1002/ps.4239</v>
      </c>
      <c r="N750" s="40" t="s">
        <v>1970</v>
      </c>
      <c r="O750" s="40" t="s">
        <v>781</v>
      </c>
      <c r="P750" s="40" t="s">
        <v>3271</v>
      </c>
      <c r="Q750" t="s">
        <v>316</v>
      </c>
    </row>
    <row r="751" spans="1:17" x14ac:dyDescent="0.25">
      <c r="A751" s="2" t="str">
        <f>HYPERLINK("https://www.ncbi.nlm.nih.gov/pubmed/26788362","26788362")</f>
        <v>26788362</v>
      </c>
      <c r="B751">
        <f t="shared" si="49"/>
        <v>4</v>
      </c>
      <c r="C751">
        <f t="shared" si="49"/>
        <v>0</v>
      </c>
      <c r="D751">
        <f t="shared" si="49"/>
        <v>0</v>
      </c>
      <c r="E751">
        <f t="shared" si="47"/>
        <v>4</v>
      </c>
      <c r="F751">
        <v>2015</v>
      </c>
      <c r="G751" t="s">
        <v>3275</v>
      </c>
      <c r="H751">
        <v>0</v>
      </c>
      <c r="I751" s="64" t="str">
        <f>HYPERLINK("https://www.ncbi.nlm.nih.gov/research/pubtator/?view=docsum&amp;query=PMC4691617","1")</f>
        <v>1</v>
      </c>
      <c r="J751" t="s">
        <v>3277</v>
      </c>
      <c r="K751" s="35" t="s">
        <v>3278</v>
      </c>
      <c r="L751" s="35" t="s">
        <v>3276</v>
      </c>
      <c r="M751" s="39" t="str">
        <f>HYPERLINK("http://dx.doi.org/10.1155/2015/506586","10.1155/2015/506586")</f>
        <v>10.1155/2015/506586</v>
      </c>
      <c r="N751" s="40" t="s">
        <v>3279</v>
      </c>
      <c r="O751" s="40" t="s">
        <v>383</v>
      </c>
      <c r="P751" s="40" t="s">
        <v>3280</v>
      </c>
      <c r="Q751" t="s">
        <v>316</v>
      </c>
    </row>
    <row r="752" spans="1:17" x14ac:dyDescent="0.25">
      <c r="A752" s="2" t="str">
        <f>HYPERLINK("https://www.ncbi.nlm.nih.gov/pubmed/26689433","26689433")</f>
        <v>26689433</v>
      </c>
      <c r="B752">
        <f t="shared" si="49"/>
        <v>4</v>
      </c>
      <c r="C752">
        <f t="shared" si="49"/>
        <v>0</v>
      </c>
      <c r="D752">
        <f t="shared" si="49"/>
        <v>0</v>
      </c>
      <c r="E752">
        <f t="shared" si="47"/>
        <v>4</v>
      </c>
      <c r="F752">
        <v>2016</v>
      </c>
      <c r="G752" t="s">
        <v>3309</v>
      </c>
      <c r="H752">
        <v>0</v>
      </c>
      <c r="I752" s="64" t="str">
        <f>HYPERLINK("https://www.ncbi.nlm.nih.gov/research/pubtator/?view=docsum&amp;query=PMC4917477","1")</f>
        <v>1</v>
      </c>
      <c r="J752" t="s">
        <v>3310</v>
      </c>
      <c r="K752" s="35" t="s">
        <v>968</v>
      </c>
      <c r="L752" s="35" t="s">
        <v>6894</v>
      </c>
      <c r="M752" s="39" t="str">
        <f>HYPERLINK("http://dx.doi.org/10.1002/ps.4211","10.1002/ps.4211")</f>
        <v>10.1002/ps.4211</v>
      </c>
      <c r="N752" s="40" t="s">
        <v>1970</v>
      </c>
      <c r="O752" s="40" t="s">
        <v>660</v>
      </c>
      <c r="P752" s="40" t="s">
        <v>3311</v>
      </c>
      <c r="Q752" t="s">
        <v>316</v>
      </c>
    </row>
    <row r="753" spans="1:17" x14ac:dyDescent="0.25">
      <c r="A753" s="2" t="str">
        <f>HYPERLINK("https://www.ncbi.nlm.nih.gov/pubmed/26659095","26659095")</f>
        <v>26659095</v>
      </c>
      <c r="B753">
        <f t="shared" si="49"/>
        <v>4</v>
      </c>
      <c r="C753">
        <f t="shared" si="49"/>
        <v>0</v>
      </c>
      <c r="D753">
        <f t="shared" si="49"/>
        <v>0</v>
      </c>
      <c r="E753">
        <f t="shared" si="47"/>
        <v>4</v>
      </c>
      <c r="F753">
        <v>2015</v>
      </c>
      <c r="G753" t="s">
        <v>3316</v>
      </c>
      <c r="H753">
        <v>0</v>
      </c>
      <c r="I753" s="64" t="str">
        <f>HYPERLINK("https://www.ncbi.nlm.nih.gov/research/pubtator/?view=docsum&amp;query=PMC4682844","1")</f>
        <v>1</v>
      </c>
      <c r="J753" t="s">
        <v>3317</v>
      </c>
      <c r="K753" s="35" t="s">
        <v>779</v>
      </c>
      <c r="L753" s="35" t="s">
        <v>6895</v>
      </c>
      <c r="M753" s="39" t="str">
        <f>HYPERLINK("http://dx.doi.org/10.1371/journal.pone.0144879","10.1371/journal.pone.0144879")</f>
        <v>10.1371/journal.pone.0144879</v>
      </c>
      <c r="N753" s="40" t="s">
        <v>802</v>
      </c>
      <c r="O753" s="40" t="s">
        <v>915</v>
      </c>
      <c r="P753" s="40" t="s">
        <v>3318</v>
      </c>
      <c r="Q753" t="s">
        <v>316</v>
      </c>
    </row>
    <row r="754" spans="1:17" x14ac:dyDescent="0.25">
      <c r="A754" s="2" t="str">
        <f>HYPERLINK("https://www.ncbi.nlm.nih.gov/pubmed/26546486","26546486")</f>
        <v>26546486</v>
      </c>
      <c r="B754">
        <f t="shared" si="49"/>
        <v>4</v>
      </c>
      <c r="C754">
        <f t="shared" si="49"/>
        <v>0</v>
      </c>
      <c r="D754">
        <f t="shared" si="49"/>
        <v>0</v>
      </c>
      <c r="E754">
        <f t="shared" si="47"/>
        <v>4</v>
      </c>
      <c r="F754">
        <v>2016</v>
      </c>
      <c r="G754" t="s">
        <v>3329</v>
      </c>
      <c r="H754">
        <v>0</v>
      </c>
      <c r="I754" s="65">
        <v>0</v>
      </c>
      <c r="J754" t="s">
        <v>3330</v>
      </c>
      <c r="K754" s="35" t="s">
        <v>909</v>
      </c>
      <c r="L754" s="35" t="s">
        <v>6898</v>
      </c>
      <c r="M754" s="39" t="str">
        <f>HYPERLINK("http://dx.doi.org/10.1093/jee/tov326","10.1093/jee/tov326")</f>
        <v>10.1093/jee/tov326</v>
      </c>
      <c r="N754" s="40" t="s">
        <v>3143</v>
      </c>
      <c r="O754" s="40" t="s">
        <v>638</v>
      </c>
      <c r="P754" s="40" t="s">
        <v>3331</v>
      </c>
      <c r="Q754" t="s">
        <v>316</v>
      </c>
    </row>
    <row r="755" spans="1:17" x14ac:dyDescent="0.25">
      <c r="A755" s="2" t="str">
        <f>HYPERLINK("https://www.ncbi.nlm.nih.gov/pubmed/26437174","26437174")</f>
        <v>26437174</v>
      </c>
      <c r="B755">
        <f t="shared" si="49"/>
        <v>4</v>
      </c>
      <c r="C755">
        <f t="shared" si="49"/>
        <v>0</v>
      </c>
      <c r="D755">
        <f t="shared" si="49"/>
        <v>0</v>
      </c>
      <c r="E755">
        <f t="shared" si="47"/>
        <v>4</v>
      </c>
      <c r="F755">
        <v>2015</v>
      </c>
      <c r="G755" t="s">
        <v>3372</v>
      </c>
      <c r="H755">
        <v>0</v>
      </c>
      <c r="I755" s="65">
        <v>0</v>
      </c>
      <c r="J755" t="s">
        <v>3374</v>
      </c>
      <c r="K755" s="35" t="s">
        <v>3169</v>
      </c>
      <c r="L755" s="35" t="s">
        <v>3373</v>
      </c>
      <c r="M755" s="39" t="str">
        <f>HYPERLINK("http://dx.doi.org/10.1080/15287394.2015.1076363","10.1080/15287394.2015.1076363")</f>
        <v>10.1080/15287394.2015.1076363</v>
      </c>
      <c r="N755" s="40" t="s">
        <v>3375</v>
      </c>
      <c r="O755" s="40" t="s">
        <v>1115</v>
      </c>
      <c r="P755" s="40" t="s">
        <v>3376</v>
      </c>
      <c r="Q755" t="s">
        <v>316</v>
      </c>
    </row>
    <row r="756" spans="1:17" x14ac:dyDescent="0.25">
      <c r="A756" s="2" t="str">
        <f>HYPERLINK("https://www.ncbi.nlm.nih.gov/pubmed/26296809","26296809")</f>
        <v>26296809</v>
      </c>
      <c r="B756">
        <f t="shared" si="49"/>
        <v>4</v>
      </c>
      <c r="C756">
        <f t="shared" si="49"/>
        <v>0</v>
      </c>
      <c r="D756">
        <f t="shared" si="49"/>
        <v>0</v>
      </c>
      <c r="E756">
        <f t="shared" si="47"/>
        <v>4</v>
      </c>
      <c r="F756">
        <v>2015</v>
      </c>
      <c r="G756" t="s">
        <v>3412</v>
      </c>
      <c r="H756">
        <v>0</v>
      </c>
      <c r="I756" s="65">
        <v>0</v>
      </c>
      <c r="J756" t="s">
        <v>3413</v>
      </c>
      <c r="K756" s="35" t="s">
        <v>3414</v>
      </c>
      <c r="L756" s="35" t="s">
        <v>6911</v>
      </c>
      <c r="M756" s="39" t="str">
        <f>HYPERLINK("http://dx.doi.org/10.1111/jnc.13290","10.1111/jnc.13290")</f>
        <v>10.1111/jnc.13290</v>
      </c>
      <c r="N756" s="40" t="s">
        <v>3415</v>
      </c>
      <c r="O756" s="40" t="s">
        <v>690</v>
      </c>
      <c r="P756" s="40" t="s">
        <v>3416</v>
      </c>
      <c r="Q756" t="s">
        <v>316</v>
      </c>
    </row>
    <row r="757" spans="1:17" x14ac:dyDescent="0.25">
      <c r="A757" s="2" t="str">
        <f>HYPERLINK("https://www.ncbi.nlm.nih.gov/pubmed/26182973","26182973")</f>
        <v>26182973</v>
      </c>
      <c r="B757">
        <f t="shared" si="49"/>
        <v>4</v>
      </c>
      <c r="C757">
        <f t="shared" si="49"/>
        <v>0</v>
      </c>
      <c r="D757">
        <f t="shared" si="49"/>
        <v>0</v>
      </c>
      <c r="E757">
        <f t="shared" si="47"/>
        <v>4</v>
      </c>
      <c r="F757">
        <v>2015</v>
      </c>
      <c r="G757" t="s">
        <v>3432</v>
      </c>
      <c r="H757">
        <v>0</v>
      </c>
      <c r="I757" s="64" t="str">
        <f>HYPERLINK("https://www.ncbi.nlm.nih.gov/research/pubtator/?view=docsum&amp;query=PMC4504346","1")</f>
        <v>1</v>
      </c>
      <c r="J757" t="s">
        <v>3434</v>
      </c>
      <c r="K757" s="35" t="s">
        <v>870</v>
      </c>
      <c r="L757" s="35" t="s">
        <v>3433</v>
      </c>
      <c r="M757" s="39" t="str">
        <f>HYPERLINK("http://dx.doi.org/10.1186/s13071-015-0992-1","10.1186/s13071-015-0992-1")</f>
        <v>10.1186/s13071-015-0992-1</v>
      </c>
      <c r="N757" s="40" t="s">
        <v>781</v>
      </c>
      <c r="O757" s="40" t="s">
        <v>383</v>
      </c>
      <c r="P757" s="40" t="s">
        <v>3435</v>
      </c>
      <c r="Q757" t="s">
        <v>316</v>
      </c>
    </row>
    <row r="758" spans="1:17" x14ac:dyDescent="0.25">
      <c r="A758" s="2" t="str">
        <f>HYPERLINK("https://www.ncbi.nlm.nih.gov/pubmed/26097143","26097143")</f>
        <v>26097143</v>
      </c>
      <c r="B758">
        <f t="shared" si="49"/>
        <v>4</v>
      </c>
      <c r="C758">
        <f t="shared" si="49"/>
        <v>0</v>
      </c>
      <c r="D758">
        <f t="shared" si="49"/>
        <v>0</v>
      </c>
      <c r="E758">
        <f t="shared" si="47"/>
        <v>4</v>
      </c>
      <c r="F758">
        <v>2016</v>
      </c>
      <c r="G758" t="s">
        <v>3462</v>
      </c>
      <c r="H758">
        <v>0</v>
      </c>
      <c r="I758" s="65">
        <v>0</v>
      </c>
      <c r="J758" t="s">
        <v>3464</v>
      </c>
      <c r="K758" s="35" t="s">
        <v>968</v>
      </c>
      <c r="L758" s="35" t="s">
        <v>3463</v>
      </c>
      <c r="M758" s="39" t="str">
        <f>HYPERLINK("http://dx.doi.org/10.1002/ps.4065","10.1002/ps.4065")</f>
        <v>10.1002/ps.4065</v>
      </c>
      <c r="N758" s="40" t="s">
        <v>1970</v>
      </c>
      <c r="O758" s="40" t="s">
        <v>746</v>
      </c>
      <c r="P758" s="40" t="s">
        <v>3465</v>
      </c>
      <c r="Q758" t="s">
        <v>316</v>
      </c>
    </row>
    <row r="759" spans="1:17" x14ac:dyDescent="0.25">
      <c r="A759" s="2" t="str">
        <f>HYPERLINK("https://www.ncbi.nlm.nih.gov/pubmed/26071812","26071812")</f>
        <v>26071812</v>
      </c>
      <c r="B759">
        <f t="shared" si="49"/>
        <v>4</v>
      </c>
      <c r="C759">
        <f t="shared" si="49"/>
        <v>0</v>
      </c>
      <c r="D759">
        <f t="shared" si="49"/>
        <v>0</v>
      </c>
      <c r="E759">
        <f t="shared" si="47"/>
        <v>4</v>
      </c>
      <c r="F759">
        <v>2015</v>
      </c>
      <c r="G759" t="s">
        <v>3466</v>
      </c>
      <c r="H759">
        <v>0</v>
      </c>
      <c r="I759" s="65">
        <v>0</v>
      </c>
      <c r="J759" t="s">
        <v>3467</v>
      </c>
      <c r="K759" s="35" t="s">
        <v>831</v>
      </c>
      <c r="L759" s="35" t="s">
        <v>6919</v>
      </c>
      <c r="M759" s="39" t="str">
        <f>HYPERLINK("http://dx.doi.org/10.1016/j.pestbp.2014.12.015","10.1016/j.pestbp.2014.12.015")</f>
        <v>10.1016/j.pestbp.2014.12.015</v>
      </c>
      <c r="N759" s="40" t="s">
        <v>3468</v>
      </c>
      <c r="O759" s="40" t="s">
        <v>383</v>
      </c>
      <c r="P759" s="40" t="s">
        <v>3469</v>
      </c>
      <c r="Q759" t="s">
        <v>316</v>
      </c>
    </row>
    <row r="760" spans="1:17" x14ac:dyDescent="0.25">
      <c r="A760" s="2" t="str">
        <f>HYPERLINK("https://www.ncbi.nlm.nih.gov/pubmed/25903007","25903007")</f>
        <v>25903007</v>
      </c>
      <c r="B760">
        <f t="shared" si="49"/>
        <v>4</v>
      </c>
      <c r="C760">
        <f t="shared" si="49"/>
        <v>0</v>
      </c>
      <c r="D760">
        <f t="shared" si="49"/>
        <v>0</v>
      </c>
      <c r="E760">
        <f t="shared" si="47"/>
        <v>4</v>
      </c>
      <c r="F760">
        <v>2015</v>
      </c>
      <c r="G760" t="s">
        <v>3518</v>
      </c>
      <c r="H760">
        <v>0</v>
      </c>
      <c r="I760" s="65">
        <v>0</v>
      </c>
      <c r="J760" t="s">
        <v>3519</v>
      </c>
      <c r="K760" s="35" t="s">
        <v>1210</v>
      </c>
      <c r="L760" s="35" t="s">
        <v>6926</v>
      </c>
      <c r="M760" s="39" t="str">
        <f>HYPERLINK("http://dx.doi.org/10.1007/s00436-015-4467-2","10.1007/s00436-015-4467-2")</f>
        <v>10.1007/s00436-015-4467-2</v>
      </c>
      <c r="N760" s="40" t="s">
        <v>910</v>
      </c>
      <c r="O760" s="40" t="s">
        <v>748</v>
      </c>
      <c r="P760" s="40" t="s">
        <v>3520</v>
      </c>
      <c r="Q760" t="s">
        <v>316</v>
      </c>
    </row>
    <row r="761" spans="1:17" x14ac:dyDescent="0.25">
      <c r="A761" s="2" t="str">
        <f>HYPERLINK("https://www.ncbi.nlm.nih.gov/pubmed/25772694","25772694")</f>
        <v>25772694</v>
      </c>
      <c r="B761">
        <f t="shared" si="49"/>
        <v>4</v>
      </c>
      <c r="C761">
        <f t="shared" si="49"/>
        <v>0</v>
      </c>
      <c r="D761">
        <f t="shared" si="49"/>
        <v>0</v>
      </c>
      <c r="E761">
        <f t="shared" si="47"/>
        <v>4</v>
      </c>
      <c r="F761">
        <v>2016</v>
      </c>
      <c r="G761" t="s">
        <v>3556</v>
      </c>
      <c r="H761">
        <v>0</v>
      </c>
      <c r="I761" s="65">
        <v>0</v>
      </c>
      <c r="J761" t="s">
        <v>3557</v>
      </c>
      <c r="K761" s="35" t="s">
        <v>3558</v>
      </c>
      <c r="L761" s="35" t="s">
        <v>6932</v>
      </c>
      <c r="M761" s="39" t="str">
        <f>HYPERLINK("http://dx.doi.org/10.1002/jat.3136","10.1002/jat.3136")</f>
        <v>10.1002/jat.3136</v>
      </c>
      <c r="N761" s="40" t="s">
        <v>639</v>
      </c>
      <c r="O761" s="40" t="s">
        <v>638</v>
      </c>
      <c r="P761" s="40" t="s">
        <v>3559</v>
      </c>
      <c r="Q761" t="s">
        <v>316</v>
      </c>
    </row>
    <row r="762" spans="1:17" x14ac:dyDescent="0.25">
      <c r="A762" s="2" t="str">
        <f>HYPERLINK("https://www.ncbi.nlm.nih.gov/pubmed/25739921","25739921")</f>
        <v>25739921</v>
      </c>
      <c r="B762">
        <f t="shared" si="49"/>
        <v>4</v>
      </c>
      <c r="C762">
        <f t="shared" si="49"/>
        <v>0</v>
      </c>
      <c r="D762">
        <f t="shared" si="49"/>
        <v>0</v>
      </c>
      <c r="E762">
        <f t="shared" si="47"/>
        <v>4</v>
      </c>
      <c r="F762">
        <v>2015</v>
      </c>
      <c r="G762" t="s">
        <v>3568</v>
      </c>
      <c r="H762">
        <v>0</v>
      </c>
      <c r="I762" s="64" t="str">
        <f>HYPERLINK("https://www.ncbi.nlm.nih.gov/research/pubtator/?view=docsum&amp;query=PMC4430586","1")</f>
        <v>1</v>
      </c>
      <c r="J762" t="s">
        <v>3570</v>
      </c>
      <c r="K762" s="35" t="s">
        <v>1210</v>
      </c>
      <c r="L762" s="35" t="s">
        <v>3569</v>
      </c>
      <c r="M762" s="39" t="str">
        <f>HYPERLINK("http://dx.doi.org/10.1007/s00436-015-4397-z","10.1007/s00436-015-4397-z")</f>
        <v>10.1007/s00436-015-4397-z</v>
      </c>
      <c r="N762" s="40" t="s">
        <v>910</v>
      </c>
      <c r="O762" s="40" t="s">
        <v>741</v>
      </c>
      <c r="P762" s="40" t="s">
        <v>3571</v>
      </c>
      <c r="Q762" t="s">
        <v>316</v>
      </c>
    </row>
    <row r="763" spans="1:17" x14ac:dyDescent="0.25">
      <c r="A763" s="2" t="str">
        <f>HYPERLINK("https://www.ncbi.nlm.nih.gov/pubmed/25693389","25693389")</f>
        <v>25693389</v>
      </c>
      <c r="B763">
        <f t="shared" si="49"/>
        <v>4</v>
      </c>
      <c r="C763">
        <f t="shared" si="49"/>
        <v>0</v>
      </c>
      <c r="D763">
        <f t="shared" si="49"/>
        <v>0</v>
      </c>
      <c r="E763">
        <f t="shared" si="47"/>
        <v>4</v>
      </c>
      <c r="F763">
        <v>2014</v>
      </c>
      <c r="G763" t="s">
        <v>3593</v>
      </c>
      <c r="H763">
        <v>0</v>
      </c>
      <c r="I763" s="65">
        <v>0</v>
      </c>
      <c r="J763" t="s">
        <v>3595</v>
      </c>
      <c r="K763" s="35" t="s">
        <v>3596</v>
      </c>
      <c r="L763" s="35" t="s">
        <v>3594</v>
      </c>
      <c r="M763" s="39" t="str">
        <f>HYPERLINK("http://dx.doi.org/","")</f>
        <v/>
      </c>
      <c r="N763" s="40" t="s">
        <v>2274</v>
      </c>
      <c r="O763" s="40" t="s">
        <v>802</v>
      </c>
      <c r="P763" s="40" t="s">
        <v>3597</v>
      </c>
      <c r="Q763" t="s">
        <v>316</v>
      </c>
    </row>
    <row r="764" spans="1:17" x14ac:dyDescent="0.25">
      <c r="A764" s="2" t="str">
        <f>HYPERLINK("https://www.ncbi.nlm.nih.gov/pubmed/25481984","25481984")</f>
        <v>25481984</v>
      </c>
      <c r="B764">
        <f t="shared" ref="B764:D783" si="50">IF(ISBLANK(B$3),0,(LEN($L764) - LEN(SUBSTITUTE(LOWER($L764),LOWER(B$3),"")))/LEN(B$3))</f>
        <v>4</v>
      </c>
      <c r="C764">
        <f t="shared" si="50"/>
        <v>8</v>
      </c>
      <c r="D764">
        <f t="shared" si="50"/>
        <v>0</v>
      </c>
      <c r="E764">
        <f t="shared" si="47"/>
        <v>12</v>
      </c>
      <c r="F764">
        <v>2015</v>
      </c>
      <c r="G764" t="s">
        <v>3694</v>
      </c>
      <c r="H764">
        <v>0</v>
      </c>
      <c r="I764" s="65">
        <v>0</v>
      </c>
      <c r="J764" t="s">
        <v>3695</v>
      </c>
      <c r="K764" s="35" t="s">
        <v>767</v>
      </c>
      <c r="L764" s="35" t="s">
        <v>6955</v>
      </c>
      <c r="M764" s="39" t="str">
        <f>HYPERLINK("http://dx.doi.org/10.1016/j.taap.2014.11.011","10.1016/j.taap.2014.11.011")</f>
        <v>10.1016/j.taap.2014.11.011</v>
      </c>
      <c r="N764" s="40" t="s">
        <v>3692</v>
      </c>
      <c r="O764" s="40" t="s">
        <v>744</v>
      </c>
      <c r="P764" s="40" t="s">
        <v>3696</v>
      </c>
      <c r="Q764" t="s">
        <v>316</v>
      </c>
    </row>
    <row r="765" spans="1:17" x14ac:dyDescent="0.25">
      <c r="A765" s="2" t="str">
        <f>HYPERLINK("https://www.ncbi.nlm.nih.gov/pubmed/25193377","25193377")</f>
        <v>25193377</v>
      </c>
      <c r="B765">
        <f t="shared" si="50"/>
        <v>4</v>
      </c>
      <c r="C765">
        <f t="shared" si="50"/>
        <v>0</v>
      </c>
      <c r="D765">
        <f t="shared" si="50"/>
        <v>0</v>
      </c>
      <c r="E765">
        <f t="shared" si="47"/>
        <v>4</v>
      </c>
      <c r="F765">
        <v>2014</v>
      </c>
      <c r="G765" t="s">
        <v>3758</v>
      </c>
      <c r="H765">
        <v>0</v>
      </c>
      <c r="I765" s="65">
        <v>0</v>
      </c>
      <c r="J765" t="s">
        <v>3759</v>
      </c>
      <c r="K765" s="35" t="s">
        <v>2206</v>
      </c>
      <c r="L765" s="35" t="s">
        <v>6962</v>
      </c>
      <c r="M765" s="39" t="str">
        <f>HYPERLINK("http://dx.doi.org/10.1016/j.ibmb.2014.08.008","10.1016/j.ibmb.2014.08.008")</f>
        <v>10.1016/j.ibmb.2014.08.008</v>
      </c>
      <c r="N765" s="40" t="s">
        <v>2010</v>
      </c>
      <c r="O765" s="40" t="s">
        <v>383</v>
      </c>
      <c r="P765" s="40" t="s">
        <v>3760</v>
      </c>
      <c r="Q765" t="s">
        <v>316</v>
      </c>
    </row>
    <row r="766" spans="1:17" x14ac:dyDescent="0.25">
      <c r="A766" s="2" t="str">
        <f>HYPERLINK("https://www.ncbi.nlm.nih.gov/pubmed/25035052","25035052")</f>
        <v>25035052</v>
      </c>
      <c r="B766">
        <f t="shared" si="50"/>
        <v>4</v>
      </c>
      <c r="C766">
        <f t="shared" si="50"/>
        <v>0</v>
      </c>
      <c r="D766">
        <f t="shared" si="50"/>
        <v>0</v>
      </c>
      <c r="E766">
        <f t="shared" si="47"/>
        <v>4</v>
      </c>
      <c r="F766">
        <v>2015</v>
      </c>
      <c r="G766" t="s">
        <v>3818</v>
      </c>
      <c r="H766">
        <v>1</v>
      </c>
      <c r="I766" s="64" t="str">
        <f>HYPERLINK("https://www.ncbi.nlm.nih.gov/research/pubtator/?view=docsum&amp;query=PMC4284381","1")</f>
        <v>1</v>
      </c>
      <c r="J766" t="s">
        <v>3819</v>
      </c>
      <c r="K766" s="35" t="s">
        <v>810</v>
      </c>
      <c r="L766" s="35" t="s">
        <v>6969</v>
      </c>
      <c r="M766" s="39" t="str">
        <f>HYPERLINK("http://dx.doi.org/10.1007/s11356-014-3277-x","10.1007/s11356-014-3277-x")</f>
        <v>10.1007/s11356-014-3277-x</v>
      </c>
      <c r="N766" s="40" t="s">
        <v>1092</v>
      </c>
      <c r="O766" s="40" t="s">
        <v>638</v>
      </c>
      <c r="P766" s="40" t="s">
        <v>3820</v>
      </c>
      <c r="Q766" t="s">
        <v>316</v>
      </c>
    </row>
    <row r="767" spans="1:17" x14ac:dyDescent="0.25">
      <c r="A767" s="2" t="str">
        <f>HYPERLINK("https://www.ncbi.nlm.nih.gov/pubmed/24785712","24785712")</f>
        <v>24785712</v>
      </c>
      <c r="B767">
        <f t="shared" si="50"/>
        <v>4</v>
      </c>
      <c r="C767">
        <f t="shared" si="50"/>
        <v>3</v>
      </c>
      <c r="D767">
        <f t="shared" si="50"/>
        <v>0</v>
      </c>
      <c r="E767">
        <f t="shared" si="47"/>
        <v>7</v>
      </c>
      <c r="F767">
        <v>2014</v>
      </c>
      <c r="G767" t="s">
        <v>3850</v>
      </c>
      <c r="H767">
        <v>0</v>
      </c>
      <c r="I767" s="65">
        <v>0</v>
      </c>
      <c r="J767" t="s">
        <v>3852</v>
      </c>
      <c r="K767" s="35" t="s">
        <v>714</v>
      </c>
      <c r="L767" s="35" t="s">
        <v>3851</v>
      </c>
      <c r="M767" s="39" t="str">
        <f>HYPERLINK("http://dx.doi.org/10.1016/j.ecoenv.2014.04.010","10.1016/j.ecoenv.2014.04.010")</f>
        <v>10.1016/j.ecoenv.2014.04.010</v>
      </c>
      <c r="N767" s="40" t="s">
        <v>3018</v>
      </c>
      <c r="O767" s="40" t="s">
        <v>383</v>
      </c>
      <c r="P767" s="40" t="s">
        <v>3853</v>
      </c>
      <c r="Q767" t="s">
        <v>316</v>
      </c>
    </row>
    <row r="768" spans="1:17" x14ac:dyDescent="0.25">
      <c r="A768" s="2" t="str">
        <f>HYPERLINK("https://www.ncbi.nlm.nih.gov/pubmed/24772555","24772555")</f>
        <v>24772555</v>
      </c>
      <c r="B768">
        <f t="shared" si="50"/>
        <v>4</v>
      </c>
      <c r="C768">
        <f t="shared" si="50"/>
        <v>0</v>
      </c>
      <c r="D768">
        <f t="shared" si="50"/>
        <v>0</v>
      </c>
      <c r="E768">
        <f t="shared" si="47"/>
        <v>4</v>
      </c>
      <c r="F768">
        <v>2014</v>
      </c>
      <c r="G768" t="s">
        <v>3858</v>
      </c>
      <c r="H768">
        <v>0</v>
      </c>
      <c r="I768" s="65">
        <v>0</v>
      </c>
      <c r="J768" t="s">
        <v>3860</v>
      </c>
      <c r="K768" s="35" t="s">
        <v>909</v>
      </c>
      <c r="L768" s="35" t="s">
        <v>3859</v>
      </c>
      <c r="M768" s="39" t="str">
        <f>HYPERLINK("http://dx.doi.org/10.1603/ec13417","10.1603/ec13417")</f>
        <v>10.1603/ec13417</v>
      </c>
      <c r="N768" s="40" t="s">
        <v>1990</v>
      </c>
      <c r="O768" s="40" t="s">
        <v>744</v>
      </c>
      <c r="P768" s="40" t="s">
        <v>3861</v>
      </c>
      <c r="Q768" t="s">
        <v>316</v>
      </c>
    </row>
    <row r="769" spans="1:17" x14ac:dyDescent="0.25">
      <c r="A769" s="2" t="str">
        <f>HYPERLINK("https://www.ncbi.nlm.nih.gov/pubmed/24703079","24703079")</f>
        <v>24703079</v>
      </c>
      <c r="B769">
        <f t="shared" si="50"/>
        <v>4</v>
      </c>
      <c r="C769">
        <f t="shared" si="50"/>
        <v>0</v>
      </c>
      <c r="D769">
        <f t="shared" si="50"/>
        <v>0</v>
      </c>
      <c r="E769">
        <f t="shared" si="47"/>
        <v>4</v>
      </c>
      <c r="F769">
        <v>2014</v>
      </c>
      <c r="G769" t="s">
        <v>3880</v>
      </c>
      <c r="H769">
        <v>0</v>
      </c>
      <c r="I769" s="65">
        <v>0</v>
      </c>
      <c r="J769" t="s">
        <v>3881</v>
      </c>
      <c r="K769" s="35" t="s">
        <v>1052</v>
      </c>
      <c r="L769" s="35" t="s">
        <v>6979</v>
      </c>
      <c r="M769" s="39" t="str">
        <f>HYPERLINK("http://dx.doi.org/10.1016/j.vetpar.2014.02.041","10.1016/j.vetpar.2014.02.041")</f>
        <v>10.1016/j.vetpar.2014.02.041</v>
      </c>
      <c r="N769" s="40" t="s">
        <v>2382</v>
      </c>
      <c r="O769" s="40" t="s">
        <v>3531</v>
      </c>
      <c r="P769" s="40" t="s">
        <v>3882</v>
      </c>
      <c r="Q769" t="s">
        <v>316</v>
      </c>
    </row>
    <row r="770" spans="1:17" x14ac:dyDescent="0.25">
      <c r="A770" s="2" t="str">
        <f>HYPERLINK("https://www.ncbi.nlm.nih.gov/pubmed/24703078","24703078")</f>
        <v>24703078</v>
      </c>
      <c r="B770">
        <f t="shared" si="50"/>
        <v>4</v>
      </c>
      <c r="C770">
        <f t="shared" si="50"/>
        <v>1</v>
      </c>
      <c r="D770">
        <f t="shared" si="50"/>
        <v>0</v>
      </c>
      <c r="E770">
        <f t="shared" si="47"/>
        <v>5</v>
      </c>
      <c r="F770">
        <v>2014</v>
      </c>
      <c r="G770" t="s">
        <v>3883</v>
      </c>
      <c r="H770">
        <v>0</v>
      </c>
      <c r="I770" s="65">
        <v>0</v>
      </c>
      <c r="J770" t="s">
        <v>3884</v>
      </c>
      <c r="K770" s="35" t="s">
        <v>1052</v>
      </c>
      <c r="L770" s="35" t="s">
        <v>6980</v>
      </c>
      <c r="M770" s="39" t="str">
        <f>HYPERLINK("http://dx.doi.org/10.1016/j.vetpar.2014.02.040","10.1016/j.vetpar.2014.02.040")</f>
        <v>10.1016/j.vetpar.2014.02.040</v>
      </c>
      <c r="N770" s="40" t="s">
        <v>2382</v>
      </c>
      <c r="O770" s="40" t="s">
        <v>3531</v>
      </c>
      <c r="P770" s="40" t="s">
        <v>3885</v>
      </c>
      <c r="Q770" t="s">
        <v>316</v>
      </c>
    </row>
    <row r="771" spans="1:17" x14ac:dyDescent="0.25">
      <c r="A771" s="2" t="str">
        <f>HYPERLINK("https://www.ncbi.nlm.nih.gov/pubmed/24703076","24703076")</f>
        <v>24703076</v>
      </c>
      <c r="B771">
        <f t="shared" si="50"/>
        <v>4</v>
      </c>
      <c r="C771">
        <f t="shared" si="50"/>
        <v>4</v>
      </c>
      <c r="D771">
        <f t="shared" si="50"/>
        <v>0</v>
      </c>
      <c r="E771">
        <f t="shared" si="47"/>
        <v>8</v>
      </c>
      <c r="F771">
        <v>2014</v>
      </c>
      <c r="G771" t="s">
        <v>3889</v>
      </c>
      <c r="H771">
        <v>0</v>
      </c>
      <c r="I771" s="65">
        <v>0</v>
      </c>
      <c r="J771" t="s">
        <v>3890</v>
      </c>
      <c r="K771" s="35" t="s">
        <v>1052</v>
      </c>
      <c r="L771" s="35" t="s">
        <v>6982</v>
      </c>
      <c r="M771" s="39" t="str">
        <f>HYPERLINK("http://dx.doi.org/10.1016/j.vetpar.2014.02.038","10.1016/j.vetpar.2014.02.038")</f>
        <v>10.1016/j.vetpar.2014.02.038</v>
      </c>
      <c r="N771" s="40" t="s">
        <v>2382</v>
      </c>
      <c r="O771" s="40" t="s">
        <v>3531</v>
      </c>
      <c r="P771" s="40" t="s">
        <v>3891</v>
      </c>
      <c r="Q771" t="s">
        <v>316</v>
      </c>
    </row>
    <row r="772" spans="1:17" x14ac:dyDescent="0.25">
      <c r="A772" s="2" t="str">
        <f>HYPERLINK("https://www.ncbi.nlm.nih.gov/pubmed/24703075","24703075")</f>
        <v>24703075</v>
      </c>
      <c r="B772">
        <f t="shared" si="50"/>
        <v>4</v>
      </c>
      <c r="C772">
        <f t="shared" si="50"/>
        <v>0</v>
      </c>
      <c r="D772">
        <f t="shared" si="50"/>
        <v>0</v>
      </c>
      <c r="E772">
        <f t="shared" ref="E772:E835" si="51">SUM(B772:D772)</f>
        <v>4</v>
      </c>
      <c r="F772">
        <v>2014</v>
      </c>
      <c r="G772" t="s">
        <v>3892</v>
      </c>
      <c r="H772">
        <v>0</v>
      </c>
      <c r="I772" s="65">
        <v>0</v>
      </c>
      <c r="J772" t="s">
        <v>3893</v>
      </c>
      <c r="K772" s="35" t="s">
        <v>1052</v>
      </c>
      <c r="L772" s="35" t="s">
        <v>6983</v>
      </c>
      <c r="M772" s="39" t="str">
        <f>HYPERLINK("http://dx.doi.org/10.1016/j.vetpar.2014.02.037","10.1016/j.vetpar.2014.02.037")</f>
        <v>10.1016/j.vetpar.2014.02.037</v>
      </c>
      <c r="N772" s="40" t="s">
        <v>2382</v>
      </c>
      <c r="O772" s="40" t="s">
        <v>3531</v>
      </c>
      <c r="P772" s="40" t="s">
        <v>3894</v>
      </c>
      <c r="Q772" t="s">
        <v>316</v>
      </c>
    </row>
    <row r="773" spans="1:17" x14ac:dyDescent="0.25">
      <c r="A773" s="2" t="str">
        <f>HYPERLINK("https://www.ncbi.nlm.nih.gov/pubmed/24703074","24703074")</f>
        <v>24703074</v>
      </c>
      <c r="B773">
        <f t="shared" si="50"/>
        <v>4</v>
      </c>
      <c r="C773">
        <f t="shared" si="50"/>
        <v>4</v>
      </c>
      <c r="D773">
        <f t="shared" si="50"/>
        <v>0</v>
      </c>
      <c r="E773">
        <f t="shared" si="51"/>
        <v>8</v>
      </c>
      <c r="F773">
        <v>2014</v>
      </c>
      <c r="G773" t="s">
        <v>3895</v>
      </c>
      <c r="H773">
        <v>0</v>
      </c>
      <c r="I773" s="65">
        <v>0</v>
      </c>
      <c r="J773" t="s">
        <v>3896</v>
      </c>
      <c r="K773" s="35" t="s">
        <v>1052</v>
      </c>
      <c r="L773" s="35" t="s">
        <v>6984</v>
      </c>
      <c r="M773" s="39" t="str">
        <f>HYPERLINK("http://dx.doi.org/10.1016/j.vetpar.2014.02.036","10.1016/j.vetpar.2014.02.036")</f>
        <v>10.1016/j.vetpar.2014.02.036</v>
      </c>
      <c r="N773" s="40" t="s">
        <v>2382</v>
      </c>
      <c r="O773" s="40" t="s">
        <v>3531</v>
      </c>
      <c r="P773" s="40" t="s">
        <v>3897</v>
      </c>
      <c r="Q773" t="s">
        <v>316</v>
      </c>
    </row>
    <row r="774" spans="1:17" x14ac:dyDescent="0.25">
      <c r="A774" s="2" t="str">
        <f>HYPERLINK("https://www.ncbi.nlm.nih.gov/pubmed/24703073","24703073")</f>
        <v>24703073</v>
      </c>
      <c r="B774">
        <f t="shared" si="50"/>
        <v>4</v>
      </c>
      <c r="C774">
        <f t="shared" si="50"/>
        <v>0</v>
      </c>
      <c r="D774">
        <f t="shared" si="50"/>
        <v>0</v>
      </c>
      <c r="E774">
        <f t="shared" si="51"/>
        <v>4</v>
      </c>
      <c r="F774">
        <v>2014</v>
      </c>
      <c r="G774" t="s">
        <v>3898</v>
      </c>
      <c r="H774">
        <v>0</v>
      </c>
      <c r="I774" s="65">
        <v>0</v>
      </c>
      <c r="J774" t="s">
        <v>3900</v>
      </c>
      <c r="K774" s="35" t="s">
        <v>1052</v>
      </c>
      <c r="L774" s="35" t="s">
        <v>3899</v>
      </c>
      <c r="M774" s="39" t="str">
        <f>HYPERLINK("http://dx.doi.org/10.1016/j.vetpar.2014.02.035","10.1016/j.vetpar.2014.02.035")</f>
        <v>10.1016/j.vetpar.2014.02.035</v>
      </c>
      <c r="N774" s="40" t="s">
        <v>2382</v>
      </c>
      <c r="O774" s="40" t="s">
        <v>3531</v>
      </c>
      <c r="P774" s="40" t="s">
        <v>3901</v>
      </c>
      <c r="Q774" t="s">
        <v>316</v>
      </c>
    </row>
    <row r="775" spans="1:17" x14ac:dyDescent="0.25">
      <c r="A775" s="2" t="str">
        <f>HYPERLINK("https://www.ncbi.nlm.nih.gov/pubmed/24703072","24703072")</f>
        <v>24703072</v>
      </c>
      <c r="B775">
        <f t="shared" si="50"/>
        <v>4</v>
      </c>
      <c r="C775">
        <f t="shared" si="50"/>
        <v>4</v>
      </c>
      <c r="D775">
        <f t="shared" si="50"/>
        <v>0</v>
      </c>
      <c r="E775">
        <f t="shared" si="51"/>
        <v>8</v>
      </c>
      <c r="F775">
        <v>2014</v>
      </c>
      <c r="G775" t="s">
        <v>3902</v>
      </c>
      <c r="H775">
        <v>0</v>
      </c>
      <c r="I775" s="65">
        <v>0</v>
      </c>
      <c r="J775" t="s">
        <v>3903</v>
      </c>
      <c r="K775" s="35" t="s">
        <v>1052</v>
      </c>
      <c r="L775" s="35" t="s">
        <v>6985</v>
      </c>
      <c r="M775" s="39" t="str">
        <f>HYPERLINK("http://dx.doi.org/10.1016/j.vetpar.2014.02.034","10.1016/j.vetpar.2014.02.034")</f>
        <v>10.1016/j.vetpar.2014.02.034</v>
      </c>
      <c r="N775" s="40" t="s">
        <v>2382</v>
      </c>
      <c r="O775" s="40" t="s">
        <v>3531</v>
      </c>
      <c r="P775" s="40" t="s">
        <v>3904</v>
      </c>
      <c r="Q775" t="s">
        <v>316</v>
      </c>
    </row>
    <row r="776" spans="1:17" x14ac:dyDescent="0.25">
      <c r="A776" s="2" t="str">
        <f>HYPERLINK("https://www.ncbi.nlm.nih.gov/pubmed/24666660","24666660")</f>
        <v>24666660</v>
      </c>
      <c r="B776">
        <f t="shared" si="50"/>
        <v>4</v>
      </c>
      <c r="C776">
        <f t="shared" si="50"/>
        <v>0</v>
      </c>
      <c r="D776">
        <f t="shared" si="50"/>
        <v>0</v>
      </c>
      <c r="E776">
        <f t="shared" si="51"/>
        <v>4</v>
      </c>
      <c r="F776">
        <v>2014</v>
      </c>
      <c r="G776" t="s">
        <v>3920</v>
      </c>
      <c r="H776">
        <v>0</v>
      </c>
      <c r="I776" s="65">
        <v>0</v>
      </c>
      <c r="J776" t="s">
        <v>3921</v>
      </c>
      <c r="K776" s="35" t="s">
        <v>2743</v>
      </c>
      <c r="L776" s="35" t="s">
        <v>6990</v>
      </c>
      <c r="M776" s="39" t="str">
        <f>HYPERLINK("http://dx.doi.org/10.1111/vde.12117","10.1111/vde.12117")</f>
        <v>10.1111/vde.12117</v>
      </c>
      <c r="N776" s="40" t="s">
        <v>1369</v>
      </c>
      <c r="O776" s="40" t="s">
        <v>744</v>
      </c>
      <c r="P776" s="40" t="s">
        <v>3922</v>
      </c>
      <c r="Q776" t="s">
        <v>316</v>
      </c>
    </row>
    <row r="777" spans="1:17" x14ac:dyDescent="0.25">
      <c r="A777" s="2" t="str">
        <f>HYPERLINK("https://www.ncbi.nlm.nih.gov/pubmed/24648377","24648377")</f>
        <v>24648377</v>
      </c>
      <c r="B777">
        <f t="shared" si="50"/>
        <v>4</v>
      </c>
      <c r="C777">
        <f t="shared" si="50"/>
        <v>0</v>
      </c>
      <c r="D777">
        <f t="shared" si="50"/>
        <v>0</v>
      </c>
      <c r="E777">
        <f t="shared" si="51"/>
        <v>4</v>
      </c>
      <c r="F777">
        <v>2015</v>
      </c>
      <c r="G777" t="s">
        <v>3946</v>
      </c>
      <c r="H777">
        <v>0</v>
      </c>
      <c r="I777" s="65">
        <v>0</v>
      </c>
      <c r="J777" t="s">
        <v>3948</v>
      </c>
      <c r="K777" s="35" t="s">
        <v>968</v>
      </c>
      <c r="L777" s="35" t="s">
        <v>3947</v>
      </c>
      <c r="M777" s="39" t="str">
        <f>HYPERLINK("http://dx.doi.org/10.1002/ps.3776","10.1002/ps.3776")</f>
        <v>10.1002/ps.3776</v>
      </c>
      <c r="N777" s="40" t="s">
        <v>3255</v>
      </c>
      <c r="O777" s="40" t="s">
        <v>638</v>
      </c>
      <c r="P777" s="40" t="s">
        <v>3949</v>
      </c>
      <c r="Q777" t="s">
        <v>316</v>
      </c>
    </row>
    <row r="778" spans="1:17" x14ac:dyDescent="0.25">
      <c r="A778" s="2" t="str">
        <f>HYPERLINK("https://www.ncbi.nlm.nih.gov/pubmed/24365472","24365472")</f>
        <v>24365472</v>
      </c>
      <c r="B778">
        <f t="shared" si="50"/>
        <v>4</v>
      </c>
      <c r="C778">
        <f t="shared" si="50"/>
        <v>0</v>
      </c>
      <c r="D778">
        <f t="shared" si="50"/>
        <v>0</v>
      </c>
      <c r="E778">
        <f t="shared" si="51"/>
        <v>4</v>
      </c>
      <c r="F778">
        <v>2014</v>
      </c>
      <c r="G778" t="s">
        <v>4017</v>
      </c>
      <c r="H778">
        <v>0</v>
      </c>
      <c r="I778" s="65">
        <v>0</v>
      </c>
      <c r="J778" t="s">
        <v>4018</v>
      </c>
      <c r="K778" s="35" t="s">
        <v>2206</v>
      </c>
      <c r="L778" s="35" t="s">
        <v>6998</v>
      </c>
      <c r="M778" s="39" t="str">
        <f>HYPERLINK("http://dx.doi.org/10.1016/j.ibmb.2013.11.009","10.1016/j.ibmb.2013.11.009")</f>
        <v>10.1016/j.ibmb.2013.11.009</v>
      </c>
      <c r="N778" s="40" t="s">
        <v>765</v>
      </c>
      <c r="O778" s="40" t="s">
        <v>383</v>
      </c>
      <c r="P778" s="40" t="s">
        <v>4019</v>
      </c>
      <c r="Q778" t="s">
        <v>316</v>
      </c>
    </row>
    <row r="779" spans="1:17" x14ac:dyDescent="0.25">
      <c r="A779" s="2" t="str">
        <f>HYPERLINK("https://www.ncbi.nlm.nih.gov/pubmed/24256940","24256940")</f>
        <v>24256940</v>
      </c>
      <c r="B779">
        <f t="shared" si="50"/>
        <v>4</v>
      </c>
      <c r="C779">
        <f t="shared" si="50"/>
        <v>0</v>
      </c>
      <c r="D779">
        <f t="shared" si="50"/>
        <v>0</v>
      </c>
      <c r="E779">
        <f t="shared" si="51"/>
        <v>4</v>
      </c>
      <c r="F779">
        <v>2013</v>
      </c>
      <c r="G779" t="s">
        <v>4054</v>
      </c>
      <c r="H779">
        <v>0</v>
      </c>
      <c r="I779" s="64" t="str">
        <f>HYPERLINK("https://www.ncbi.nlm.nih.gov/research/pubtator/?view=docsum&amp;query=PMC3834659","1")</f>
        <v>1</v>
      </c>
      <c r="J779" t="s">
        <v>4056</v>
      </c>
      <c r="K779" s="35" t="s">
        <v>2925</v>
      </c>
      <c r="L779" s="35" t="s">
        <v>4055</v>
      </c>
      <c r="M779" s="39" t="str">
        <f>HYPERLINK("http://dx.doi.org/10.1051/parasite/2013046","10.1051/parasite/2013046")</f>
        <v>10.1051/parasite/2013046</v>
      </c>
      <c r="N779" s="40" t="s">
        <v>1109</v>
      </c>
      <c r="O779" s="40" t="s">
        <v>383</v>
      </c>
      <c r="P779" s="40" t="s">
        <v>1229</v>
      </c>
      <c r="Q779" t="s">
        <v>316</v>
      </c>
    </row>
    <row r="780" spans="1:17" x14ac:dyDescent="0.25">
      <c r="A780" s="2" t="str">
        <f>HYPERLINK("https://www.ncbi.nlm.nih.gov/pubmed/24008047","24008047")</f>
        <v>24008047</v>
      </c>
      <c r="B780">
        <f t="shared" si="50"/>
        <v>4</v>
      </c>
      <c r="C780">
        <f t="shared" si="50"/>
        <v>0</v>
      </c>
      <c r="D780">
        <f t="shared" si="50"/>
        <v>0</v>
      </c>
      <c r="E780">
        <f t="shared" si="51"/>
        <v>4</v>
      </c>
      <c r="F780">
        <v>2013</v>
      </c>
      <c r="G780" t="s">
        <v>4101</v>
      </c>
      <c r="H780">
        <v>0</v>
      </c>
      <c r="I780" s="65">
        <v>0</v>
      </c>
      <c r="J780" t="s">
        <v>4102</v>
      </c>
      <c r="K780" s="35" t="s">
        <v>1936</v>
      </c>
      <c r="L780" s="35" t="s">
        <v>7008</v>
      </c>
      <c r="M780" s="39" t="str">
        <f>HYPERLINK("http://dx.doi.org/10.1016/j.toxlet.2013.08.015","10.1016/j.toxlet.2013.08.015")</f>
        <v>10.1016/j.toxlet.2013.08.015</v>
      </c>
      <c r="N780" s="40" t="s">
        <v>1793</v>
      </c>
      <c r="O780" s="40" t="s">
        <v>638</v>
      </c>
      <c r="P780" s="40" t="s">
        <v>4103</v>
      </c>
      <c r="Q780" t="s">
        <v>316</v>
      </c>
    </row>
    <row r="781" spans="1:17" x14ac:dyDescent="0.25">
      <c r="A781" s="2" t="str">
        <f>HYPERLINK("https://www.ncbi.nlm.nih.gov/pubmed/23926782","23926782")</f>
        <v>23926782</v>
      </c>
      <c r="B781">
        <f t="shared" si="50"/>
        <v>4</v>
      </c>
      <c r="C781">
        <f t="shared" si="50"/>
        <v>0</v>
      </c>
      <c r="D781">
        <f t="shared" si="50"/>
        <v>0</v>
      </c>
      <c r="E781">
        <f t="shared" si="51"/>
        <v>4</v>
      </c>
      <c r="F781">
        <v>2013</v>
      </c>
      <c r="G781" t="s">
        <v>4116</v>
      </c>
      <c r="H781">
        <v>0</v>
      </c>
      <c r="I781" s="65">
        <v>0</v>
      </c>
      <c r="J781" t="s">
        <v>4118</v>
      </c>
      <c r="K781" s="35" t="s">
        <v>1027</v>
      </c>
      <c r="L781" s="35" t="s">
        <v>4117</v>
      </c>
      <c r="M781" s="39" t="str">
        <f>HYPERLINK("http://dx.doi.org/","")</f>
        <v/>
      </c>
      <c r="N781" s="40" t="s">
        <v>743</v>
      </c>
      <c r="O781" s="40" t="s">
        <v>690</v>
      </c>
      <c r="P781" s="40" t="s">
        <v>4119</v>
      </c>
      <c r="Q781" t="s">
        <v>316</v>
      </c>
    </row>
    <row r="782" spans="1:17" x14ac:dyDescent="0.25">
      <c r="A782" s="2" t="str">
        <f>HYPERLINK("https://www.ncbi.nlm.nih.gov/pubmed/23887887","23887887")</f>
        <v>23887887</v>
      </c>
      <c r="B782">
        <f t="shared" si="50"/>
        <v>4</v>
      </c>
      <c r="C782">
        <f t="shared" si="50"/>
        <v>0</v>
      </c>
      <c r="D782">
        <f t="shared" si="50"/>
        <v>0</v>
      </c>
      <c r="E782">
        <f t="shared" si="51"/>
        <v>4</v>
      </c>
      <c r="F782">
        <v>2013</v>
      </c>
      <c r="G782" t="s">
        <v>4126</v>
      </c>
      <c r="H782">
        <v>0</v>
      </c>
      <c r="I782" s="65">
        <v>0</v>
      </c>
      <c r="J782" t="s">
        <v>4128</v>
      </c>
      <c r="K782" s="35" t="s">
        <v>1013</v>
      </c>
      <c r="L782" s="35" t="s">
        <v>4127</v>
      </c>
      <c r="M782" s="39" t="str">
        <f>HYPERLINK("http://dx.doi.org/10.1007/s10661-013-3327-8","10.1007/s10661-013-3327-8")</f>
        <v>10.1007/s10661-013-3327-8</v>
      </c>
      <c r="N782" s="40" t="s">
        <v>4129</v>
      </c>
      <c r="O782" s="40" t="s">
        <v>915</v>
      </c>
      <c r="P782" s="40" t="s">
        <v>4130</v>
      </c>
      <c r="Q782" t="s">
        <v>316</v>
      </c>
    </row>
    <row r="783" spans="1:17" x14ac:dyDescent="0.25">
      <c r="A783" s="2" t="str">
        <f>HYPERLINK("https://www.ncbi.nlm.nih.gov/pubmed/23666372","23666372")</f>
        <v>23666372</v>
      </c>
      <c r="B783">
        <f t="shared" si="50"/>
        <v>4</v>
      </c>
      <c r="C783">
        <f t="shared" si="50"/>
        <v>0</v>
      </c>
      <c r="D783">
        <f t="shared" si="50"/>
        <v>0</v>
      </c>
      <c r="E783">
        <f t="shared" si="51"/>
        <v>4</v>
      </c>
      <c r="F783">
        <v>2013</v>
      </c>
      <c r="G783" t="s">
        <v>4174</v>
      </c>
      <c r="H783">
        <v>0</v>
      </c>
      <c r="I783" s="65">
        <v>0</v>
      </c>
      <c r="J783" t="s">
        <v>4175</v>
      </c>
      <c r="K783" s="35" t="s">
        <v>3176</v>
      </c>
      <c r="L783" s="35" t="s">
        <v>7018</v>
      </c>
      <c r="M783" s="39" t="str">
        <f>HYPERLINK("http://dx.doi.org/10.1007/s10695-013-9805-7","10.1007/s10695-013-9805-7")</f>
        <v>10.1007/s10695-013-9805-7</v>
      </c>
      <c r="N783" s="40" t="s">
        <v>852</v>
      </c>
      <c r="O783" s="40" t="s">
        <v>741</v>
      </c>
      <c r="P783" s="40" t="s">
        <v>4176</v>
      </c>
      <c r="Q783" t="s">
        <v>316</v>
      </c>
    </row>
    <row r="784" spans="1:17" x14ac:dyDescent="0.25">
      <c r="A784" s="2" t="str">
        <f>HYPERLINK("https://www.ncbi.nlm.nih.gov/pubmed/23456023","23456023")</f>
        <v>23456023</v>
      </c>
      <c r="B784">
        <f t="shared" ref="B784:D803" si="52">IF(ISBLANK(B$3),0,(LEN($L784) - LEN(SUBSTITUTE(LOWER($L784),LOWER(B$3),"")))/LEN(B$3))</f>
        <v>4</v>
      </c>
      <c r="C784">
        <f t="shared" si="52"/>
        <v>0</v>
      </c>
      <c r="D784">
        <f t="shared" si="52"/>
        <v>0</v>
      </c>
      <c r="E784">
        <f t="shared" si="51"/>
        <v>4</v>
      </c>
      <c r="F784">
        <v>2013</v>
      </c>
      <c r="G784" t="s">
        <v>4213</v>
      </c>
      <c r="H784">
        <v>0</v>
      </c>
      <c r="I784" s="65">
        <v>0</v>
      </c>
      <c r="J784" t="s">
        <v>4083</v>
      </c>
      <c r="K784" s="35" t="s">
        <v>1210</v>
      </c>
      <c r="L784" s="35" t="s">
        <v>4214</v>
      </c>
      <c r="M784" s="39" t="str">
        <f>HYPERLINK("http://dx.doi.org/10.1007/s00436-013-3365-8","10.1007/s00436-013-3365-8")</f>
        <v>10.1007/s00436-013-3365-8</v>
      </c>
      <c r="N784" s="40" t="s">
        <v>2026</v>
      </c>
      <c r="O784" s="40" t="s">
        <v>746</v>
      </c>
      <c r="P784" s="40" t="s">
        <v>4215</v>
      </c>
      <c r="Q784" t="s">
        <v>316</v>
      </c>
    </row>
    <row r="785" spans="1:17" x14ac:dyDescent="0.25">
      <c r="A785" s="2" t="str">
        <f>HYPERLINK("https://www.ncbi.nlm.nih.gov/pubmed/23352545","23352545")</f>
        <v>23352545</v>
      </c>
      <c r="B785">
        <f t="shared" si="52"/>
        <v>4</v>
      </c>
      <c r="C785">
        <f t="shared" si="52"/>
        <v>0</v>
      </c>
      <c r="D785">
        <f t="shared" si="52"/>
        <v>0</v>
      </c>
      <c r="E785">
        <f t="shared" si="51"/>
        <v>4</v>
      </c>
      <c r="F785">
        <v>2013</v>
      </c>
      <c r="G785" t="s">
        <v>4249</v>
      </c>
      <c r="H785">
        <v>0</v>
      </c>
      <c r="I785" s="65">
        <v>0</v>
      </c>
      <c r="J785" t="s">
        <v>4250</v>
      </c>
      <c r="K785" s="35" t="s">
        <v>4251</v>
      </c>
      <c r="L785" s="35" t="s">
        <v>7030</v>
      </c>
      <c r="M785" s="39" t="str">
        <f>HYPERLINK("http://dx.doi.org/10.1016/j.micron.2012.12.008","10.1016/j.micron.2012.12.008")</f>
        <v>10.1016/j.micron.2012.12.008</v>
      </c>
      <c r="N785" s="40" t="s">
        <v>1229</v>
      </c>
      <c r="O785" s="40" t="s">
        <v>383</v>
      </c>
      <c r="P785" s="40" t="s">
        <v>4252</v>
      </c>
      <c r="Q785" t="s">
        <v>316</v>
      </c>
    </row>
    <row r="786" spans="1:17" x14ac:dyDescent="0.25">
      <c r="A786" s="2" t="str">
        <f>HYPERLINK("https://www.ncbi.nlm.nih.gov/pubmed/23052775","23052775")</f>
        <v>23052775</v>
      </c>
      <c r="B786">
        <f t="shared" si="52"/>
        <v>4</v>
      </c>
      <c r="C786">
        <f t="shared" si="52"/>
        <v>2</v>
      </c>
      <c r="D786">
        <f t="shared" si="52"/>
        <v>0</v>
      </c>
      <c r="E786">
        <f t="shared" si="51"/>
        <v>6</v>
      </c>
      <c r="F786">
        <v>2013</v>
      </c>
      <c r="G786" t="s">
        <v>4318</v>
      </c>
      <c r="H786">
        <v>0</v>
      </c>
      <c r="I786" s="65">
        <v>0</v>
      </c>
      <c r="J786" t="s">
        <v>4320</v>
      </c>
      <c r="K786" s="35" t="s">
        <v>1210</v>
      </c>
      <c r="L786" s="35" t="s">
        <v>4319</v>
      </c>
      <c r="M786" s="39" t="str">
        <f>HYPERLINK("http://dx.doi.org/10.1007/s00436-012-3144-y","10.1007/s00436-012-3144-y")</f>
        <v>10.1007/s00436-012-3144-y</v>
      </c>
      <c r="N786" s="40" t="s">
        <v>2026</v>
      </c>
      <c r="O786" s="40" t="s">
        <v>638</v>
      </c>
      <c r="P786" s="40" t="s">
        <v>4321</v>
      </c>
      <c r="Q786" t="s">
        <v>316</v>
      </c>
    </row>
    <row r="787" spans="1:17" x14ac:dyDescent="0.25">
      <c r="A787" s="2" t="str">
        <f>HYPERLINK("https://www.ncbi.nlm.nih.gov/pubmed/22893178","22893178")</f>
        <v>22893178</v>
      </c>
      <c r="B787">
        <f t="shared" si="52"/>
        <v>4</v>
      </c>
      <c r="C787">
        <f t="shared" si="52"/>
        <v>0</v>
      </c>
      <c r="D787">
        <f t="shared" si="52"/>
        <v>0</v>
      </c>
      <c r="E787">
        <f t="shared" si="51"/>
        <v>4</v>
      </c>
      <c r="F787">
        <v>2012</v>
      </c>
      <c r="G787" t="s">
        <v>4359</v>
      </c>
      <c r="H787">
        <v>0</v>
      </c>
      <c r="I787" s="65">
        <v>0</v>
      </c>
      <c r="J787" t="s">
        <v>4361</v>
      </c>
      <c r="K787" s="35" t="s">
        <v>3164</v>
      </c>
      <c r="L787" s="35" t="s">
        <v>4360</v>
      </c>
      <c r="M787" s="39" t="str">
        <f>HYPERLINK("http://dx.doi.org/10.1007/s00128-012-0780-y","10.1007/s00128-012-0780-y")</f>
        <v>10.1007/s00128-012-0780-y</v>
      </c>
      <c r="N787" s="40" t="s">
        <v>2709</v>
      </c>
      <c r="O787" s="40" t="s">
        <v>690</v>
      </c>
      <c r="P787" s="40" t="s">
        <v>4362</v>
      </c>
      <c r="Q787" t="s">
        <v>316</v>
      </c>
    </row>
    <row r="788" spans="1:17" x14ac:dyDescent="0.25">
      <c r="A788" s="2" t="str">
        <f>HYPERLINK("https://www.ncbi.nlm.nih.gov/pubmed/22606823","22606823")</f>
        <v>22606823</v>
      </c>
      <c r="B788">
        <f t="shared" si="52"/>
        <v>4</v>
      </c>
      <c r="C788">
        <f t="shared" si="52"/>
        <v>0</v>
      </c>
      <c r="D788">
        <f t="shared" si="52"/>
        <v>0</v>
      </c>
      <c r="E788">
        <f t="shared" si="51"/>
        <v>4</v>
      </c>
      <c r="F788">
        <v>2012</v>
      </c>
      <c r="G788" t="s">
        <v>4391</v>
      </c>
      <c r="H788">
        <v>0</v>
      </c>
      <c r="I788" s="65">
        <v>0</v>
      </c>
      <c r="J788" t="s">
        <v>4393</v>
      </c>
      <c r="K788" s="35" t="s">
        <v>909</v>
      </c>
      <c r="L788" s="35" t="s">
        <v>4392</v>
      </c>
      <c r="M788" s="39" t="str">
        <f>HYPERLINK("http://dx.doi.org/10.1603/ec11155","10.1603/ec11155")</f>
        <v>10.1603/ec11155</v>
      </c>
      <c r="N788" s="40" t="s">
        <v>3018</v>
      </c>
      <c r="O788" s="40" t="s">
        <v>744</v>
      </c>
      <c r="P788" s="40" t="s">
        <v>4394</v>
      </c>
      <c r="Q788" t="s">
        <v>316</v>
      </c>
    </row>
    <row r="789" spans="1:17" x14ac:dyDescent="0.25">
      <c r="A789" s="2" t="str">
        <f>HYPERLINK("https://www.ncbi.nlm.nih.gov/pubmed/22587652","22587652")</f>
        <v>22587652</v>
      </c>
      <c r="B789">
        <f t="shared" si="52"/>
        <v>4</v>
      </c>
      <c r="C789">
        <f t="shared" si="52"/>
        <v>0</v>
      </c>
      <c r="D789">
        <f t="shared" si="52"/>
        <v>0</v>
      </c>
      <c r="E789">
        <f t="shared" si="51"/>
        <v>4</v>
      </c>
      <c r="F789">
        <v>2012</v>
      </c>
      <c r="G789" t="s">
        <v>4395</v>
      </c>
      <c r="H789">
        <v>0</v>
      </c>
      <c r="I789" s="65">
        <v>0</v>
      </c>
      <c r="J789" t="s">
        <v>4397</v>
      </c>
      <c r="K789" s="35" t="s">
        <v>770</v>
      </c>
      <c r="L789" s="35" t="s">
        <v>4396</v>
      </c>
      <c r="M789" s="39" t="str">
        <f>HYPERLINK("http://dx.doi.org/10.1021/jf300546t","10.1021/jf300546t")</f>
        <v>10.1021/jf300546t</v>
      </c>
      <c r="N789" s="40" t="s">
        <v>1655</v>
      </c>
      <c r="O789" s="40" t="s">
        <v>1188</v>
      </c>
      <c r="P789" s="40" t="s">
        <v>4398</v>
      </c>
      <c r="Q789" t="s">
        <v>316</v>
      </c>
    </row>
    <row r="790" spans="1:17" x14ac:dyDescent="0.25">
      <c r="A790" s="2" t="str">
        <f>HYPERLINK("https://www.ncbi.nlm.nih.gov/pubmed/22566479","22566479")</f>
        <v>22566479</v>
      </c>
      <c r="B790">
        <f t="shared" si="52"/>
        <v>4</v>
      </c>
      <c r="C790">
        <f t="shared" si="52"/>
        <v>2</v>
      </c>
      <c r="D790">
        <f t="shared" si="52"/>
        <v>0</v>
      </c>
      <c r="E790">
        <f t="shared" si="51"/>
        <v>6</v>
      </c>
      <c r="F790">
        <v>2012</v>
      </c>
      <c r="G790" t="s">
        <v>4399</v>
      </c>
      <c r="H790">
        <v>0</v>
      </c>
      <c r="I790" s="65">
        <v>0</v>
      </c>
      <c r="J790" t="s">
        <v>2171</v>
      </c>
      <c r="K790" s="35" t="s">
        <v>968</v>
      </c>
      <c r="L790" s="35" t="s">
        <v>4400</v>
      </c>
      <c r="M790" s="39" t="str">
        <f>HYPERLINK("http://dx.doi.org/10.1002/ps.3302","10.1002/ps.3302")</f>
        <v>10.1002/ps.3302</v>
      </c>
      <c r="N790" s="40" t="s">
        <v>1200</v>
      </c>
      <c r="O790" s="40" t="s">
        <v>802</v>
      </c>
      <c r="P790" s="40" t="s">
        <v>4401</v>
      </c>
      <c r="Q790" t="s">
        <v>316</v>
      </c>
    </row>
    <row r="791" spans="1:17" x14ac:dyDescent="0.25">
      <c r="A791" s="2" t="str">
        <f>HYPERLINK("https://www.ncbi.nlm.nih.gov/pubmed/22520338","22520338")</f>
        <v>22520338</v>
      </c>
      <c r="B791">
        <f t="shared" si="52"/>
        <v>4</v>
      </c>
      <c r="C791">
        <f t="shared" si="52"/>
        <v>0</v>
      </c>
      <c r="D791">
        <f t="shared" si="52"/>
        <v>0</v>
      </c>
      <c r="E791">
        <f t="shared" si="51"/>
        <v>4</v>
      </c>
      <c r="F791">
        <v>2012</v>
      </c>
      <c r="G791" t="s">
        <v>4429</v>
      </c>
      <c r="H791">
        <v>0</v>
      </c>
      <c r="I791" s="64" t="str">
        <f>HYPERLINK("https://www.ncbi.nlm.nih.gov/research/pubtator/?view=docsum&amp;query=PMC3433317","1")</f>
        <v>1</v>
      </c>
      <c r="J791" t="s">
        <v>4430</v>
      </c>
      <c r="K791" s="35" t="s">
        <v>870</v>
      </c>
      <c r="L791" s="35" t="s">
        <v>7048</v>
      </c>
      <c r="M791" s="39" t="str">
        <f>HYPERLINK("http://dx.doi.org/10.1186/1756-3305-5-79","10.1186/1756-3305-5-79")</f>
        <v>10.1186/1756-3305-5-79</v>
      </c>
      <c r="N791" s="40" t="s">
        <v>746</v>
      </c>
      <c r="O791" s="40" t="s">
        <v>383</v>
      </c>
      <c r="P791" s="40" t="s">
        <v>1396</v>
      </c>
      <c r="Q791" t="s">
        <v>316</v>
      </c>
    </row>
    <row r="792" spans="1:17" x14ac:dyDescent="0.25">
      <c r="A792" s="2" t="str">
        <f>HYPERLINK("https://www.ncbi.nlm.nih.gov/pubmed/21882692","21882692")</f>
        <v>21882692</v>
      </c>
      <c r="B792">
        <f t="shared" si="52"/>
        <v>4</v>
      </c>
      <c r="C792">
        <f t="shared" si="52"/>
        <v>0</v>
      </c>
      <c r="D792">
        <f t="shared" si="52"/>
        <v>0</v>
      </c>
      <c r="E792">
        <f t="shared" si="51"/>
        <v>4</v>
      </c>
      <c r="F792">
        <v>2011</v>
      </c>
      <c r="G792" t="s">
        <v>4563</v>
      </c>
      <c r="H792">
        <v>0</v>
      </c>
      <c r="I792" s="65">
        <v>0</v>
      </c>
      <c r="J792" t="s">
        <v>4565</v>
      </c>
      <c r="K792" s="35" t="s">
        <v>909</v>
      </c>
      <c r="L792" s="35" t="s">
        <v>4564</v>
      </c>
      <c r="M792" s="39" t="str">
        <f>HYPERLINK("http://dx.doi.org/10.1603/ec10446","10.1603/ec10446")</f>
        <v>10.1603/ec10446</v>
      </c>
      <c r="N792" s="40" t="s">
        <v>2207</v>
      </c>
      <c r="O792" s="40" t="s">
        <v>690</v>
      </c>
      <c r="P792" s="40" t="s">
        <v>4566</v>
      </c>
      <c r="Q792" t="s">
        <v>316</v>
      </c>
    </row>
    <row r="793" spans="1:17" x14ac:dyDescent="0.25">
      <c r="A793" s="2" t="str">
        <f>HYPERLINK("https://www.ncbi.nlm.nih.gov/pubmed/21777735","21777735")</f>
        <v>21777735</v>
      </c>
      <c r="B793">
        <f t="shared" si="52"/>
        <v>4</v>
      </c>
      <c r="C793">
        <f t="shared" si="52"/>
        <v>0</v>
      </c>
      <c r="D793">
        <f t="shared" si="52"/>
        <v>0</v>
      </c>
      <c r="E793">
        <f t="shared" si="51"/>
        <v>4</v>
      </c>
      <c r="F793">
        <v>2011</v>
      </c>
      <c r="G793" t="s">
        <v>4593</v>
      </c>
      <c r="H793">
        <v>0</v>
      </c>
      <c r="I793" s="65">
        <v>0</v>
      </c>
      <c r="J793" t="s">
        <v>4594</v>
      </c>
      <c r="K793" s="35" t="s">
        <v>1052</v>
      </c>
      <c r="L793" s="35" t="s">
        <v>7068</v>
      </c>
      <c r="M793" s="39" t="str">
        <f>HYPERLINK("http://dx.doi.org/10.1016/j.vetpar.2011.03.045","10.1016/j.vetpar.2011.03.045")</f>
        <v>10.1016/j.vetpar.2011.03.045</v>
      </c>
      <c r="N793" s="40" t="s">
        <v>3022</v>
      </c>
      <c r="O793" s="40" t="s">
        <v>690</v>
      </c>
      <c r="P793" s="40" t="s">
        <v>4595</v>
      </c>
      <c r="Q793" t="s">
        <v>316</v>
      </c>
    </row>
    <row r="794" spans="1:17" x14ac:dyDescent="0.25">
      <c r="A794" s="2" t="str">
        <f>HYPERLINK("https://www.ncbi.nlm.nih.gov/pubmed/21777734","21777734")</f>
        <v>21777734</v>
      </c>
      <c r="B794">
        <f t="shared" si="52"/>
        <v>4</v>
      </c>
      <c r="C794">
        <f t="shared" si="52"/>
        <v>0</v>
      </c>
      <c r="D794">
        <f t="shared" si="52"/>
        <v>0</v>
      </c>
      <c r="E794">
        <f t="shared" si="51"/>
        <v>4</v>
      </c>
      <c r="F794">
        <v>2011</v>
      </c>
      <c r="G794" t="s">
        <v>4596</v>
      </c>
      <c r="H794">
        <v>0</v>
      </c>
      <c r="I794" s="65">
        <v>0</v>
      </c>
      <c r="J794" t="s">
        <v>4597</v>
      </c>
      <c r="K794" s="35" t="s">
        <v>1052</v>
      </c>
      <c r="L794" s="35" t="s">
        <v>7069</v>
      </c>
      <c r="M794" s="39" t="str">
        <f>HYPERLINK("http://dx.doi.org/10.1016/j.vetpar.2011.03.044","10.1016/j.vetpar.2011.03.044")</f>
        <v>10.1016/j.vetpar.2011.03.044</v>
      </c>
      <c r="N794" s="40" t="s">
        <v>3022</v>
      </c>
      <c r="O794" s="40" t="s">
        <v>690</v>
      </c>
      <c r="P794" s="40" t="s">
        <v>4598</v>
      </c>
      <c r="Q794" t="s">
        <v>316</v>
      </c>
    </row>
    <row r="795" spans="1:17" x14ac:dyDescent="0.25">
      <c r="A795" s="2" t="str">
        <f>HYPERLINK("https://www.ncbi.nlm.nih.gov/pubmed/21735922","21735922")</f>
        <v>21735922</v>
      </c>
      <c r="B795">
        <f t="shared" si="52"/>
        <v>4</v>
      </c>
      <c r="C795">
        <f t="shared" si="52"/>
        <v>0</v>
      </c>
      <c r="D795">
        <f t="shared" si="52"/>
        <v>0</v>
      </c>
      <c r="E795">
        <f t="shared" si="51"/>
        <v>4</v>
      </c>
      <c r="F795">
        <v>2011</v>
      </c>
      <c r="G795" t="s">
        <v>4616</v>
      </c>
      <c r="H795">
        <v>0</v>
      </c>
      <c r="I795" s="65">
        <v>0</v>
      </c>
      <c r="J795" t="s">
        <v>4618</v>
      </c>
      <c r="K795" s="35" t="s">
        <v>909</v>
      </c>
      <c r="L795" s="35" t="s">
        <v>4617</v>
      </c>
      <c r="M795" s="39" t="str">
        <f>HYPERLINK("http://dx.doi.org/10.1603/EC11005","10.1603/EC11005")</f>
        <v>10.1603/EC11005</v>
      </c>
      <c r="N795" s="40" t="s">
        <v>2207</v>
      </c>
      <c r="O795" s="40" t="s">
        <v>750</v>
      </c>
      <c r="P795" s="40" t="s">
        <v>4619</v>
      </c>
      <c r="Q795" t="s">
        <v>316</v>
      </c>
    </row>
    <row r="796" spans="1:17" x14ac:dyDescent="0.25">
      <c r="A796" s="2" t="str">
        <f>HYPERLINK("https://www.ncbi.nlm.nih.gov/pubmed/21705147","21705147")</f>
        <v>21705147</v>
      </c>
      <c r="B796">
        <f t="shared" si="52"/>
        <v>4</v>
      </c>
      <c r="C796">
        <f t="shared" si="52"/>
        <v>0</v>
      </c>
      <c r="D796">
        <f t="shared" si="52"/>
        <v>0</v>
      </c>
      <c r="E796">
        <f t="shared" si="51"/>
        <v>4</v>
      </c>
      <c r="F796">
        <v>2011</v>
      </c>
      <c r="G796" t="s">
        <v>4623</v>
      </c>
      <c r="H796">
        <v>0</v>
      </c>
      <c r="I796" s="65">
        <v>0</v>
      </c>
      <c r="J796" t="s">
        <v>4624</v>
      </c>
      <c r="K796" s="35" t="s">
        <v>1052</v>
      </c>
      <c r="L796" s="35" t="s">
        <v>7076</v>
      </c>
      <c r="M796" s="39" t="str">
        <f>HYPERLINK("http://dx.doi.org/10.1016/j.vetpar.2011.05.054","10.1016/j.vetpar.2011.05.054")</f>
        <v>10.1016/j.vetpar.2011.05.054</v>
      </c>
      <c r="N796" s="40" t="s">
        <v>2791</v>
      </c>
      <c r="O796" s="40" t="s">
        <v>4523</v>
      </c>
      <c r="P796" s="40" t="s">
        <v>4625</v>
      </c>
      <c r="Q796" t="s">
        <v>316</v>
      </c>
    </row>
    <row r="797" spans="1:17" x14ac:dyDescent="0.25">
      <c r="A797" s="2" t="str">
        <f>HYPERLINK("https://www.ncbi.nlm.nih.gov/pubmed/21560145","21560145")</f>
        <v>21560145</v>
      </c>
      <c r="B797">
        <f t="shared" si="52"/>
        <v>4</v>
      </c>
      <c r="C797">
        <f t="shared" si="52"/>
        <v>0</v>
      </c>
      <c r="D797">
        <f t="shared" si="52"/>
        <v>0</v>
      </c>
      <c r="E797">
        <f t="shared" si="51"/>
        <v>4</v>
      </c>
      <c r="F797">
        <v>2011</v>
      </c>
      <c r="G797" t="s">
        <v>4655</v>
      </c>
      <c r="H797">
        <v>0</v>
      </c>
      <c r="I797" s="65">
        <v>0</v>
      </c>
      <c r="J797" t="s">
        <v>4656</v>
      </c>
      <c r="K797" s="35" t="s">
        <v>755</v>
      </c>
      <c r="L797" s="35" t="s">
        <v>7085</v>
      </c>
      <c r="M797" s="39" t="str">
        <f>HYPERLINK("http://dx.doi.org/10.1002/etc.569","10.1002/etc.569")</f>
        <v>10.1002/etc.569</v>
      </c>
      <c r="N797" s="40" t="s">
        <v>745</v>
      </c>
      <c r="O797" s="40" t="s">
        <v>781</v>
      </c>
      <c r="P797" s="40" t="s">
        <v>4657</v>
      </c>
      <c r="Q797" t="s">
        <v>316</v>
      </c>
    </row>
    <row r="798" spans="1:17" x14ac:dyDescent="0.25">
      <c r="A798" s="2" t="str">
        <f>HYPERLINK("https://www.ncbi.nlm.nih.gov/pubmed/21497400","21497400")</f>
        <v>21497400</v>
      </c>
      <c r="B798">
        <f t="shared" si="52"/>
        <v>4</v>
      </c>
      <c r="C798">
        <f t="shared" si="52"/>
        <v>0</v>
      </c>
      <c r="D798">
        <f t="shared" si="52"/>
        <v>0</v>
      </c>
      <c r="E798">
        <f t="shared" si="51"/>
        <v>4</v>
      </c>
      <c r="F798">
        <v>2011</v>
      </c>
      <c r="G798" t="s">
        <v>4677</v>
      </c>
      <c r="H798">
        <v>0</v>
      </c>
      <c r="I798" s="65">
        <v>0</v>
      </c>
      <c r="J798" t="s">
        <v>4679</v>
      </c>
      <c r="K798" s="35" t="s">
        <v>714</v>
      </c>
      <c r="L798" s="35" t="s">
        <v>4678</v>
      </c>
      <c r="M798" s="39" t="str">
        <f>HYPERLINK("http://dx.doi.org/10.1016/j.ecoenv.2011.03.011","10.1016/j.ecoenv.2011.03.011")</f>
        <v>10.1016/j.ecoenv.2011.03.011</v>
      </c>
      <c r="N798" s="40" t="s">
        <v>2474</v>
      </c>
      <c r="O798" s="40" t="s">
        <v>746</v>
      </c>
      <c r="P798" s="40" t="s">
        <v>4680</v>
      </c>
      <c r="Q798" t="s">
        <v>316</v>
      </c>
    </row>
    <row r="799" spans="1:17" x14ac:dyDescent="0.25">
      <c r="A799" s="2" t="str">
        <f>HYPERLINK("https://www.ncbi.nlm.nih.gov/pubmed/21439225","21439225")</f>
        <v>21439225</v>
      </c>
      <c r="B799">
        <f t="shared" si="52"/>
        <v>4</v>
      </c>
      <c r="C799">
        <f t="shared" si="52"/>
        <v>1</v>
      </c>
      <c r="D799">
        <f t="shared" si="52"/>
        <v>0</v>
      </c>
      <c r="E799">
        <f t="shared" si="51"/>
        <v>5</v>
      </c>
      <c r="F799">
        <v>2011</v>
      </c>
      <c r="G799" t="s">
        <v>4686</v>
      </c>
      <c r="H799">
        <v>0</v>
      </c>
      <c r="I799" s="65">
        <v>0</v>
      </c>
      <c r="J799" t="s">
        <v>4688</v>
      </c>
      <c r="K799" s="35" t="s">
        <v>1008</v>
      </c>
      <c r="L799" s="35" t="s">
        <v>4687</v>
      </c>
      <c r="M799" s="39" t="str">
        <f>HYPERLINK("http://dx.doi.org/10.1590/s1984-29612011000100003","10.1590/s1984-29612011000100003")</f>
        <v>10.1590/s1984-29612011000100003</v>
      </c>
      <c r="N799" s="40" t="s">
        <v>1109</v>
      </c>
      <c r="O799" s="40" t="s">
        <v>638</v>
      </c>
      <c r="P799" s="40" t="s">
        <v>4689</v>
      </c>
      <c r="Q799" t="s">
        <v>316</v>
      </c>
    </row>
    <row r="800" spans="1:17" x14ac:dyDescent="0.25">
      <c r="A800" s="2" t="str">
        <f>HYPERLINK("https://www.ncbi.nlm.nih.gov/pubmed/21354841","21354841")</f>
        <v>21354841</v>
      </c>
      <c r="B800">
        <f t="shared" si="52"/>
        <v>4</v>
      </c>
      <c r="C800">
        <f t="shared" si="52"/>
        <v>0</v>
      </c>
      <c r="D800">
        <f t="shared" si="52"/>
        <v>0</v>
      </c>
      <c r="E800">
        <f t="shared" si="51"/>
        <v>4</v>
      </c>
      <c r="F800">
        <v>2011</v>
      </c>
      <c r="G800" t="s">
        <v>4711</v>
      </c>
      <c r="H800">
        <v>0</v>
      </c>
      <c r="I800" s="65">
        <v>0</v>
      </c>
      <c r="J800" t="s">
        <v>4713</v>
      </c>
      <c r="K800" s="35" t="s">
        <v>2772</v>
      </c>
      <c r="L800" s="35" t="s">
        <v>4712</v>
      </c>
      <c r="M800" s="39" t="str">
        <f>HYPERLINK("http://dx.doi.org/10.1016/j.jfms.2011.01.004","10.1016/j.jfms.2011.01.004")</f>
        <v>10.1016/j.jfms.2011.01.004</v>
      </c>
      <c r="N800" s="40" t="s">
        <v>742</v>
      </c>
      <c r="O800" s="40" t="s">
        <v>690</v>
      </c>
      <c r="P800" s="40" t="s">
        <v>4714</v>
      </c>
      <c r="Q800" t="s">
        <v>316</v>
      </c>
    </row>
    <row r="801" spans="1:17" x14ac:dyDescent="0.25">
      <c r="A801" s="2" t="str">
        <f>HYPERLINK("https://www.ncbi.nlm.nih.gov/pubmed/21275240","21275240")</f>
        <v>21275240</v>
      </c>
      <c r="B801">
        <f t="shared" si="52"/>
        <v>4</v>
      </c>
      <c r="C801">
        <f t="shared" si="52"/>
        <v>0</v>
      </c>
      <c r="D801">
        <f t="shared" si="52"/>
        <v>0</v>
      </c>
      <c r="E801">
        <f t="shared" si="51"/>
        <v>4</v>
      </c>
      <c r="F801">
        <v>2010</v>
      </c>
      <c r="G801" t="s">
        <v>4745</v>
      </c>
      <c r="H801">
        <v>0</v>
      </c>
      <c r="I801" s="65">
        <v>0</v>
      </c>
      <c r="J801" t="s">
        <v>4746</v>
      </c>
      <c r="K801" s="35" t="s">
        <v>2925</v>
      </c>
      <c r="L801" s="35" t="s">
        <v>7093</v>
      </c>
      <c r="M801" s="39" t="str">
        <f>HYPERLINK("http://dx.doi.org/10.1051/parasite/2010174337","10.1051/parasite/2010174337")</f>
        <v>10.1051/parasite/2010174337</v>
      </c>
      <c r="N801" s="40" t="s">
        <v>1088</v>
      </c>
      <c r="O801" s="40" t="s">
        <v>690</v>
      </c>
      <c r="P801" s="40" t="s">
        <v>4747</v>
      </c>
      <c r="Q801" t="s">
        <v>316</v>
      </c>
    </row>
    <row r="802" spans="1:17" x14ac:dyDescent="0.25">
      <c r="A802" s="2" t="str">
        <f>HYPERLINK("https://www.ncbi.nlm.nih.gov/pubmed/20974132","20974132")</f>
        <v>20974132</v>
      </c>
      <c r="B802">
        <f t="shared" si="52"/>
        <v>4</v>
      </c>
      <c r="C802">
        <f t="shared" si="52"/>
        <v>0</v>
      </c>
      <c r="D802">
        <f t="shared" si="52"/>
        <v>0</v>
      </c>
      <c r="E802">
        <f t="shared" si="51"/>
        <v>4</v>
      </c>
      <c r="F802">
        <v>2011</v>
      </c>
      <c r="G802" t="s">
        <v>4807</v>
      </c>
      <c r="H802">
        <v>0</v>
      </c>
      <c r="I802" s="65">
        <v>0</v>
      </c>
      <c r="J802" t="s">
        <v>4809</v>
      </c>
      <c r="K802" s="35" t="s">
        <v>4810</v>
      </c>
      <c r="L802" s="35" t="s">
        <v>4808</v>
      </c>
      <c r="M802" s="39" t="str">
        <f>HYPERLINK("http://dx.doi.org/10.1016/j.exppara.2010.10.003","10.1016/j.exppara.2010.10.003")</f>
        <v>10.1016/j.exppara.2010.10.003</v>
      </c>
      <c r="N802" s="40" t="s">
        <v>1063</v>
      </c>
      <c r="O802" s="40" t="s">
        <v>744</v>
      </c>
      <c r="P802" s="40" t="s">
        <v>4811</v>
      </c>
      <c r="Q802" t="s">
        <v>316</v>
      </c>
    </row>
    <row r="803" spans="1:17" x14ac:dyDescent="0.25">
      <c r="A803" s="2" t="str">
        <f>HYPERLINK("https://www.ncbi.nlm.nih.gov/pubmed/20818518","20818518")</f>
        <v>20818518</v>
      </c>
      <c r="B803">
        <f t="shared" si="52"/>
        <v>4</v>
      </c>
      <c r="C803">
        <f t="shared" si="52"/>
        <v>0</v>
      </c>
      <c r="D803">
        <f t="shared" si="52"/>
        <v>0</v>
      </c>
      <c r="E803">
        <f t="shared" si="51"/>
        <v>4</v>
      </c>
      <c r="F803">
        <v>2010</v>
      </c>
      <c r="G803" t="s">
        <v>4853</v>
      </c>
      <c r="H803">
        <v>0</v>
      </c>
      <c r="I803" s="65">
        <v>0</v>
      </c>
      <c r="J803" t="s">
        <v>4855</v>
      </c>
      <c r="K803" s="35" t="s">
        <v>1413</v>
      </c>
      <c r="L803" s="35" t="s">
        <v>4854</v>
      </c>
      <c r="M803" s="39" t="str">
        <f>HYPERLINK("http://dx.doi.org/10.1080/03601234.2010.502435","10.1080/03601234.2010.502435")</f>
        <v>10.1080/03601234.2010.502435</v>
      </c>
      <c r="N803" s="40" t="s">
        <v>765</v>
      </c>
      <c r="O803" s="40" t="s">
        <v>748</v>
      </c>
      <c r="P803" s="40" t="s">
        <v>4856</v>
      </c>
      <c r="Q803" t="s">
        <v>316</v>
      </c>
    </row>
    <row r="804" spans="1:17" x14ac:dyDescent="0.25">
      <c r="A804" s="2" t="str">
        <f>HYPERLINK("https://www.ncbi.nlm.nih.gov/pubmed/20545346","20545346")</f>
        <v>20545346</v>
      </c>
      <c r="B804">
        <f t="shared" ref="B804:D823" si="53">IF(ISBLANK(B$3),0,(LEN($L804) - LEN(SUBSTITUTE(LOWER($L804),LOWER(B$3),"")))/LEN(B$3))</f>
        <v>4</v>
      </c>
      <c r="C804">
        <f t="shared" si="53"/>
        <v>1</v>
      </c>
      <c r="D804">
        <f t="shared" si="53"/>
        <v>0</v>
      </c>
      <c r="E804">
        <f t="shared" si="51"/>
        <v>5</v>
      </c>
      <c r="F804">
        <v>2010</v>
      </c>
      <c r="G804" t="s">
        <v>4899</v>
      </c>
      <c r="H804">
        <v>0</v>
      </c>
      <c r="I804" s="65">
        <v>0</v>
      </c>
      <c r="J804" t="s">
        <v>4900</v>
      </c>
      <c r="K804" s="35" t="s">
        <v>770</v>
      </c>
      <c r="L804" s="35" t="s">
        <v>7106</v>
      </c>
      <c r="M804" s="39" t="str">
        <f>HYPERLINK("http://dx.doi.org/10.1021/jf1011352","10.1021/jf1011352")</f>
        <v>10.1021/jf1011352</v>
      </c>
      <c r="N804" s="40" t="s">
        <v>1028</v>
      </c>
      <c r="O804" s="40" t="s">
        <v>742</v>
      </c>
      <c r="P804" s="40" t="s">
        <v>4901</v>
      </c>
      <c r="Q804" t="s">
        <v>316</v>
      </c>
    </row>
    <row r="805" spans="1:17" x14ac:dyDescent="0.25">
      <c r="A805" s="2" t="str">
        <f>HYPERLINK("https://www.ncbi.nlm.nih.gov/pubmed/23113028","23113028")</f>
        <v>23113028</v>
      </c>
      <c r="B805">
        <f t="shared" si="53"/>
        <v>4</v>
      </c>
      <c r="C805">
        <f t="shared" si="53"/>
        <v>0</v>
      </c>
      <c r="D805">
        <f t="shared" si="53"/>
        <v>0</v>
      </c>
      <c r="E805">
        <f t="shared" si="51"/>
        <v>4</v>
      </c>
      <c r="F805">
        <v>2010</v>
      </c>
      <c r="G805" t="s">
        <v>4993</v>
      </c>
      <c r="H805">
        <v>0</v>
      </c>
      <c r="I805" s="64" t="str">
        <f>HYPERLINK("https://www.ncbi.nlm.nih.gov/research/pubtator/?view=docsum&amp;query=PMC3481627","1")</f>
        <v>1</v>
      </c>
      <c r="J805" t="s">
        <v>4995</v>
      </c>
      <c r="K805" s="35" t="s">
        <v>4996</v>
      </c>
      <c r="L805" s="35" t="s">
        <v>4994</v>
      </c>
      <c r="M805" s="39" t="str">
        <f>HYPERLINK("http://dx.doi.org/","")</f>
        <v/>
      </c>
      <c r="N805" s="40" t="s">
        <v>852</v>
      </c>
      <c r="O805" s="40" t="s">
        <v>750</v>
      </c>
      <c r="P805" s="40" t="s">
        <v>4997</v>
      </c>
      <c r="Q805" t="s">
        <v>316</v>
      </c>
    </row>
    <row r="806" spans="1:17" x14ac:dyDescent="0.25">
      <c r="A806" s="2" t="str">
        <f>HYPERLINK("https://www.ncbi.nlm.nih.gov/pubmed/20024018","20024018")</f>
        <v>20024018</v>
      </c>
      <c r="B806">
        <f t="shared" si="53"/>
        <v>4</v>
      </c>
      <c r="C806">
        <f t="shared" si="53"/>
        <v>0</v>
      </c>
      <c r="D806">
        <f t="shared" si="53"/>
        <v>0</v>
      </c>
      <c r="E806">
        <f t="shared" si="51"/>
        <v>4</v>
      </c>
      <c r="F806">
        <v>2009</v>
      </c>
      <c r="G806" t="s">
        <v>5006</v>
      </c>
      <c r="H806">
        <v>0</v>
      </c>
      <c r="I806" s="64" t="str">
        <f>HYPERLINK("https://www.ncbi.nlm.nih.gov/research/pubtator/?view=docsum&amp;query=PMC2802102","1")</f>
        <v>1</v>
      </c>
      <c r="J806" t="s">
        <v>5007</v>
      </c>
      <c r="K806" s="35" t="s">
        <v>4671</v>
      </c>
      <c r="L806" s="35" t="s">
        <v>7115</v>
      </c>
      <c r="M806" s="39" t="str">
        <f>HYPERLINK("http://dx.doi.org/10.1039/b914324f","10.1039/b914324f")</f>
        <v>10.1039/b914324f</v>
      </c>
      <c r="N806" s="40" t="s">
        <v>678</v>
      </c>
      <c r="O806" s="40" t="s">
        <v>915</v>
      </c>
      <c r="P806" s="40" t="s">
        <v>5008</v>
      </c>
      <c r="Q806" t="s">
        <v>316</v>
      </c>
    </row>
    <row r="807" spans="1:17" x14ac:dyDescent="0.25">
      <c r="A807" s="2" t="str">
        <f>HYPERLINK("https://www.ncbi.nlm.nih.gov/pubmed/19723527","19723527")</f>
        <v>19723527</v>
      </c>
      <c r="B807">
        <f t="shared" si="53"/>
        <v>4</v>
      </c>
      <c r="C807">
        <f t="shared" si="53"/>
        <v>0</v>
      </c>
      <c r="D807">
        <f t="shared" si="53"/>
        <v>0</v>
      </c>
      <c r="E807">
        <f t="shared" si="51"/>
        <v>4</v>
      </c>
      <c r="F807">
        <v>2009</v>
      </c>
      <c r="G807" t="s">
        <v>5061</v>
      </c>
      <c r="H807">
        <v>0</v>
      </c>
      <c r="I807" s="65">
        <v>0</v>
      </c>
      <c r="J807" t="s">
        <v>5063</v>
      </c>
      <c r="K807" s="35" t="s">
        <v>2117</v>
      </c>
      <c r="L807" s="35" t="s">
        <v>5062</v>
      </c>
      <c r="M807" s="39" t="str">
        <f>HYPERLINK("http://dx.doi.org/10.1016/j.jinsphys.2009.08.019","10.1016/j.jinsphys.2009.08.019")</f>
        <v>10.1016/j.jinsphys.2009.08.019</v>
      </c>
      <c r="N807" s="40" t="s">
        <v>1059</v>
      </c>
      <c r="O807" s="40" t="s">
        <v>915</v>
      </c>
      <c r="P807" s="40" t="s">
        <v>5064</v>
      </c>
      <c r="Q807" t="s">
        <v>316</v>
      </c>
    </row>
    <row r="808" spans="1:17" x14ac:dyDescent="0.25">
      <c r="A808" s="2" t="str">
        <f>HYPERLINK("https://www.ncbi.nlm.nih.gov/pubmed/19610420","19610420")</f>
        <v>19610420</v>
      </c>
      <c r="B808">
        <f t="shared" si="53"/>
        <v>4</v>
      </c>
      <c r="C808">
        <f t="shared" si="53"/>
        <v>0</v>
      </c>
      <c r="D808">
        <f t="shared" si="53"/>
        <v>0</v>
      </c>
      <c r="E808">
        <f t="shared" si="51"/>
        <v>4</v>
      </c>
      <c r="F808">
        <v>2009</v>
      </c>
      <c r="G808" t="s">
        <v>5085</v>
      </c>
      <c r="H808">
        <v>0</v>
      </c>
      <c r="I808" s="65">
        <v>0</v>
      </c>
      <c r="J808" t="s">
        <v>5086</v>
      </c>
      <c r="K808" s="35" t="s">
        <v>909</v>
      </c>
      <c r="L808" s="35" t="s">
        <v>7122</v>
      </c>
      <c r="M808" s="39" t="str">
        <f>HYPERLINK("http://dx.doi.org/10.1603/029.102.0326","10.1603/029.102.0326")</f>
        <v>10.1603/029.102.0326</v>
      </c>
      <c r="N808" s="40" t="s">
        <v>4983</v>
      </c>
      <c r="O808" s="40" t="s">
        <v>750</v>
      </c>
      <c r="P808" s="40" t="s">
        <v>3592</v>
      </c>
      <c r="Q808" t="s">
        <v>316</v>
      </c>
    </row>
    <row r="809" spans="1:17" x14ac:dyDescent="0.25">
      <c r="A809" s="2" t="str">
        <f>HYPERLINK("https://www.ncbi.nlm.nih.gov/pubmed/19547904","19547904")</f>
        <v>19547904</v>
      </c>
      <c r="B809">
        <f t="shared" si="53"/>
        <v>4</v>
      </c>
      <c r="C809">
        <f t="shared" si="53"/>
        <v>0</v>
      </c>
      <c r="D809">
        <f t="shared" si="53"/>
        <v>0</v>
      </c>
      <c r="E809">
        <f t="shared" si="51"/>
        <v>4</v>
      </c>
      <c r="F809">
        <v>2009</v>
      </c>
      <c r="G809" t="s">
        <v>5103</v>
      </c>
      <c r="H809">
        <v>0</v>
      </c>
      <c r="I809" s="65">
        <v>0</v>
      </c>
      <c r="J809" t="s">
        <v>5105</v>
      </c>
      <c r="K809" s="35" t="s">
        <v>3164</v>
      </c>
      <c r="L809" s="35" t="s">
        <v>5104</v>
      </c>
      <c r="M809" s="39" t="str">
        <f>HYPERLINK("http://dx.doi.org/10.1007/s00128-009-9790-9","10.1007/s00128-009-9790-9")</f>
        <v>10.1007/s00128-009-9790-9</v>
      </c>
      <c r="N809" s="40" t="s">
        <v>1169</v>
      </c>
      <c r="O809" s="40" t="s">
        <v>741</v>
      </c>
      <c r="P809" s="40" t="s">
        <v>5106</v>
      </c>
      <c r="Q809" t="s">
        <v>316</v>
      </c>
    </row>
    <row r="810" spans="1:17" x14ac:dyDescent="0.25">
      <c r="A810" s="2" t="str">
        <f>HYPERLINK("https://www.ncbi.nlm.nih.gov/pubmed/19490841","19490841")</f>
        <v>19490841</v>
      </c>
      <c r="B810">
        <f t="shared" si="53"/>
        <v>4</v>
      </c>
      <c r="C810">
        <f t="shared" si="53"/>
        <v>0</v>
      </c>
      <c r="D810">
        <f t="shared" si="53"/>
        <v>0</v>
      </c>
      <c r="E810">
        <f t="shared" si="51"/>
        <v>4</v>
      </c>
      <c r="F810">
        <v>2009</v>
      </c>
      <c r="G810" t="s">
        <v>5110</v>
      </c>
      <c r="H810">
        <v>0</v>
      </c>
      <c r="I810" s="65">
        <v>0</v>
      </c>
      <c r="J810" t="s">
        <v>5112</v>
      </c>
      <c r="K810" s="35" t="s">
        <v>4860</v>
      </c>
      <c r="L810" s="35" t="s">
        <v>5111</v>
      </c>
      <c r="M810" s="39" t="str">
        <f>HYPERLINK("http://dx.doi.org/10.1016/j.tiv.2009.01.017","10.1016/j.tiv.2009.01.017")</f>
        <v>10.1016/j.tiv.2009.01.017</v>
      </c>
      <c r="N810" s="40" t="s">
        <v>737</v>
      </c>
      <c r="O810" s="40" t="s">
        <v>690</v>
      </c>
      <c r="P810" s="40" t="s">
        <v>5113</v>
      </c>
      <c r="Q810" t="s">
        <v>316</v>
      </c>
    </row>
    <row r="811" spans="1:17" x14ac:dyDescent="0.25">
      <c r="A811" s="2" t="str">
        <f>HYPERLINK("https://www.ncbi.nlm.nih.gov/pubmed/19401784","19401784")</f>
        <v>19401784</v>
      </c>
      <c r="B811">
        <f t="shared" si="53"/>
        <v>4</v>
      </c>
      <c r="C811">
        <f t="shared" si="53"/>
        <v>0</v>
      </c>
      <c r="D811">
        <f t="shared" si="53"/>
        <v>0</v>
      </c>
      <c r="E811">
        <f t="shared" si="51"/>
        <v>4</v>
      </c>
      <c r="F811">
        <v>2009</v>
      </c>
      <c r="G811" t="s">
        <v>5126</v>
      </c>
      <c r="H811">
        <v>0</v>
      </c>
      <c r="I811" s="64" t="str">
        <f>HYPERLINK("https://www.ncbi.nlm.nih.gov/research/pubtator/?view=docsum&amp;query=PMC2674291","1")</f>
        <v>1</v>
      </c>
      <c r="J811" t="s">
        <v>5128</v>
      </c>
      <c r="K811" s="35" t="s">
        <v>5129</v>
      </c>
      <c r="L811" s="35" t="s">
        <v>5127</v>
      </c>
      <c r="M811" s="39" t="str">
        <f>HYPERLINK("http://dx.doi.org/10.2174/1874091X00903010009","10.2174/1874091X00903010009")</f>
        <v>10.2174/1874091X00903010009</v>
      </c>
      <c r="N811" s="40" t="s">
        <v>750</v>
      </c>
      <c r="O811" s="40" t="s">
        <v>383</v>
      </c>
      <c r="P811" s="40" t="s">
        <v>5130</v>
      </c>
      <c r="Q811" t="s">
        <v>316</v>
      </c>
    </row>
    <row r="812" spans="1:17" x14ac:dyDescent="0.25">
      <c r="A812" s="2" t="str">
        <f>HYPERLINK("https://www.ncbi.nlm.nih.gov/pubmed/19278787","19278787")</f>
        <v>19278787</v>
      </c>
      <c r="B812">
        <f t="shared" si="53"/>
        <v>4</v>
      </c>
      <c r="C812">
        <f t="shared" si="53"/>
        <v>0</v>
      </c>
      <c r="D812">
        <f t="shared" si="53"/>
        <v>0</v>
      </c>
      <c r="E812">
        <f t="shared" si="51"/>
        <v>4</v>
      </c>
      <c r="F812">
        <v>2009</v>
      </c>
      <c r="G812" t="s">
        <v>5153</v>
      </c>
      <c r="H812">
        <v>0</v>
      </c>
      <c r="I812" s="65">
        <v>0</v>
      </c>
      <c r="J812" t="s">
        <v>5155</v>
      </c>
      <c r="K812" s="35" t="s">
        <v>1052</v>
      </c>
      <c r="L812" s="35" t="s">
        <v>5154</v>
      </c>
      <c r="M812" s="39" t="str">
        <f>HYPERLINK("http://dx.doi.org/10.1016/j.vetpar.2009.02.013","10.1016/j.vetpar.2009.02.013")</f>
        <v>10.1016/j.vetpar.2009.02.013</v>
      </c>
      <c r="N812" s="40" t="s">
        <v>1419</v>
      </c>
      <c r="O812" s="40" t="s">
        <v>3531</v>
      </c>
      <c r="P812" s="40" t="s">
        <v>5156</v>
      </c>
      <c r="Q812" t="s">
        <v>316</v>
      </c>
    </row>
    <row r="813" spans="1:17" x14ac:dyDescent="0.25">
      <c r="A813" s="2" t="str">
        <f>HYPERLINK("https://www.ncbi.nlm.nih.gov/pubmed/18946625","18946625")</f>
        <v>18946625</v>
      </c>
      <c r="B813">
        <f t="shared" si="53"/>
        <v>4</v>
      </c>
      <c r="C813">
        <f t="shared" si="53"/>
        <v>0</v>
      </c>
      <c r="D813">
        <f t="shared" si="53"/>
        <v>0</v>
      </c>
      <c r="E813">
        <f t="shared" si="51"/>
        <v>4</v>
      </c>
      <c r="F813">
        <v>2009</v>
      </c>
      <c r="G813" t="s">
        <v>5213</v>
      </c>
      <c r="H813">
        <v>0</v>
      </c>
      <c r="I813" s="65">
        <v>0</v>
      </c>
      <c r="J813" t="s">
        <v>5215</v>
      </c>
      <c r="K813" s="35" t="s">
        <v>3164</v>
      </c>
      <c r="L813" s="35" t="s">
        <v>5214</v>
      </c>
      <c r="M813" s="39" t="str">
        <f>HYPERLINK("http://dx.doi.org/10.1007/s00128-008-9581-8","10.1007/s00128-008-9581-8")</f>
        <v>10.1007/s00128-008-9581-8</v>
      </c>
      <c r="N813" s="40" t="s">
        <v>1332</v>
      </c>
      <c r="O813" s="40" t="s">
        <v>744</v>
      </c>
      <c r="P813" s="40" t="s">
        <v>5216</v>
      </c>
      <c r="Q813" t="s">
        <v>316</v>
      </c>
    </row>
    <row r="814" spans="1:17" x14ac:dyDescent="0.25">
      <c r="A814" s="2" t="str">
        <f>HYPERLINK("https://www.ncbi.nlm.nih.gov/pubmed/18939695","18939695")</f>
        <v>18939695</v>
      </c>
      <c r="B814">
        <f t="shared" si="53"/>
        <v>4</v>
      </c>
      <c r="C814">
        <f t="shared" si="53"/>
        <v>0</v>
      </c>
      <c r="D814">
        <f t="shared" si="53"/>
        <v>0</v>
      </c>
      <c r="E814">
        <f t="shared" si="51"/>
        <v>4</v>
      </c>
      <c r="F814">
        <v>2008</v>
      </c>
      <c r="G814" t="s">
        <v>5217</v>
      </c>
      <c r="H814">
        <v>0</v>
      </c>
      <c r="I814" s="65">
        <v>0</v>
      </c>
      <c r="J814" t="s">
        <v>5219</v>
      </c>
      <c r="K814" s="35" t="s">
        <v>5072</v>
      </c>
      <c r="L814" s="35" t="s">
        <v>5218</v>
      </c>
      <c r="M814" s="39" t="str">
        <f>HYPERLINK("http://dx.doi.org/10.2987/5683.1","10.2987/5683.1")</f>
        <v>10.2987/5683.1</v>
      </c>
      <c r="N814" s="40" t="s">
        <v>1188</v>
      </c>
      <c r="O814" s="40" t="s">
        <v>750</v>
      </c>
      <c r="P814" s="40" t="s">
        <v>5220</v>
      </c>
      <c r="Q814" t="s">
        <v>316</v>
      </c>
    </row>
    <row r="815" spans="1:17" x14ac:dyDescent="0.25">
      <c r="A815" s="2" t="str">
        <f>HYPERLINK("https://www.ncbi.nlm.nih.gov/pubmed/18700810","18700810")</f>
        <v>18700810</v>
      </c>
      <c r="B815">
        <f t="shared" si="53"/>
        <v>4</v>
      </c>
      <c r="C815">
        <f t="shared" si="53"/>
        <v>0</v>
      </c>
      <c r="D815">
        <f t="shared" si="53"/>
        <v>0</v>
      </c>
      <c r="E815">
        <f t="shared" si="51"/>
        <v>4</v>
      </c>
      <c r="F815">
        <v>2009</v>
      </c>
      <c r="G815" t="s">
        <v>5251</v>
      </c>
      <c r="H815">
        <v>0</v>
      </c>
      <c r="I815" s="65">
        <v>0</v>
      </c>
      <c r="J815" t="s">
        <v>5252</v>
      </c>
      <c r="K815" s="35" t="s">
        <v>755</v>
      </c>
      <c r="L815" s="35" t="s">
        <v>7132</v>
      </c>
      <c r="M815" s="39" t="str">
        <f>HYPERLINK("http://dx.doi.org/10.1897/08-110.1","10.1897/08-110.1")</f>
        <v>10.1897/08-110.1</v>
      </c>
      <c r="N815" s="40" t="s">
        <v>731</v>
      </c>
      <c r="O815" s="40" t="s">
        <v>638</v>
      </c>
      <c r="P815" s="40" t="s">
        <v>3817</v>
      </c>
      <c r="Q815" t="s">
        <v>316</v>
      </c>
    </row>
    <row r="816" spans="1:17" x14ac:dyDescent="0.25">
      <c r="A816" s="2" t="str">
        <f>HYPERLINK("https://www.ncbi.nlm.nih.gov/pubmed/18437834","18437834")</f>
        <v>18437834</v>
      </c>
      <c r="B816">
        <f t="shared" si="53"/>
        <v>4</v>
      </c>
      <c r="C816">
        <f t="shared" si="53"/>
        <v>0</v>
      </c>
      <c r="D816">
        <f t="shared" si="53"/>
        <v>0</v>
      </c>
      <c r="E816">
        <f t="shared" si="51"/>
        <v>4</v>
      </c>
      <c r="F816">
        <v>2008</v>
      </c>
      <c r="G816" t="s">
        <v>5333</v>
      </c>
      <c r="H816">
        <v>0</v>
      </c>
      <c r="I816" s="65">
        <v>0</v>
      </c>
      <c r="J816" t="s">
        <v>5335</v>
      </c>
      <c r="K816" s="35" t="s">
        <v>5072</v>
      </c>
      <c r="L816" s="35" t="s">
        <v>5334</v>
      </c>
      <c r="M816" s="39" t="str">
        <f>HYPERLINK("http://dx.doi.org/10.2987/8756-971X(2008)24[169:TOPMAF]2.0.CO;2","10.2987/8756-971X(2008)24[169:TOPMAF]2.0.CO;2")</f>
        <v>10.2987/8756-971X(2008)24[169:TOPMAF]2.0.CO;2</v>
      </c>
      <c r="N816" s="40" t="s">
        <v>1188</v>
      </c>
      <c r="O816" s="40" t="s">
        <v>638</v>
      </c>
      <c r="P816" s="40" t="s">
        <v>5336</v>
      </c>
      <c r="Q816" t="s">
        <v>316</v>
      </c>
    </row>
    <row r="817" spans="1:17" x14ac:dyDescent="0.25">
      <c r="A817" s="2" t="str">
        <f>HYPERLINK("https://www.ncbi.nlm.nih.gov/pubmed/17904201","17904201")</f>
        <v>17904201</v>
      </c>
      <c r="B817">
        <f t="shared" si="53"/>
        <v>4</v>
      </c>
      <c r="C817">
        <f t="shared" si="53"/>
        <v>0</v>
      </c>
      <c r="D817">
        <f t="shared" si="53"/>
        <v>0</v>
      </c>
      <c r="E817">
        <f t="shared" si="51"/>
        <v>4</v>
      </c>
      <c r="F817">
        <v>2008</v>
      </c>
      <c r="G817" t="s">
        <v>5434</v>
      </c>
      <c r="H817">
        <v>0</v>
      </c>
      <c r="I817" s="65">
        <v>0</v>
      </c>
      <c r="J817" t="s">
        <v>5435</v>
      </c>
      <c r="K817" s="35" t="s">
        <v>670</v>
      </c>
      <c r="L817" s="35" t="s">
        <v>7153</v>
      </c>
      <c r="M817" s="39" t="str">
        <f>HYPERLINK("http://dx.doi.org/10.1016/j.scitotenv.2007.08.029","10.1016/j.scitotenv.2007.08.029")</f>
        <v>10.1016/j.scitotenv.2007.08.029</v>
      </c>
      <c r="N817" s="40" t="s">
        <v>1677</v>
      </c>
      <c r="O817" s="40" t="s">
        <v>638</v>
      </c>
      <c r="P817" s="40" t="s">
        <v>5436</v>
      </c>
      <c r="Q817" t="s">
        <v>316</v>
      </c>
    </row>
    <row r="818" spans="1:17" x14ac:dyDescent="0.25">
      <c r="A818" s="2" t="str">
        <f>HYPERLINK("https://www.ncbi.nlm.nih.gov/pubmed/17320891","17320891")</f>
        <v>17320891</v>
      </c>
      <c r="B818">
        <f t="shared" si="53"/>
        <v>4</v>
      </c>
      <c r="C818">
        <f t="shared" si="53"/>
        <v>0</v>
      </c>
      <c r="D818">
        <f t="shared" si="53"/>
        <v>0</v>
      </c>
      <c r="E818">
        <f t="shared" si="51"/>
        <v>4</v>
      </c>
      <c r="F818">
        <v>2007</v>
      </c>
      <c r="G818" t="s">
        <v>5501</v>
      </c>
      <c r="H818">
        <v>0</v>
      </c>
      <c r="I818" s="65">
        <v>0</v>
      </c>
      <c r="J818" t="s">
        <v>5354</v>
      </c>
      <c r="K818" s="35" t="s">
        <v>1340</v>
      </c>
      <c r="L818" s="35" t="s">
        <v>5502</v>
      </c>
      <c r="M818" s="39" t="str">
        <f>HYPERLINK("http://dx.doi.org/10.1016/j.chroma.2007.01.117","10.1016/j.chroma.2007.01.117")</f>
        <v>10.1016/j.chroma.2007.01.117</v>
      </c>
      <c r="N818" s="40" t="s">
        <v>5503</v>
      </c>
      <c r="O818" s="40" t="s">
        <v>638</v>
      </c>
      <c r="P818" s="40" t="s">
        <v>5504</v>
      </c>
      <c r="Q818" t="s">
        <v>316</v>
      </c>
    </row>
    <row r="819" spans="1:17" x14ac:dyDescent="0.25">
      <c r="A819" s="2" t="str">
        <f>HYPERLINK("https://www.ncbi.nlm.nih.gov/pubmed/17267752","17267752")</f>
        <v>17267752</v>
      </c>
      <c r="B819">
        <f t="shared" si="53"/>
        <v>4</v>
      </c>
      <c r="C819">
        <f t="shared" si="53"/>
        <v>2</v>
      </c>
      <c r="D819">
        <f t="shared" si="53"/>
        <v>0</v>
      </c>
      <c r="E819">
        <f t="shared" si="51"/>
        <v>6</v>
      </c>
      <c r="F819">
        <v>2007</v>
      </c>
      <c r="G819" t="s">
        <v>5510</v>
      </c>
      <c r="H819">
        <v>0</v>
      </c>
      <c r="I819" s="65">
        <v>0</v>
      </c>
      <c r="J819" t="s">
        <v>5511</v>
      </c>
      <c r="K819" s="35" t="s">
        <v>4962</v>
      </c>
      <c r="L819" s="35" t="s">
        <v>7165</v>
      </c>
      <c r="M819" s="39" t="str">
        <f>HYPERLINK("http://dx.doi.org/10.1152/jn.01234.2006","10.1152/jn.01234.2006")</f>
        <v>10.1152/jn.01234.2006</v>
      </c>
      <c r="N819" s="40" t="s">
        <v>749</v>
      </c>
      <c r="O819" s="40" t="s">
        <v>690</v>
      </c>
      <c r="P819" s="40" t="s">
        <v>5512</v>
      </c>
      <c r="Q819" t="s">
        <v>316</v>
      </c>
    </row>
    <row r="820" spans="1:17" x14ac:dyDescent="0.25">
      <c r="A820" s="2" t="str">
        <f>HYPERLINK("https://www.ncbi.nlm.nih.gov/pubmed/17039441","17039441")</f>
        <v>17039441</v>
      </c>
      <c r="B820">
        <f t="shared" si="53"/>
        <v>4</v>
      </c>
      <c r="C820">
        <f t="shared" si="53"/>
        <v>0</v>
      </c>
      <c r="D820">
        <f t="shared" si="53"/>
        <v>0</v>
      </c>
      <c r="E820">
        <f t="shared" si="51"/>
        <v>4</v>
      </c>
      <c r="F820">
        <v>2006</v>
      </c>
      <c r="G820" t="s">
        <v>5562</v>
      </c>
      <c r="H820">
        <v>0</v>
      </c>
      <c r="I820" s="65">
        <v>0</v>
      </c>
      <c r="J820" t="s">
        <v>5564</v>
      </c>
      <c r="K820" s="35" t="s">
        <v>5052</v>
      </c>
      <c r="L820" s="35" t="s">
        <v>5563</v>
      </c>
      <c r="M820" s="39" t="str">
        <f>HYPERLINK("http://dx.doi.org/","")</f>
        <v/>
      </c>
      <c r="N820" s="40" t="s">
        <v>748</v>
      </c>
      <c r="O820" s="40" t="s">
        <v>750</v>
      </c>
      <c r="P820" s="40" t="s">
        <v>5565</v>
      </c>
      <c r="Q820" t="s">
        <v>316</v>
      </c>
    </row>
    <row r="821" spans="1:17" x14ac:dyDescent="0.25">
      <c r="A821" s="2" t="str">
        <f>HYPERLINK("https://www.ncbi.nlm.nih.gov/pubmed/17034950","17034950")</f>
        <v>17034950</v>
      </c>
      <c r="B821">
        <f t="shared" si="53"/>
        <v>4</v>
      </c>
      <c r="C821">
        <f t="shared" si="53"/>
        <v>0</v>
      </c>
      <c r="D821">
        <f t="shared" si="53"/>
        <v>0</v>
      </c>
      <c r="E821">
        <f t="shared" si="51"/>
        <v>4</v>
      </c>
      <c r="F821">
        <v>2007</v>
      </c>
      <c r="G821" t="s">
        <v>5569</v>
      </c>
      <c r="H821">
        <v>0</v>
      </c>
      <c r="I821" s="65">
        <v>0</v>
      </c>
      <c r="J821" t="s">
        <v>5570</v>
      </c>
      <c r="K821" s="35" t="s">
        <v>1052</v>
      </c>
      <c r="L821" s="35" t="s">
        <v>7170</v>
      </c>
      <c r="M821" s="39" t="str">
        <f>HYPERLINK("http://dx.doi.org/10.1016/j.vetpar.2006.09.006","10.1016/j.vetpar.2006.09.006")</f>
        <v>10.1016/j.vetpar.2006.09.006</v>
      </c>
      <c r="N821" s="40" t="s">
        <v>2321</v>
      </c>
      <c r="O821" s="40" t="s">
        <v>744</v>
      </c>
      <c r="P821" s="40" t="s">
        <v>5571</v>
      </c>
      <c r="Q821" t="s">
        <v>316</v>
      </c>
    </row>
    <row r="822" spans="1:17" x14ac:dyDescent="0.25">
      <c r="A822" s="2" t="str">
        <f>HYPERLINK("https://www.ncbi.nlm.nih.gov/pubmed/16969066","16969066")</f>
        <v>16969066</v>
      </c>
      <c r="B822">
        <f t="shared" si="53"/>
        <v>4</v>
      </c>
      <c r="C822">
        <f t="shared" si="53"/>
        <v>0</v>
      </c>
      <c r="D822">
        <f t="shared" si="53"/>
        <v>0</v>
      </c>
      <c r="E822">
        <f t="shared" si="51"/>
        <v>4</v>
      </c>
      <c r="F822">
        <v>2006</v>
      </c>
      <c r="G822" t="s">
        <v>5581</v>
      </c>
      <c r="H822">
        <v>0</v>
      </c>
      <c r="I822" s="64" t="str">
        <f>HYPERLINK("https://www.ncbi.nlm.nih.gov/research/pubtator/?view=docsum&amp;query=PMC2532662","1")</f>
        <v>1</v>
      </c>
      <c r="J822" t="s">
        <v>5583</v>
      </c>
      <c r="K822" s="35" t="s">
        <v>5584</v>
      </c>
      <c r="L822" s="35" t="s">
        <v>5582</v>
      </c>
      <c r="M822" s="39" t="str">
        <f>HYPERLINK("http://dx.doi.org/10.3347/kjp.2006.44.3.255","10.3347/kjp.2006.44.3.255")</f>
        <v>10.3347/kjp.2006.44.3.255</v>
      </c>
      <c r="N822" s="40" t="s">
        <v>2001</v>
      </c>
      <c r="O822" s="40" t="s">
        <v>750</v>
      </c>
      <c r="P822" s="40" t="s">
        <v>5585</v>
      </c>
      <c r="Q822" t="s">
        <v>316</v>
      </c>
    </row>
    <row r="823" spans="1:17" x14ac:dyDescent="0.25">
      <c r="A823" s="2" t="str">
        <f>HYPERLINK("https://www.ncbi.nlm.nih.gov/pubmed/16786705","16786705")</f>
        <v>16786705</v>
      </c>
      <c r="B823">
        <f t="shared" si="53"/>
        <v>4</v>
      </c>
      <c r="C823">
        <f t="shared" si="53"/>
        <v>0</v>
      </c>
      <c r="D823">
        <f t="shared" si="53"/>
        <v>0</v>
      </c>
      <c r="E823">
        <f t="shared" si="51"/>
        <v>4</v>
      </c>
      <c r="F823">
        <v>2006</v>
      </c>
      <c r="G823" t="s">
        <v>5625</v>
      </c>
      <c r="H823">
        <v>0</v>
      </c>
      <c r="I823" s="65">
        <v>0</v>
      </c>
      <c r="J823" t="s">
        <v>5627</v>
      </c>
      <c r="K823" s="35" t="s">
        <v>1058</v>
      </c>
      <c r="L823" s="35" t="s">
        <v>5626</v>
      </c>
      <c r="M823" s="39" t="str">
        <f>HYPERLINK("http://dx.doi.org/10.1021/es052537o","10.1021/es052537o")</f>
        <v>10.1021/es052537o</v>
      </c>
      <c r="N823" s="40" t="s">
        <v>1494</v>
      </c>
      <c r="O823" s="40" t="s">
        <v>678</v>
      </c>
      <c r="P823" s="40" t="s">
        <v>5628</v>
      </c>
      <c r="Q823" t="s">
        <v>316</v>
      </c>
    </row>
    <row r="824" spans="1:17" x14ac:dyDescent="0.25">
      <c r="A824" s="2" t="str">
        <f>HYPERLINK("https://www.ncbi.nlm.nih.gov/pubmed/16739411","16739411")</f>
        <v>16739411</v>
      </c>
      <c r="B824">
        <f t="shared" ref="B824:D843" si="54">IF(ISBLANK(B$3),0,(LEN($L824) - LEN(SUBSTITUTE(LOWER($L824),LOWER(B$3),"")))/LEN(B$3))</f>
        <v>4</v>
      </c>
      <c r="C824">
        <f t="shared" si="54"/>
        <v>0</v>
      </c>
      <c r="D824">
        <f t="shared" si="54"/>
        <v>0</v>
      </c>
      <c r="E824">
        <f t="shared" si="51"/>
        <v>4</v>
      </c>
      <c r="F824">
        <v>2006</v>
      </c>
      <c r="G824" t="s">
        <v>5633</v>
      </c>
      <c r="H824">
        <v>0</v>
      </c>
      <c r="I824" s="65">
        <v>0</v>
      </c>
      <c r="J824" t="s">
        <v>5634</v>
      </c>
      <c r="K824" s="35" t="s">
        <v>1027</v>
      </c>
      <c r="L824" s="35" t="s">
        <v>7179</v>
      </c>
      <c r="M824" s="39" t="str">
        <f>HYPERLINK("http://dx.doi.org/10.1603/0022-2585(2006)43[526:aivrmf]2.0.co;2","10.1603/0022-2585(2006)43[526:aivrmf]2.0.co;2")</f>
        <v>10.1603/0022-2585(2006)43[526:aivrmf]2.0.co;2</v>
      </c>
      <c r="N824" s="40" t="s">
        <v>1279</v>
      </c>
      <c r="O824" s="40" t="s">
        <v>750</v>
      </c>
      <c r="P824" s="40" t="s">
        <v>5635</v>
      </c>
      <c r="Q824" t="s">
        <v>316</v>
      </c>
    </row>
    <row r="825" spans="1:17" x14ac:dyDescent="0.25">
      <c r="A825" s="2" t="str">
        <f>HYPERLINK("https://www.ncbi.nlm.nih.gov/pubmed/16686121","16686121")</f>
        <v>16686121</v>
      </c>
      <c r="B825">
        <f t="shared" si="54"/>
        <v>4</v>
      </c>
      <c r="C825">
        <f t="shared" si="54"/>
        <v>0</v>
      </c>
      <c r="D825">
        <f t="shared" si="54"/>
        <v>0</v>
      </c>
      <c r="E825">
        <f t="shared" si="51"/>
        <v>4</v>
      </c>
      <c r="F825">
        <v>2006</v>
      </c>
      <c r="G825" t="s">
        <v>5647</v>
      </c>
      <c r="H825">
        <v>0</v>
      </c>
      <c r="I825" s="65">
        <v>0</v>
      </c>
      <c r="J825" t="s">
        <v>5648</v>
      </c>
      <c r="K825" s="35" t="s">
        <v>909</v>
      </c>
      <c r="L825" s="35" t="s">
        <v>7181</v>
      </c>
      <c r="M825" s="39" t="str">
        <f>HYPERLINK("http://dx.doi.org/10.1603/0022-0493-99.2.253","10.1603/0022-0493-99.2.253")</f>
        <v>10.1603/0022-0493-99.2.253</v>
      </c>
      <c r="N825" s="40" t="s">
        <v>3055</v>
      </c>
      <c r="O825" s="40" t="s">
        <v>744</v>
      </c>
      <c r="P825" s="40" t="s">
        <v>5649</v>
      </c>
      <c r="Q825" t="s">
        <v>316</v>
      </c>
    </row>
    <row r="826" spans="1:17" x14ac:dyDescent="0.25">
      <c r="A826" s="2" t="str">
        <f>HYPERLINK("https://www.ncbi.nlm.nih.gov/pubmed/16573328","16573328")</f>
        <v>16573328</v>
      </c>
      <c r="B826">
        <f t="shared" si="54"/>
        <v>4</v>
      </c>
      <c r="C826">
        <f t="shared" si="54"/>
        <v>0</v>
      </c>
      <c r="D826">
        <f t="shared" si="54"/>
        <v>0</v>
      </c>
      <c r="E826">
        <f t="shared" si="51"/>
        <v>4</v>
      </c>
      <c r="F826">
        <v>2006</v>
      </c>
      <c r="G826" t="s">
        <v>5653</v>
      </c>
      <c r="H826">
        <v>0</v>
      </c>
      <c r="I826" s="65">
        <v>0</v>
      </c>
      <c r="J826" t="s">
        <v>5655</v>
      </c>
      <c r="K826" s="35" t="s">
        <v>909</v>
      </c>
      <c r="L826" s="35" t="s">
        <v>5654</v>
      </c>
      <c r="M826" s="39" t="str">
        <f>HYPERLINK("http://dx.doi.org/10.1093/jee/99.1.94","10.1093/jee/99.1.94")</f>
        <v>10.1093/jee/99.1.94</v>
      </c>
      <c r="N826" s="40" t="s">
        <v>3055</v>
      </c>
      <c r="O826" s="40" t="s">
        <v>638</v>
      </c>
      <c r="P826" s="40" t="s">
        <v>5656</v>
      </c>
      <c r="Q826" t="s">
        <v>316</v>
      </c>
    </row>
    <row r="827" spans="1:17" x14ac:dyDescent="0.25">
      <c r="A827" s="2" t="str">
        <f>HYPERLINK("https://www.ncbi.nlm.nih.gov/pubmed/16550503","16550503")</f>
        <v>16550503</v>
      </c>
      <c r="B827">
        <f t="shared" si="54"/>
        <v>4</v>
      </c>
      <c r="C827">
        <f t="shared" si="54"/>
        <v>5</v>
      </c>
      <c r="D827">
        <f t="shared" si="54"/>
        <v>0</v>
      </c>
      <c r="E827">
        <f t="shared" si="51"/>
        <v>9</v>
      </c>
      <c r="F827">
        <v>2006</v>
      </c>
      <c r="G827" t="s">
        <v>5660</v>
      </c>
      <c r="H827">
        <v>0</v>
      </c>
      <c r="I827" s="65">
        <v>0</v>
      </c>
      <c r="J827" t="s">
        <v>5620</v>
      </c>
      <c r="K827" s="35" t="s">
        <v>968</v>
      </c>
      <c r="L827" s="35" t="s">
        <v>7184</v>
      </c>
      <c r="M827" s="39" t="str">
        <f>HYPERLINK("http://dx.doi.org/10.1002/ps.1184","10.1002/ps.1184")</f>
        <v>10.1002/ps.1184</v>
      </c>
      <c r="N827" s="40" t="s">
        <v>2372</v>
      </c>
      <c r="O827" s="40" t="s">
        <v>746</v>
      </c>
      <c r="P827" s="40" t="s">
        <v>5661</v>
      </c>
      <c r="Q827" t="s">
        <v>316</v>
      </c>
    </row>
    <row r="828" spans="1:17" x14ac:dyDescent="0.25">
      <c r="A828" s="2" t="str">
        <f>HYPERLINK("https://www.ncbi.nlm.nih.gov/pubmed/16539144","16539144")</f>
        <v>16539144</v>
      </c>
      <c r="B828">
        <f t="shared" si="54"/>
        <v>4</v>
      </c>
      <c r="C828">
        <f t="shared" si="54"/>
        <v>0</v>
      </c>
      <c r="D828">
        <f t="shared" si="54"/>
        <v>0</v>
      </c>
      <c r="E828">
        <f t="shared" si="51"/>
        <v>4</v>
      </c>
      <c r="F828">
        <v>2005</v>
      </c>
      <c r="G828" t="s">
        <v>5668</v>
      </c>
      <c r="H828">
        <v>0</v>
      </c>
      <c r="I828" s="65">
        <v>0</v>
      </c>
      <c r="J828" t="s">
        <v>5670</v>
      </c>
      <c r="K828" s="35" t="s">
        <v>909</v>
      </c>
      <c r="L828" s="35" t="s">
        <v>5669</v>
      </c>
      <c r="M828" s="39" t="str">
        <f>HYPERLINK("http://dx.doi.org/10.1603/0022-0493-98.6.2143","10.1603/0022-0493-98.6.2143")</f>
        <v>10.1603/0022-0493-98.6.2143</v>
      </c>
      <c r="N828" s="40" t="s">
        <v>3516</v>
      </c>
      <c r="O828" s="40" t="s">
        <v>741</v>
      </c>
      <c r="P828" s="40" t="s">
        <v>5671</v>
      </c>
      <c r="Q828" t="s">
        <v>316</v>
      </c>
    </row>
    <row r="829" spans="1:17" x14ac:dyDescent="0.25">
      <c r="A829" s="2" t="str">
        <f>HYPERLINK("https://www.ncbi.nlm.nih.gov/pubmed/16299669","16299669")</f>
        <v>16299669</v>
      </c>
      <c r="B829">
        <f t="shared" si="54"/>
        <v>4</v>
      </c>
      <c r="C829">
        <f t="shared" si="54"/>
        <v>0</v>
      </c>
      <c r="D829">
        <f t="shared" si="54"/>
        <v>0</v>
      </c>
      <c r="E829">
        <f t="shared" si="51"/>
        <v>4</v>
      </c>
      <c r="F829">
        <v>2005</v>
      </c>
      <c r="G829" t="s">
        <v>5703</v>
      </c>
      <c r="H829">
        <v>0</v>
      </c>
      <c r="I829" s="65">
        <v>0</v>
      </c>
      <c r="J829" t="s">
        <v>5704</v>
      </c>
      <c r="K829" s="35" t="s">
        <v>5052</v>
      </c>
      <c r="L829" s="35" t="s">
        <v>7191</v>
      </c>
      <c r="M829" s="39" t="str">
        <f>HYPERLINK("http://dx.doi.org/","")</f>
        <v/>
      </c>
      <c r="N829" s="40" t="s">
        <v>741</v>
      </c>
      <c r="O829" s="40" t="s">
        <v>750</v>
      </c>
      <c r="P829" s="40" t="s">
        <v>5705</v>
      </c>
      <c r="Q829" t="s">
        <v>316</v>
      </c>
    </row>
    <row r="830" spans="1:17" x14ac:dyDescent="0.25">
      <c r="A830" s="2" t="str">
        <f>HYPERLINK("https://www.ncbi.nlm.nih.gov/pubmed/16106092","16106092")</f>
        <v>16106092</v>
      </c>
      <c r="B830">
        <f t="shared" si="54"/>
        <v>4</v>
      </c>
      <c r="C830">
        <f t="shared" si="54"/>
        <v>0</v>
      </c>
      <c r="D830">
        <f t="shared" si="54"/>
        <v>0</v>
      </c>
      <c r="E830">
        <f t="shared" si="51"/>
        <v>4</v>
      </c>
      <c r="F830">
        <v>2005</v>
      </c>
      <c r="G830" t="s">
        <v>5731</v>
      </c>
      <c r="H830">
        <v>0</v>
      </c>
      <c r="I830" s="65">
        <v>0</v>
      </c>
      <c r="J830" t="s">
        <v>5732</v>
      </c>
      <c r="K830" s="35" t="s">
        <v>5733</v>
      </c>
      <c r="L830" s="35" t="s">
        <v>7195</v>
      </c>
      <c r="M830" s="39" t="str">
        <f>HYPERLINK("http://dx.doi.org/","")</f>
        <v/>
      </c>
      <c r="N830" s="40" t="s">
        <v>3468</v>
      </c>
      <c r="O830" s="40" t="s">
        <v>638</v>
      </c>
      <c r="P830" s="40" t="s">
        <v>5734</v>
      </c>
      <c r="Q830" t="s">
        <v>316</v>
      </c>
    </row>
    <row r="831" spans="1:17" x14ac:dyDescent="0.25">
      <c r="A831" s="2" t="str">
        <f>HYPERLINK("https://www.ncbi.nlm.nih.gov/pubmed/16009481","16009481")</f>
        <v>16009481</v>
      </c>
      <c r="B831">
        <f t="shared" si="54"/>
        <v>4</v>
      </c>
      <c r="C831">
        <f t="shared" si="54"/>
        <v>0</v>
      </c>
      <c r="D831">
        <f t="shared" si="54"/>
        <v>0</v>
      </c>
      <c r="E831">
        <f t="shared" si="51"/>
        <v>4</v>
      </c>
      <c r="F831">
        <v>2005</v>
      </c>
      <c r="G831" t="s">
        <v>5777</v>
      </c>
      <c r="H831">
        <v>0</v>
      </c>
      <c r="I831" s="65">
        <v>0</v>
      </c>
      <c r="J831" t="s">
        <v>5779</v>
      </c>
      <c r="K831" s="35" t="s">
        <v>2351</v>
      </c>
      <c r="L831" s="35" t="s">
        <v>5778</v>
      </c>
      <c r="M831" s="39" t="str">
        <f>HYPERLINK("http://dx.doi.org/10.1016/j.tox.2005.05.023","10.1016/j.tox.2005.05.023")</f>
        <v>10.1016/j.tox.2005.05.023</v>
      </c>
      <c r="N831" s="40" t="s">
        <v>3147</v>
      </c>
      <c r="O831" s="40" t="s">
        <v>3531</v>
      </c>
      <c r="P831" s="40" t="s">
        <v>5780</v>
      </c>
      <c r="Q831" t="s">
        <v>316</v>
      </c>
    </row>
    <row r="832" spans="1:17" x14ac:dyDescent="0.25">
      <c r="A832" s="2" t="str">
        <f>HYPERLINK("https://www.ncbi.nlm.nih.gov/pubmed/15666760","15666760")</f>
        <v>15666760</v>
      </c>
      <c r="B832">
        <f t="shared" si="54"/>
        <v>4</v>
      </c>
      <c r="C832">
        <f t="shared" si="54"/>
        <v>0</v>
      </c>
      <c r="D832">
        <f t="shared" si="54"/>
        <v>0</v>
      </c>
      <c r="E832">
        <f t="shared" si="51"/>
        <v>4</v>
      </c>
      <c r="F832">
        <v>2004</v>
      </c>
      <c r="G832" t="s">
        <v>5845</v>
      </c>
      <c r="H832">
        <v>0</v>
      </c>
      <c r="I832" s="65">
        <v>0</v>
      </c>
      <c r="J832" t="s">
        <v>5847</v>
      </c>
      <c r="K832" s="35" t="s">
        <v>909</v>
      </c>
      <c r="L832" s="35" t="s">
        <v>5846</v>
      </c>
      <c r="M832" s="39" t="str">
        <f>HYPERLINK("http://dx.doi.org/10.1093/jee/97.6.2021","10.1093/jee/97.6.2021")</f>
        <v>10.1093/jee/97.6.2021</v>
      </c>
      <c r="N832" s="40" t="s">
        <v>749</v>
      </c>
      <c r="O832" s="40" t="s">
        <v>741</v>
      </c>
      <c r="P832" s="40" t="s">
        <v>5848</v>
      </c>
      <c r="Q832" t="s">
        <v>316</v>
      </c>
    </row>
    <row r="833" spans="1:17" x14ac:dyDescent="0.25">
      <c r="A833" s="2" t="str">
        <f>HYPERLINK("https://www.ncbi.nlm.nih.gov/pubmed/15605643","15605643")</f>
        <v>15605643</v>
      </c>
      <c r="B833">
        <f t="shared" si="54"/>
        <v>4</v>
      </c>
      <c r="C833">
        <f t="shared" si="54"/>
        <v>0</v>
      </c>
      <c r="D833">
        <f t="shared" si="54"/>
        <v>0</v>
      </c>
      <c r="E833">
        <f t="shared" si="51"/>
        <v>4</v>
      </c>
      <c r="F833">
        <v>2004</v>
      </c>
      <c r="G833" t="s">
        <v>5857</v>
      </c>
      <c r="H833">
        <v>0</v>
      </c>
      <c r="I833" s="65">
        <v>0</v>
      </c>
      <c r="J833" t="s">
        <v>5859</v>
      </c>
      <c r="K833" s="35" t="s">
        <v>1027</v>
      </c>
      <c r="L833" s="35" t="s">
        <v>5858</v>
      </c>
      <c r="M833" s="39" t="str">
        <f>HYPERLINK("http://dx.doi.org/10.1603/0022-2585-41.6.1043","10.1603/0022-2585-41.6.1043")</f>
        <v>10.1603/0022-2585-41.6.1043</v>
      </c>
      <c r="N833" s="40" t="s">
        <v>1104</v>
      </c>
      <c r="O833" s="40" t="s">
        <v>741</v>
      </c>
      <c r="P833" s="40" t="s">
        <v>5860</v>
      </c>
      <c r="Q833" t="s">
        <v>316</v>
      </c>
    </row>
    <row r="834" spans="1:17" x14ac:dyDescent="0.25">
      <c r="A834" s="2" t="str">
        <f>HYPERLINK("https://www.ncbi.nlm.nih.gov/pubmed/15578602","15578602")</f>
        <v>15578602</v>
      </c>
      <c r="B834">
        <f t="shared" si="54"/>
        <v>4</v>
      </c>
      <c r="C834">
        <f t="shared" si="54"/>
        <v>0</v>
      </c>
      <c r="D834">
        <f t="shared" si="54"/>
        <v>0</v>
      </c>
      <c r="E834">
        <f t="shared" si="51"/>
        <v>4</v>
      </c>
      <c r="F834">
        <v>2004</v>
      </c>
      <c r="G834" t="s">
        <v>5868</v>
      </c>
      <c r="H834">
        <v>0</v>
      </c>
      <c r="I834" s="65">
        <v>0</v>
      </c>
      <c r="J834" t="s">
        <v>5869</v>
      </c>
      <c r="K834" s="35" t="s">
        <v>968</v>
      </c>
      <c r="L834" s="35" t="s">
        <v>7208</v>
      </c>
      <c r="M834" s="39" t="str">
        <f>HYPERLINK("http://dx.doi.org/10.1002/ps.946","10.1002/ps.946")</f>
        <v>10.1002/ps.946</v>
      </c>
      <c r="N834" s="40" t="s">
        <v>1655</v>
      </c>
      <c r="O834" s="40" t="s">
        <v>915</v>
      </c>
      <c r="P834" s="40" t="s">
        <v>5870</v>
      </c>
      <c r="Q834" t="s">
        <v>316</v>
      </c>
    </row>
    <row r="835" spans="1:17" x14ac:dyDescent="0.25">
      <c r="A835" s="2" t="str">
        <f>HYPERLINK("https://www.ncbi.nlm.nih.gov/pubmed/14750729","14750729")</f>
        <v>14750729</v>
      </c>
      <c r="B835">
        <f t="shared" si="54"/>
        <v>4</v>
      </c>
      <c r="C835">
        <f t="shared" si="54"/>
        <v>0</v>
      </c>
      <c r="D835">
        <f t="shared" si="54"/>
        <v>0</v>
      </c>
      <c r="E835">
        <f t="shared" si="51"/>
        <v>4</v>
      </c>
      <c r="F835">
        <v>2004</v>
      </c>
      <c r="G835" t="s">
        <v>5983</v>
      </c>
      <c r="H835">
        <v>0</v>
      </c>
      <c r="I835" s="65">
        <v>0</v>
      </c>
      <c r="J835" t="s">
        <v>5984</v>
      </c>
      <c r="K835" s="35" t="s">
        <v>1058</v>
      </c>
      <c r="L835" s="35" t="s">
        <v>7220</v>
      </c>
      <c r="M835" s="39" t="str">
        <f>HYPERLINK("http://dx.doi.org/10.1021/es034494m","10.1021/es034494m")</f>
        <v>10.1021/es034494m</v>
      </c>
      <c r="N835" s="40" t="s">
        <v>3973</v>
      </c>
      <c r="O835" s="40" t="s">
        <v>744</v>
      </c>
      <c r="P835" s="40" t="s">
        <v>5985</v>
      </c>
      <c r="Q835" t="s">
        <v>316</v>
      </c>
    </row>
    <row r="836" spans="1:17" x14ac:dyDescent="0.25">
      <c r="A836" s="2" t="str">
        <f>HYPERLINK("https://www.ncbi.nlm.nih.gov/pubmed/14667049","14667049")</f>
        <v>14667049</v>
      </c>
      <c r="B836">
        <f t="shared" si="54"/>
        <v>4</v>
      </c>
      <c r="C836">
        <f t="shared" si="54"/>
        <v>0</v>
      </c>
      <c r="D836">
        <f t="shared" si="54"/>
        <v>0</v>
      </c>
      <c r="E836">
        <f t="shared" ref="E836:E899" si="55">SUM(B836:D836)</f>
        <v>4</v>
      </c>
      <c r="F836">
        <v>2003</v>
      </c>
      <c r="G836" t="s">
        <v>5989</v>
      </c>
      <c r="H836">
        <v>0</v>
      </c>
      <c r="I836" s="65">
        <v>0</v>
      </c>
      <c r="J836" t="s">
        <v>5991</v>
      </c>
      <c r="K836" s="35" t="s">
        <v>968</v>
      </c>
      <c r="L836" s="35" t="s">
        <v>5990</v>
      </c>
      <c r="M836" s="39" t="str">
        <f>HYPERLINK("http://dx.doi.org/10.1002/ps.819","10.1002/ps.819")</f>
        <v>10.1002/ps.819</v>
      </c>
      <c r="N836" s="40" t="s">
        <v>2885</v>
      </c>
      <c r="O836" s="40" t="s">
        <v>915</v>
      </c>
      <c r="P836" s="40" t="s">
        <v>5992</v>
      </c>
      <c r="Q836" t="s">
        <v>316</v>
      </c>
    </row>
    <row r="837" spans="1:17" x14ac:dyDescent="0.25">
      <c r="A837" s="2" t="str">
        <f>HYPERLINK("https://www.ncbi.nlm.nih.gov/pubmed/12852627","12852627")</f>
        <v>12852627</v>
      </c>
      <c r="B837">
        <f t="shared" si="54"/>
        <v>4</v>
      </c>
      <c r="C837">
        <f t="shared" si="54"/>
        <v>0</v>
      </c>
      <c r="D837">
        <f t="shared" si="54"/>
        <v>0</v>
      </c>
      <c r="E837">
        <f t="shared" si="55"/>
        <v>4</v>
      </c>
      <c r="F837">
        <v>2003</v>
      </c>
      <c r="G837" t="s">
        <v>6031</v>
      </c>
      <c r="H837">
        <v>0</v>
      </c>
      <c r="I837" s="65">
        <v>0</v>
      </c>
      <c r="J837" t="s">
        <v>6033</v>
      </c>
      <c r="K837" s="35" t="s">
        <v>909</v>
      </c>
      <c r="L837" s="35" t="s">
        <v>6032</v>
      </c>
      <c r="M837" s="39" t="str">
        <f>HYPERLINK("http://dx.doi.org/10.1093/jee/96.3.856","10.1093/jee/96.3.856")</f>
        <v>10.1093/jee/96.3.856</v>
      </c>
      <c r="N837" s="40" t="s">
        <v>3165</v>
      </c>
      <c r="O837" s="40" t="s">
        <v>750</v>
      </c>
      <c r="P837" s="40" t="s">
        <v>6034</v>
      </c>
      <c r="Q837" t="s">
        <v>316</v>
      </c>
    </row>
    <row r="838" spans="1:17" x14ac:dyDescent="0.25">
      <c r="A838" s="2" t="str">
        <f>HYPERLINK("https://www.ncbi.nlm.nih.gov/pubmed/12807306","12807306")</f>
        <v>12807306</v>
      </c>
      <c r="B838">
        <f t="shared" si="54"/>
        <v>4</v>
      </c>
      <c r="C838">
        <f t="shared" si="54"/>
        <v>0</v>
      </c>
      <c r="D838">
        <f t="shared" si="54"/>
        <v>0</v>
      </c>
      <c r="E838">
        <f t="shared" si="55"/>
        <v>4</v>
      </c>
      <c r="F838">
        <v>2003</v>
      </c>
      <c r="G838" t="s">
        <v>6045</v>
      </c>
      <c r="H838">
        <v>0</v>
      </c>
      <c r="I838" s="65">
        <v>0</v>
      </c>
      <c r="J838" t="s">
        <v>6047</v>
      </c>
      <c r="K838" s="35" t="s">
        <v>5855</v>
      </c>
      <c r="L838" s="35" t="s">
        <v>6046</v>
      </c>
      <c r="M838" s="39" t="str">
        <f>HYPERLINK("http://dx.doi.org/10.1081/clt-120021106","10.1081/clt-120021106")</f>
        <v>10.1081/clt-120021106</v>
      </c>
      <c r="N838" s="40" t="s">
        <v>1104</v>
      </c>
      <c r="O838" s="40" t="s">
        <v>750</v>
      </c>
      <c r="P838" s="40" t="s">
        <v>6048</v>
      </c>
      <c r="Q838" t="s">
        <v>316</v>
      </c>
    </row>
    <row r="839" spans="1:17" x14ac:dyDescent="0.25">
      <c r="A839" s="2" t="str">
        <f>HYPERLINK("https://www.ncbi.nlm.nih.gov/pubmed/11997970","11997970")</f>
        <v>11997970</v>
      </c>
      <c r="B839">
        <f t="shared" si="54"/>
        <v>4</v>
      </c>
      <c r="C839">
        <f t="shared" si="54"/>
        <v>14</v>
      </c>
      <c r="D839">
        <f t="shared" si="54"/>
        <v>0</v>
      </c>
      <c r="E839">
        <f t="shared" si="55"/>
        <v>18</v>
      </c>
      <c r="F839">
        <v>2002</v>
      </c>
      <c r="G839" t="s">
        <v>6172</v>
      </c>
      <c r="H839">
        <v>0</v>
      </c>
      <c r="I839" s="65">
        <v>0</v>
      </c>
      <c r="J839" t="s">
        <v>6174</v>
      </c>
      <c r="K839" s="35" t="s">
        <v>968</v>
      </c>
      <c r="L839" s="35" t="s">
        <v>6173</v>
      </c>
      <c r="M839" s="39" t="str">
        <f>HYPERLINK("http://dx.doi.org/10.1002/ps.473","10.1002/ps.473")</f>
        <v>10.1002/ps.473</v>
      </c>
      <c r="N839" s="40" t="s">
        <v>1028</v>
      </c>
      <c r="O839" s="40" t="s">
        <v>746</v>
      </c>
      <c r="P839" s="40" t="s">
        <v>6175</v>
      </c>
      <c r="Q839" t="s">
        <v>316</v>
      </c>
    </row>
    <row r="840" spans="1:17" x14ac:dyDescent="0.25">
      <c r="A840" s="2" t="str">
        <f>HYPERLINK("https://www.ncbi.nlm.nih.gov/pubmed/11787782","11787782")</f>
        <v>11787782</v>
      </c>
      <c r="B840">
        <f t="shared" si="54"/>
        <v>4</v>
      </c>
      <c r="C840">
        <f t="shared" si="54"/>
        <v>3</v>
      </c>
      <c r="D840">
        <f t="shared" si="54"/>
        <v>0</v>
      </c>
      <c r="E840">
        <f t="shared" si="55"/>
        <v>7</v>
      </c>
      <c r="F840">
        <v>2001</v>
      </c>
      <c r="G840" t="s">
        <v>6188</v>
      </c>
      <c r="H840">
        <v>0</v>
      </c>
      <c r="I840" s="65">
        <v>0</v>
      </c>
      <c r="J840" t="s">
        <v>6190</v>
      </c>
      <c r="K840" s="35" t="s">
        <v>4754</v>
      </c>
      <c r="L840" s="35" t="s">
        <v>6189</v>
      </c>
      <c r="M840" s="39" t="str">
        <f>HYPERLINK("http://dx.doi.org/","")</f>
        <v/>
      </c>
      <c r="N840" s="40" t="s">
        <v>6191</v>
      </c>
      <c r="O840" s="40" t="s">
        <v>737</v>
      </c>
      <c r="P840" s="40" t="s">
        <v>6192</v>
      </c>
      <c r="Q840" t="s">
        <v>316</v>
      </c>
    </row>
    <row r="841" spans="1:17" x14ac:dyDescent="0.25">
      <c r="A841" s="2" t="str">
        <f>HYPERLINK("https://www.ncbi.nlm.nih.gov/pubmed/11250875","11250875")</f>
        <v>11250875</v>
      </c>
      <c r="B841">
        <f t="shared" si="54"/>
        <v>4</v>
      </c>
      <c r="C841">
        <f t="shared" si="54"/>
        <v>0</v>
      </c>
      <c r="D841">
        <f t="shared" si="54"/>
        <v>0</v>
      </c>
      <c r="E841">
        <f t="shared" si="55"/>
        <v>4</v>
      </c>
      <c r="F841">
        <v>2001</v>
      </c>
      <c r="G841" t="s">
        <v>6301</v>
      </c>
      <c r="H841">
        <v>0</v>
      </c>
      <c r="I841" s="64" t="str">
        <f>HYPERLINK("https://www.ncbi.nlm.nih.gov/research/pubtator/?view=docsum&amp;query=PMC1572670","1")</f>
        <v>1</v>
      </c>
      <c r="J841" t="s">
        <v>6302</v>
      </c>
      <c r="K841" s="35" t="s">
        <v>1873</v>
      </c>
      <c r="L841" s="35" t="s">
        <v>7251</v>
      </c>
      <c r="M841" s="39" t="str">
        <f>HYPERLINK("http://dx.doi.org/10.1038/sj.bjp.0703937","10.1038/sj.bjp.0703937")</f>
        <v>10.1038/sj.bjp.0703937</v>
      </c>
      <c r="N841" s="40" t="s">
        <v>6303</v>
      </c>
      <c r="O841" s="40" t="s">
        <v>741</v>
      </c>
      <c r="P841" s="40" t="s">
        <v>6304</v>
      </c>
      <c r="Q841" t="s">
        <v>316</v>
      </c>
    </row>
    <row r="842" spans="1:17" x14ac:dyDescent="0.25">
      <c r="A842" s="2" t="str">
        <f>HYPERLINK("https://www.ncbi.nlm.nih.gov/pubmed/10872863","10872863")</f>
        <v>10872863</v>
      </c>
      <c r="B842">
        <f t="shared" si="54"/>
        <v>4</v>
      </c>
      <c r="C842">
        <f t="shared" si="54"/>
        <v>0</v>
      </c>
      <c r="D842">
        <f t="shared" si="54"/>
        <v>0</v>
      </c>
      <c r="E842">
        <f t="shared" si="55"/>
        <v>4</v>
      </c>
      <c r="F842">
        <v>2000</v>
      </c>
      <c r="G842" t="s">
        <v>6355</v>
      </c>
      <c r="H842">
        <v>0</v>
      </c>
      <c r="I842" s="65">
        <v>0</v>
      </c>
      <c r="J842" t="s">
        <v>6357</v>
      </c>
      <c r="K842" s="35" t="s">
        <v>1466</v>
      </c>
      <c r="L842" s="35" t="s">
        <v>6356</v>
      </c>
      <c r="M842" s="39" t="str">
        <f>HYPERLINK("http://dx.doi.org/10.1046/j.1365-2915.2000.00222.x","10.1046/j.1365-2915.2000.00222.x")</f>
        <v>10.1046/j.1365-2915.2000.00222.x</v>
      </c>
      <c r="N842" s="40" t="s">
        <v>871</v>
      </c>
      <c r="O842" s="40" t="s">
        <v>744</v>
      </c>
      <c r="P842" s="40" t="s">
        <v>6358</v>
      </c>
      <c r="Q842" t="s">
        <v>316</v>
      </c>
    </row>
    <row r="843" spans="1:17" x14ac:dyDescent="0.25">
      <c r="A843" s="2" t="str">
        <f>HYPERLINK("https://www.ncbi.nlm.nih.gov/pubmed/10759321","10759321")</f>
        <v>10759321</v>
      </c>
      <c r="B843">
        <f t="shared" si="54"/>
        <v>4</v>
      </c>
      <c r="C843">
        <f t="shared" si="54"/>
        <v>0</v>
      </c>
      <c r="D843">
        <f t="shared" si="54"/>
        <v>0</v>
      </c>
      <c r="E843">
        <f t="shared" si="55"/>
        <v>4</v>
      </c>
      <c r="F843">
        <v>2000</v>
      </c>
      <c r="G843" t="s">
        <v>6366</v>
      </c>
      <c r="H843">
        <v>0</v>
      </c>
      <c r="I843" s="65">
        <v>0</v>
      </c>
      <c r="J843" t="s">
        <v>6368</v>
      </c>
      <c r="K843" s="35" t="s">
        <v>1466</v>
      </c>
      <c r="L843" s="35" t="s">
        <v>6367</v>
      </c>
      <c r="M843" s="39" t="str">
        <f>HYPERLINK("http://dx.doi.org/10.1046/j.1365-2915.2000.00216.x","10.1046/j.1365-2915.2000.00216.x")</f>
        <v>10.1046/j.1365-2915.2000.00216.x</v>
      </c>
      <c r="N843" s="40" t="s">
        <v>871</v>
      </c>
      <c r="O843" s="40" t="s">
        <v>638</v>
      </c>
      <c r="P843" s="40" t="s">
        <v>6369</v>
      </c>
      <c r="Q843" t="s">
        <v>316</v>
      </c>
    </row>
    <row r="844" spans="1:17" x14ac:dyDescent="0.25">
      <c r="A844" s="2" t="str">
        <f>HYPERLINK("https://www.ncbi.nlm.nih.gov/pubmed/10672544","10672544")</f>
        <v>10672544</v>
      </c>
      <c r="B844">
        <f t="shared" ref="B844:D863" si="56">IF(ISBLANK(B$3),0,(LEN($L844) - LEN(SUBSTITUTE(LOWER($L844),LOWER(B$3),"")))/LEN(B$3))</f>
        <v>4</v>
      </c>
      <c r="C844">
        <f t="shared" si="56"/>
        <v>0</v>
      </c>
      <c r="D844">
        <f t="shared" si="56"/>
        <v>0</v>
      </c>
      <c r="E844">
        <f t="shared" si="55"/>
        <v>4</v>
      </c>
      <c r="F844">
        <v>1999</v>
      </c>
      <c r="G844" t="s">
        <v>6377</v>
      </c>
      <c r="H844">
        <v>0</v>
      </c>
      <c r="I844" s="65">
        <v>0</v>
      </c>
      <c r="J844" t="s">
        <v>6379</v>
      </c>
      <c r="K844" s="35" t="s">
        <v>1507</v>
      </c>
      <c r="L844" s="35" t="s">
        <v>6378</v>
      </c>
      <c r="M844" s="39" t="str">
        <f>HYPERLINK("http://dx.doi.org/","")</f>
        <v/>
      </c>
      <c r="N844" s="40" t="s">
        <v>1188</v>
      </c>
      <c r="O844" s="40" t="s">
        <v>744</v>
      </c>
      <c r="P844" s="40" t="s">
        <v>6380</v>
      </c>
      <c r="Q844" t="s">
        <v>316</v>
      </c>
    </row>
    <row r="845" spans="1:17" x14ac:dyDescent="0.25">
      <c r="A845" s="2" t="str">
        <f>HYPERLINK("https://www.ncbi.nlm.nih.gov/pubmed/10508900","10508900")</f>
        <v>10508900</v>
      </c>
      <c r="B845">
        <f t="shared" si="56"/>
        <v>4</v>
      </c>
      <c r="C845">
        <f t="shared" si="56"/>
        <v>0</v>
      </c>
      <c r="D845">
        <f t="shared" si="56"/>
        <v>0</v>
      </c>
      <c r="E845">
        <f t="shared" si="55"/>
        <v>4</v>
      </c>
      <c r="F845">
        <v>1999</v>
      </c>
      <c r="G845" t="s">
        <v>6390</v>
      </c>
      <c r="H845">
        <v>0</v>
      </c>
      <c r="I845" s="65">
        <v>0</v>
      </c>
      <c r="J845" t="s">
        <v>6391</v>
      </c>
      <c r="K845" s="35" t="s">
        <v>1395</v>
      </c>
      <c r="L845" s="35" t="s">
        <v>7260</v>
      </c>
      <c r="M845" s="39" t="str">
        <f>HYPERLINK("http://dx.doi.org/10.1007/s002449900547","10.1007/s002449900547")</f>
        <v>10.1007/s002449900547</v>
      </c>
      <c r="N845" s="40" t="s">
        <v>1869</v>
      </c>
      <c r="O845" s="40" t="s">
        <v>690</v>
      </c>
      <c r="P845" s="40" t="s">
        <v>6392</v>
      </c>
      <c r="Q845" t="s">
        <v>316</v>
      </c>
    </row>
    <row r="846" spans="1:17" x14ac:dyDescent="0.25">
      <c r="A846" s="2" t="str">
        <f>HYPERLINK("https://www.ncbi.nlm.nih.gov/pubmed/9754302","9754302")</f>
        <v>9754302</v>
      </c>
      <c r="B846">
        <f t="shared" si="56"/>
        <v>4</v>
      </c>
      <c r="C846">
        <f t="shared" si="56"/>
        <v>5</v>
      </c>
      <c r="D846">
        <f t="shared" si="56"/>
        <v>0</v>
      </c>
      <c r="E846">
        <f t="shared" si="55"/>
        <v>9</v>
      </c>
      <c r="F846">
        <v>1998</v>
      </c>
      <c r="G846" t="s">
        <v>6414</v>
      </c>
      <c r="H846">
        <v>0</v>
      </c>
      <c r="I846" s="65">
        <v>0</v>
      </c>
      <c r="J846" t="s">
        <v>6415</v>
      </c>
      <c r="K846" s="35" t="s">
        <v>2925</v>
      </c>
      <c r="L846" s="35" t="s">
        <v>7264</v>
      </c>
      <c r="M846" s="39" t="str">
        <f>HYPERLINK("http://dx.doi.org/10.1051/parasite/1998051083","10.1051/parasite/1998051083")</f>
        <v>10.1051/parasite/1998051083</v>
      </c>
      <c r="N846" s="40" t="s">
        <v>746</v>
      </c>
      <c r="O846" s="40" t="s">
        <v>638</v>
      </c>
      <c r="P846" s="40" t="s">
        <v>6409</v>
      </c>
      <c r="Q846" t="s">
        <v>316</v>
      </c>
    </row>
    <row r="847" spans="1:17" x14ac:dyDescent="0.25">
      <c r="A847" s="2" t="str">
        <f>HYPERLINK("https://www.ncbi.nlm.nih.gov/pubmed/9200117","9200117")</f>
        <v>9200117</v>
      </c>
      <c r="B847">
        <f t="shared" si="56"/>
        <v>4</v>
      </c>
      <c r="C847">
        <f t="shared" si="56"/>
        <v>0</v>
      </c>
      <c r="D847">
        <f t="shared" si="56"/>
        <v>0</v>
      </c>
      <c r="E847">
        <f t="shared" si="55"/>
        <v>4</v>
      </c>
      <c r="F847">
        <v>1997</v>
      </c>
      <c r="G847" t="s">
        <v>6454</v>
      </c>
      <c r="H847">
        <v>0</v>
      </c>
      <c r="I847" s="65">
        <v>0</v>
      </c>
      <c r="J847" t="s">
        <v>6456</v>
      </c>
      <c r="K847" s="35" t="s">
        <v>6084</v>
      </c>
      <c r="L847" s="35" t="s">
        <v>6455</v>
      </c>
      <c r="M847" s="39" t="str">
        <f>HYPERLINK("http://dx.doi.org/10.1111/j.1748-5827.1997.tb03364.x","10.1111/j.1748-5827.1997.tb03364.x")</f>
        <v>10.1111/j.1748-5827.1997.tb03364.x</v>
      </c>
      <c r="N847" s="40" t="s">
        <v>3973</v>
      </c>
      <c r="O847" s="40" t="s">
        <v>741</v>
      </c>
      <c r="P847" s="40" t="s">
        <v>6457</v>
      </c>
      <c r="Q847" t="s">
        <v>316</v>
      </c>
    </row>
    <row r="848" spans="1:17" x14ac:dyDescent="0.25">
      <c r="A848" s="2" t="str">
        <f>HYPERLINK("https://www.ncbi.nlm.nih.gov/pubmed/34410442","34410442")</f>
        <v>34410442</v>
      </c>
      <c r="B848">
        <f t="shared" si="56"/>
        <v>3</v>
      </c>
      <c r="C848">
        <f t="shared" si="56"/>
        <v>0</v>
      </c>
      <c r="D848">
        <f t="shared" si="56"/>
        <v>0</v>
      </c>
      <c r="E848">
        <f t="shared" si="55"/>
        <v>3</v>
      </c>
      <c r="F848">
        <v>2021</v>
      </c>
      <c r="G848" t="s">
        <v>772</v>
      </c>
      <c r="H848">
        <v>0</v>
      </c>
      <c r="I848" s="65">
        <v>0</v>
      </c>
      <c r="J848" t="s">
        <v>774</v>
      </c>
      <c r="K848" s="35" t="s">
        <v>775</v>
      </c>
      <c r="L848" s="35" t="s">
        <v>773</v>
      </c>
      <c r="M848" s="39" t="str">
        <f>HYPERLINK("http://dx.doi.org/10.1007/s00216-021-03605-z","10.1007/s00216-021-03605-z")</f>
        <v>10.1007/s00216-021-03605-z</v>
      </c>
      <c r="N848" s="40" t="s">
        <v>383</v>
      </c>
      <c r="O848" s="40" t="s">
        <v>383</v>
      </c>
      <c r="P848" s="40" t="s">
        <v>383</v>
      </c>
      <c r="Q848" t="s">
        <v>316</v>
      </c>
    </row>
    <row r="849" spans="1:17" x14ac:dyDescent="0.25">
      <c r="A849" s="2" t="str">
        <f>HYPERLINK("https://www.ncbi.nlm.nih.gov/pubmed/34388169","34388169")</f>
        <v>34388169</v>
      </c>
      <c r="B849">
        <f t="shared" si="56"/>
        <v>3</v>
      </c>
      <c r="C849">
        <f t="shared" si="56"/>
        <v>1</v>
      </c>
      <c r="D849">
        <f t="shared" si="56"/>
        <v>0</v>
      </c>
      <c r="E849">
        <f t="shared" si="55"/>
        <v>4</v>
      </c>
      <c r="F849">
        <v>2021</v>
      </c>
      <c r="G849" t="s">
        <v>776</v>
      </c>
      <c r="H849">
        <v>0</v>
      </c>
      <c r="I849" s="64" t="str">
        <f>HYPERLINK("https://www.ncbi.nlm.nih.gov/research/pubtator/?view=docsum&amp;query=PMC8362991","1")</f>
        <v>1</v>
      </c>
      <c r="J849" t="s">
        <v>778</v>
      </c>
      <c r="K849" s="35" t="s">
        <v>779</v>
      </c>
      <c r="L849" s="35" t="s">
        <v>777</v>
      </c>
      <c r="M849" s="39" t="str">
        <f>HYPERLINK("http://dx.doi.org/10.1371/journal.pone.0253106","10.1371/journal.pone.0253106")</f>
        <v>10.1371/journal.pone.0253106</v>
      </c>
      <c r="N849" s="40" t="s">
        <v>780</v>
      </c>
      <c r="O849" s="40" t="s">
        <v>781</v>
      </c>
      <c r="P849" s="40" t="s">
        <v>782</v>
      </c>
      <c r="Q849" t="s">
        <v>316</v>
      </c>
    </row>
    <row r="850" spans="1:17" x14ac:dyDescent="0.25">
      <c r="A850" s="2" t="str">
        <f>HYPERLINK("https://www.ncbi.nlm.nih.gov/pubmed/34345985","34345985")</f>
        <v>34345985</v>
      </c>
      <c r="B850">
        <f t="shared" si="56"/>
        <v>3</v>
      </c>
      <c r="C850">
        <f t="shared" si="56"/>
        <v>1</v>
      </c>
      <c r="D850">
        <f t="shared" si="56"/>
        <v>0</v>
      </c>
      <c r="E850">
        <f t="shared" si="55"/>
        <v>4</v>
      </c>
      <c r="F850">
        <v>2021</v>
      </c>
      <c r="G850" t="s">
        <v>808</v>
      </c>
      <c r="H850">
        <v>0</v>
      </c>
      <c r="I850" s="65">
        <v>0</v>
      </c>
      <c r="J850" t="s">
        <v>804</v>
      </c>
      <c r="K850" s="35" t="s">
        <v>810</v>
      </c>
      <c r="L850" s="35" t="s">
        <v>809</v>
      </c>
      <c r="M850" s="39" t="str">
        <f>HYPERLINK("http://dx.doi.org/10.1007/s11356-021-15537-3","10.1007/s11356-021-15537-3")</f>
        <v>10.1007/s11356-021-15537-3</v>
      </c>
      <c r="N850" s="40" t="s">
        <v>383</v>
      </c>
      <c r="O850" s="40" t="s">
        <v>383</v>
      </c>
      <c r="P850" s="40" t="s">
        <v>383</v>
      </c>
      <c r="Q850" t="s">
        <v>316</v>
      </c>
    </row>
    <row r="851" spans="1:17" x14ac:dyDescent="0.25">
      <c r="A851" s="2" t="str">
        <f>HYPERLINK("https://www.ncbi.nlm.nih.gov/pubmed/34340001","34340001")</f>
        <v>34340001</v>
      </c>
      <c r="B851">
        <f t="shared" si="56"/>
        <v>3</v>
      </c>
      <c r="C851">
        <f t="shared" si="56"/>
        <v>0</v>
      </c>
      <c r="D851">
        <f t="shared" si="56"/>
        <v>0</v>
      </c>
      <c r="E851">
        <f t="shared" si="55"/>
        <v>3</v>
      </c>
      <c r="F851">
        <v>2021</v>
      </c>
      <c r="G851" t="s">
        <v>811</v>
      </c>
      <c r="H851">
        <v>0</v>
      </c>
      <c r="I851" s="65">
        <v>0</v>
      </c>
      <c r="J851" t="s">
        <v>812</v>
      </c>
      <c r="K851" s="35" t="s">
        <v>763</v>
      </c>
      <c r="L851" s="35" t="s">
        <v>6532</v>
      </c>
      <c r="M851" s="39" t="str">
        <f>HYPERLINK("http://dx.doi.org/10.1016/j.aquatox.2021.105927","10.1016/j.aquatox.2021.105927")</f>
        <v>10.1016/j.aquatox.2021.105927</v>
      </c>
      <c r="N851" s="40" t="s">
        <v>813</v>
      </c>
      <c r="O851" s="40" t="s">
        <v>383</v>
      </c>
      <c r="P851" s="40" t="s">
        <v>814</v>
      </c>
      <c r="Q851" t="s">
        <v>316</v>
      </c>
    </row>
    <row r="852" spans="1:17" x14ac:dyDescent="0.25">
      <c r="A852" s="2" t="str">
        <f>HYPERLINK("https://www.ncbi.nlm.nih.gov/pubmed/34331772","34331772")</f>
        <v>34331772</v>
      </c>
      <c r="B852">
        <f t="shared" si="56"/>
        <v>3</v>
      </c>
      <c r="C852">
        <f t="shared" si="56"/>
        <v>3</v>
      </c>
      <c r="D852">
        <f t="shared" si="56"/>
        <v>0</v>
      </c>
      <c r="E852">
        <f t="shared" si="55"/>
        <v>6</v>
      </c>
      <c r="F852">
        <v>2021</v>
      </c>
      <c r="G852" t="s">
        <v>815</v>
      </c>
      <c r="H852">
        <v>0</v>
      </c>
      <c r="I852" s="65">
        <v>0</v>
      </c>
      <c r="J852" t="s">
        <v>817</v>
      </c>
      <c r="K852" s="35" t="s">
        <v>818</v>
      </c>
      <c r="L852" s="35" t="s">
        <v>816</v>
      </c>
      <c r="M852" s="39" t="str">
        <f>HYPERLINK("http://dx.doi.org/10.1111/jvp.13004","10.1111/jvp.13004")</f>
        <v>10.1111/jvp.13004</v>
      </c>
      <c r="N852" s="40" t="s">
        <v>383</v>
      </c>
      <c r="O852" s="40" t="s">
        <v>383</v>
      </c>
      <c r="P852" s="40" t="s">
        <v>383</v>
      </c>
      <c r="Q852" t="s">
        <v>316</v>
      </c>
    </row>
    <row r="853" spans="1:17" x14ac:dyDescent="0.25">
      <c r="A853" s="2" t="str">
        <f>HYPERLINK("https://www.ncbi.nlm.nih.gov/pubmed/34182445","34182445")</f>
        <v>34182445</v>
      </c>
      <c r="B853">
        <f t="shared" si="56"/>
        <v>3</v>
      </c>
      <c r="C853">
        <f t="shared" si="56"/>
        <v>0</v>
      </c>
      <c r="D853">
        <f t="shared" si="56"/>
        <v>0</v>
      </c>
      <c r="E853">
        <f t="shared" si="55"/>
        <v>3</v>
      </c>
      <c r="F853">
        <v>2021</v>
      </c>
      <c r="G853" t="s">
        <v>879</v>
      </c>
      <c r="H853">
        <v>0</v>
      </c>
      <c r="I853" s="65">
        <v>0</v>
      </c>
      <c r="J853" t="s">
        <v>880</v>
      </c>
      <c r="K853" s="35" t="s">
        <v>670</v>
      </c>
      <c r="L853" s="35" t="s">
        <v>6539</v>
      </c>
      <c r="M853" s="39" t="str">
        <f>HYPERLINK("http://dx.doi.org/10.1016/j.scitotenv.2021.148453","10.1016/j.scitotenv.2021.148453")</f>
        <v>10.1016/j.scitotenv.2021.148453</v>
      </c>
      <c r="N853" s="40" t="s">
        <v>881</v>
      </c>
      <c r="O853" s="40" t="s">
        <v>383</v>
      </c>
      <c r="P853" s="40" t="s">
        <v>882</v>
      </c>
      <c r="Q853" t="s">
        <v>316</v>
      </c>
    </row>
    <row r="854" spans="1:17" x14ac:dyDescent="0.25">
      <c r="A854" s="2" t="str">
        <f>HYPERLINK("https://www.ncbi.nlm.nih.gov/pubmed/34104957","34104957")</f>
        <v>34104957</v>
      </c>
      <c r="B854">
        <f t="shared" si="56"/>
        <v>3</v>
      </c>
      <c r="C854">
        <f t="shared" si="56"/>
        <v>0</v>
      </c>
      <c r="D854">
        <f t="shared" si="56"/>
        <v>0</v>
      </c>
      <c r="E854">
        <f t="shared" si="55"/>
        <v>3</v>
      </c>
      <c r="F854">
        <v>2021</v>
      </c>
      <c r="G854" t="s">
        <v>906</v>
      </c>
      <c r="H854">
        <v>0</v>
      </c>
      <c r="I854" s="65">
        <v>0</v>
      </c>
      <c r="J854" t="s">
        <v>908</v>
      </c>
      <c r="K854" s="35" t="s">
        <v>909</v>
      </c>
      <c r="L854" s="35" t="s">
        <v>907</v>
      </c>
      <c r="M854" s="39" t="str">
        <f>HYPERLINK("http://dx.doi.org/10.1093/jee/toab104","10.1093/jee/toab104")</f>
        <v>10.1093/jee/toab104</v>
      </c>
      <c r="N854" s="40" t="s">
        <v>910</v>
      </c>
      <c r="O854" s="40" t="s">
        <v>690</v>
      </c>
      <c r="P854" s="40" t="s">
        <v>911</v>
      </c>
      <c r="Q854" t="s">
        <v>316</v>
      </c>
    </row>
    <row r="855" spans="1:17" x14ac:dyDescent="0.25">
      <c r="A855" s="2" t="str">
        <f>HYPERLINK("https://www.ncbi.nlm.nih.gov/pubmed/34054412","34054412")</f>
        <v>34054412</v>
      </c>
      <c r="B855">
        <f t="shared" si="56"/>
        <v>3</v>
      </c>
      <c r="C855">
        <f t="shared" si="56"/>
        <v>3</v>
      </c>
      <c r="D855">
        <f t="shared" si="56"/>
        <v>0</v>
      </c>
      <c r="E855">
        <f t="shared" si="55"/>
        <v>6</v>
      </c>
      <c r="F855">
        <v>2021</v>
      </c>
      <c r="G855" t="s">
        <v>926</v>
      </c>
      <c r="H855">
        <v>0</v>
      </c>
      <c r="I855" s="64" t="str">
        <f>HYPERLINK("https://www.ncbi.nlm.nih.gov/research/pubtator/?view=docsum&amp;query=PMC8163223","1")</f>
        <v>1</v>
      </c>
      <c r="J855" t="s">
        <v>927</v>
      </c>
      <c r="K855" s="35" t="s">
        <v>928</v>
      </c>
      <c r="L855" s="35" t="s">
        <v>6541</v>
      </c>
      <c r="M855" s="39" t="str">
        <f>HYPERLINK("http://dx.doi.org/10.3389/fnins.2021.651471","10.3389/fnins.2021.651471")</f>
        <v>10.3389/fnins.2021.651471</v>
      </c>
      <c r="N855" s="40" t="s">
        <v>929</v>
      </c>
      <c r="O855" s="40" t="s">
        <v>383</v>
      </c>
      <c r="P855" s="40" t="s">
        <v>930</v>
      </c>
      <c r="Q855" t="s">
        <v>316</v>
      </c>
    </row>
    <row r="856" spans="1:17" x14ac:dyDescent="0.25">
      <c r="A856" s="2" t="str">
        <f>HYPERLINK("https://www.ncbi.nlm.nih.gov/pubmed/33946602","33946602")</f>
        <v>33946602</v>
      </c>
      <c r="B856">
        <f t="shared" si="56"/>
        <v>3</v>
      </c>
      <c r="C856">
        <f t="shared" si="56"/>
        <v>7</v>
      </c>
      <c r="D856">
        <f t="shared" si="56"/>
        <v>0</v>
      </c>
      <c r="E856">
        <f t="shared" si="55"/>
        <v>10</v>
      </c>
      <c r="F856">
        <v>2021</v>
      </c>
      <c r="G856" t="s">
        <v>977</v>
      </c>
      <c r="H856">
        <v>0</v>
      </c>
      <c r="I856" s="64" t="str">
        <f>HYPERLINK("https://www.ncbi.nlm.nih.gov/research/pubtator/?view=docsum&amp;query=PMC8147226","1")</f>
        <v>1</v>
      </c>
      <c r="J856" t="s">
        <v>978</v>
      </c>
      <c r="K856" s="35" t="s">
        <v>979</v>
      </c>
      <c r="L856" s="35" t="s">
        <v>6548</v>
      </c>
      <c r="M856" s="39" t="str">
        <f>HYPERLINK("http://dx.doi.org/10.3390/ani11051302","10.3390/ani11051302")</f>
        <v>10.3390/ani11051302</v>
      </c>
      <c r="N856" s="40" t="s">
        <v>678</v>
      </c>
      <c r="O856" s="40" t="s">
        <v>746</v>
      </c>
      <c r="P856" s="40" t="s">
        <v>383</v>
      </c>
      <c r="Q856" t="s">
        <v>316</v>
      </c>
    </row>
    <row r="857" spans="1:17" x14ac:dyDescent="0.25">
      <c r="A857" s="2" t="str">
        <f>HYPERLINK("https://www.ncbi.nlm.nih.gov/pubmed/33870811","33870811")</f>
        <v>33870811</v>
      </c>
      <c r="B857">
        <f t="shared" si="56"/>
        <v>3</v>
      </c>
      <c r="C857">
        <f t="shared" si="56"/>
        <v>1</v>
      </c>
      <c r="D857">
        <f t="shared" si="56"/>
        <v>0</v>
      </c>
      <c r="E857">
        <f t="shared" si="55"/>
        <v>4</v>
      </c>
      <c r="F857">
        <v>2021</v>
      </c>
      <c r="G857" t="s">
        <v>1000</v>
      </c>
      <c r="H857">
        <v>0</v>
      </c>
      <c r="I857" s="65">
        <v>0</v>
      </c>
      <c r="J857" t="s">
        <v>1002</v>
      </c>
      <c r="K857" s="35" t="s">
        <v>1003</v>
      </c>
      <c r="L857" s="35" t="s">
        <v>1001</v>
      </c>
      <c r="M857" s="39" t="str">
        <f>HYPERLINK("http://dx.doi.org/10.1080/01480545.2021.1908751","10.1080/01480545.2021.1908751")</f>
        <v>10.1080/01480545.2021.1908751</v>
      </c>
      <c r="N857" s="40" t="s">
        <v>383</v>
      </c>
      <c r="O857" s="40" t="s">
        <v>383</v>
      </c>
      <c r="P857" s="40" t="s">
        <v>1004</v>
      </c>
      <c r="Q857" t="s">
        <v>316</v>
      </c>
    </row>
    <row r="858" spans="1:17" x14ac:dyDescent="0.25">
      <c r="A858" s="2" t="str">
        <f>HYPERLINK("https://www.ncbi.nlm.nih.gov/pubmed/33631008","33631008")</f>
        <v>33631008</v>
      </c>
      <c r="B858">
        <f t="shared" si="56"/>
        <v>3</v>
      </c>
      <c r="C858">
        <f t="shared" si="56"/>
        <v>1</v>
      </c>
      <c r="D858">
        <f t="shared" si="56"/>
        <v>0</v>
      </c>
      <c r="E858">
        <f t="shared" si="55"/>
        <v>4</v>
      </c>
      <c r="F858">
        <v>2021</v>
      </c>
      <c r="G858" t="s">
        <v>1067</v>
      </c>
      <c r="H858">
        <v>0</v>
      </c>
      <c r="I858" s="65">
        <v>0</v>
      </c>
      <c r="J858" t="s">
        <v>1069</v>
      </c>
      <c r="K858" s="35" t="s">
        <v>1070</v>
      </c>
      <c r="L858" s="35" t="s">
        <v>1068</v>
      </c>
      <c r="M858" s="39" t="str">
        <f>HYPERLINK("http://dx.doi.org/10.7589/JWD-D-20-00161","10.7589/JWD-D-20-00161")</f>
        <v>10.7589/JWD-D-20-00161</v>
      </c>
      <c r="N858" s="40" t="s">
        <v>764</v>
      </c>
      <c r="O858" s="40" t="s">
        <v>744</v>
      </c>
      <c r="P858" s="40" t="s">
        <v>1071</v>
      </c>
      <c r="Q858" t="s">
        <v>316</v>
      </c>
    </row>
    <row r="859" spans="1:17" x14ac:dyDescent="0.25">
      <c r="A859" s="2" t="str">
        <f>HYPERLINK("https://www.ncbi.nlm.nih.gov/pubmed/33446707","33446707")</f>
        <v>33446707</v>
      </c>
      <c r="B859">
        <f t="shared" si="56"/>
        <v>3</v>
      </c>
      <c r="C859">
        <f t="shared" si="56"/>
        <v>3</v>
      </c>
      <c r="D859">
        <f t="shared" si="56"/>
        <v>0</v>
      </c>
      <c r="E859">
        <f t="shared" si="55"/>
        <v>6</v>
      </c>
      <c r="F859">
        <v>2021</v>
      </c>
      <c r="G859" t="s">
        <v>1122</v>
      </c>
      <c r="H859">
        <v>0</v>
      </c>
      <c r="I859" s="64" t="str">
        <f>HYPERLINK("https://www.ncbi.nlm.nih.gov/research/pubtator/?view=docsum&amp;query=PMC7809457","1")</f>
        <v>1</v>
      </c>
      <c r="J859" t="s">
        <v>1123</v>
      </c>
      <c r="K859" s="35" t="s">
        <v>747</v>
      </c>
      <c r="L859" s="35" t="s">
        <v>6560</v>
      </c>
      <c r="M859" s="39" t="str">
        <f>HYPERLINK("http://dx.doi.org/10.1038/s41598-020-79479-5","10.1038/s41598-020-79479-5")</f>
        <v>10.1038/s41598-020-79479-5</v>
      </c>
      <c r="N859" s="40" t="s">
        <v>678</v>
      </c>
      <c r="O859" s="40" t="s">
        <v>638</v>
      </c>
      <c r="P859" s="40" t="s">
        <v>1124</v>
      </c>
      <c r="Q859" t="s">
        <v>316</v>
      </c>
    </row>
    <row r="860" spans="1:17" x14ac:dyDescent="0.25">
      <c r="A860" s="2" t="str">
        <f>HYPERLINK("https://www.ncbi.nlm.nih.gov/pubmed/33379128","33379128")</f>
        <v>33379128</v>
      </c>
      <c r="B860">
        <f t="shared" si="56"/>
        <v>3</v>
      </c>
      <c r="C860">
        <f t="shared" si="56"/>
        <v>0</v>
      </c>
      <c r="D860">
        <f t="shared" si="56"/>
        <v>0</v>
      </c>
      <c r="E860">
        <f t="shared" si="55"/>
        <v>3</v>
      </c>
      <c r="F860">
        <v>2021</v>
      </c>
      <c r="G860" t="s">
        <v>1160</v>
      </c>
      <c r="H860">
        <v>0</v>
      </c>
      <c r="I860" s="65">
        <v>0</v>
      </c>
      <c r="J860" t="s">
        <v>1161</v>
      </c>
      <c r="K860" s="35" t="s">
        <v>1162</v>
      </c>
      <c r="L860" s="35" t="s">
        <v>6568</v>
      </c>
      <c r="M860" s="39" t="str">
        <f>HYPERLINK("http://dx.doi.org/10.1016/j.talanta.2020.121929","10.1016/j.talanta.2020.121929")</f>
        <v>10.1016/j.talanta.2020.121929</v>
      </c>
      <c r="N860" s="40" t="s">
        <v>1163</v>
      </c>
      <c r="O860" s="40" t="s">
        <v>383</v>
      </c>
      <c r="P860" s="40" t="s">
        <v>1164</v>
      </c>
      <c r="Q860" t="s">
        <v>316</v>
      </c>
    </row>
    <row r="861" spans="1:17" x14ac:dyDescent="0.25">
      <c r="A861" s="2" t="str">
        <f>HYPERLINK("https://www.ncbi.nlm.nih.gov/pubmed/33129346","33129346")</f>
        <v>33129346</v>
      </c>
      <c r="B861">
        <f t="shared" si="56"/>
        <v>3</v>
      </c>
      <c r="C861">
        <f t="shared" si="56"/>
        <v>0</v>
      </c>
      <c r="D861">
        <f t="shared" si="56"/>
        <v>0</v>
      </c>
      <c r="E861">
        <f t="shared" si="55"/>
        <v>3</v>
      </c>
      <c r="F861">
        <v>2020</v>
      </c>
      <c r="G861" t="s">
        <v>1249</v>
      </c>
      <c r="H861">
        <v>0</v>
      </c>
      <c r="I861" s="64" t="str">
        <f>HYPERLINK("https://www.ncbi.nlm.nih.gov/research/pubtator/?view=docsum&amp;query=PMC7602296","1")</f>
        <v>1</v>
      </c>
      <c r="J861" t="s">
        <v>1250</v>
      </c>
      <c r="K861" s="35" t="s">
        <v>870</v>
      </c>
      <c r="L861" s="35" t="s">
        <v>6580</v>
      </c>
      <c r="M861" s="39" t="str">
        <f>HYPERLINK("http://dx.doi.org/10.1186/s13071-020-04415-5","10.1186/s13071-020-04415-5")</f>
        <v>10.1186/s13071-020-04415-5</v>
      </c>
      <c r="N861" s="40" t="s">
        <v>742</v>
      </c>
      <c r="O861" s="40" t="s">
        <v>638</v>
      </c>
      <c r="P861" s="40" t="s">
        <v>1251</v>
      </c>
      <c r="Q861" t="s">
        <v>316</v>
      </c>
    </row>
    <row r="862" spans="1:17" x14ac:dyDescent="0.25">
      <c r="A862" s="2" t="str">
        <f>HYPERLINK("https://www.ncbi.nlm.nih.gov/pubmed/33019596","33019596")</f>
        <v>33019596</v>
      </c>
      <c r="B862">
        <f t="shared" si="56"/>
        <v>3</v>
      </c>
      <c r="C862">
        <f t="shared" si="56"/>
        <v>0</v>
      </c>
      <c r="D862">
        <f t="shared" si="56"/>
        <v>0</v>
      </c>
      <c r="E862">
        <f t="shared" si="55"/>
        <v>3</v>
      </c>
      <c r="F862">
        <v>2020</v>
      </c>
      <c r="G862" t="s">
        <v>1315</v>
      </c>
      <c r="H862">
        <v>0</v>
      </c>
      <c r="I862" s="64" t="str">
        <f>HYPERLINK("https://www.ncbi.nlm.nih.gov/research/pubtator/?view=docsum&amp;query=PMC7600883","1")</f>
        <v>1</v>
      </c>
      <c r="J862" t="s">
        <v>1317</v>
      </c>
      <c r="K862" s="35" t="s">
        <v>1318</v>
      </c>
      <c r="L862" s="35" t="s">
        <v>1316</v>
      </c>
      <c r="M862" s="39" t="str">
        <f>HYPERLINK("http://dx.doi.org/10.3390/antiox9100944","10.3390/antiox9100944")</f>
        <v>10.3390/antiox9100944</v>
      </c>
      <c r="N862" s="40" t="s">
        <v>660</v>
      </c>
      <c r="O862" s="40" t="s">
        <v>802</v>
      </c>
      <c r="P862" s="40" t="s">
        <v>383</v>
      </c>
      <c r="Q862" t="s">
        <v>316</v>
      </c>
    </row>
    <row r="863" spans="1:17" x14ac:dyDescent="0.25">
      <c r="A863" s="2" t="str">
        <f>HYPERLINK("https://www.ncbi.nlm.nih.gov/pubmed/32980057","32980057")</f>
        <v>32980057</v>
      </c>
      <c r="B863">
        <f t="shared" si="56"/>
        <v>3</v>
      </c>
      <c r="C863">
        <f t="shared" si="56"/>
        <v>0</v>
      </c>
      <c r="D863">
        <f t="shared" si="56"/>
        <v>0</v>
      </c>
      <c r="E863">
        <f t="shared" si="55"/>
        <v>3</v>
      </c>
      <c r="F863">
        <v>2020</v>
      </c>
      <c r="G863" t="s">
        <v>1334</v>
      </c>
      <c r="H863">
        <v>0</v>
      </c>
      <c r="I863" s="65">
        <v>0</v>
      </c>
      <c r="J863" t="s">
        <v>1335</v>
      </c>
      <c r="K863" s="35" t="s">
        <v>831</v>
      </c>
      <c r="L863" s="35" t="s">
        <v>6591</v>
      </c>
      <c r="M863" s="39" t="str">
        <f>HYPERLINK("http://dx.doi.org/10.1016/j.pestbp.2020.104699","10.1016/j.pestbp.2020.104699")</f>
        <v>10.1016/j.pestbp.2020.104699</v>
      </c>
      <c r="N863" s="40" t="s">
        <v>1313</v>
      </c>
      <c r="O863" s="40" t="s">
        <v>383</v>
      </c>
      <c r="P863" s="40" t="s">
        <v>1336</v>
      </c>
      <c r="Q863" t="s">
        <v>316</v>
      </c>
    </row>
    <row r="864" spans="1:17" x14ac:dyDescent="0.25">
      <c r="A864" s="2" t="str">
        <f>HYPERLINK("https://www.ncbi.nlm.nih.gov/pubmed/32784929","32784929")</f>
        <v>32784929</v>
      </c>
      <c r="B864">
        <f t="shared" ref="B864:D883" si="57">IF(ISBLANK(B$3),0,(LEN($L864) - LEN(SUBSTITUTE(LOWER($L864),LOWER(B$3),"")))/LEN(B$3))</f>
        <v>3</v>
      </c>
      <c r="C864">
        <f t="shared" si="57"/>
        <v>1</v>
      </c>
      <c r="D864">
        <f t="shared" si="57"/>
        <v>0</v>
      </c>
      <c r="E864">
        <f t="shared" si="55"/>
        <v>4</v>
      </c>
      <c r="F864">
        <v>2020</v>
      </c>
      <c r="G864" t="s">
        <v>1421</v>
      </c>
      <c r="H864">
        <v>0</v>
      </c>
      <c r="I864" s="64" t="str">
        <f>HYPERLINK("https://www.ncbi.nlm.nih.gov/research/pubtator/?view=docsum&amp;query=PMC7461054","1")</f>
        <v>1</v>
      </c>
      <c r="J864" t="s">
        <v>1422</v>
      </c>
      <c r="K864" s="35" t="s">
        <v>1423</v>
      </c>
      <c r="L864" s="35" t="s">
        <v>6605</v>
      </c>
      <c r="M864" s="39" t="str">
        <f>HYPERLINK("http://dx.doi.org/10.3390/ijms21165711","10.3390/ijms21165711")</f>
        <v>10.3390/ijms21165711</v>
      </c>
      <c r="N864" s="40" t="s">
        <v>1364</v>
      </c>
      <c r="O864" s="40" t="s">
        <v>780</v>
      </c>
      <c r="P864" s="40" t="s">
        <v>383</v>
      </c>
      <c r="Q864" t="s">
        <v>316</v>
      </c>
    </row>
    <row r="865" spans="1:17" x14ac:dyDescent="0.25">
      <c r="A865" s="2" t="str">
        <f>HYPERLINK("https://www.ncbi.nlm.nih.gov/pubmed/32736301","32736301")</f>
        <v>32736301</v>
      </c>
      <c r="B865">
        <f t="shared" si="57"/>
        <v>3</v>
      </c>
      <c r="C865">
        <f t="shared" si="57"/>
        <v>0</v>
      </c>
      <c r="D865">
        <f t="shared" si="57"/>
        <v>0</v>
      </c>
      <c r="E865">
        <f t="shared" si="55"/>
        <v>3</v>
      </c>
      <c r="F865">
        <v>2020</v>
      </c>
      <c r="G865" t="s">
        <v>1444</v>
      </c>
      <c r="H865">
        <v>0</v>
      </c>
      <c r="I865" s="65">
        <v>0</v>
      </c>
      <c r="J865" t="s">
        <v>1445</v>
      </c>
      <c r="K865" s="35" t="s">
        <v>1052</v>
      </c>
      <c r="L865" s="35" t="s">
        <v>6610</v>
      </c>
      <c r="M865" s="39" t="str">
        <f>HYPERLINK("http://dx.doi.org/10.1016/j.vetpar.2020.109192","10.1016/j.vetpar.2020.109192")</f>
        <v>10.1016/j.vetpar.2020.109192</v>
      </c>
      <c r="N865" s="40" t="s">
        <v>942</v>
      </c>
      <c r="O865" s="40" t="s">
        <v>383</v>
      </c>
      <c r="P865" s="40" t="s">
        <v>1446</v>
      </c>
      <c r="Q865" t="s">
        <v>316</v>
      </c>
    </row>
    <row r="866" spans="1:17" x14ac:dyDescent="0.25">
      <c r="A866" s="2" t="str">
        <f>HYPERLINK("https://www.ncbi.nlm.nih.gov/pubmed/32432968","32432968")</f>
        <v>32432968</v>
      </c>
      <c r="B866">
        <f t="shared" si="57"/>
        <v>3</v>
      </c>
      <c r="C866">
        <f t="shared" si="57"/>
        <v>0</v>
      </c>
      <c r="D866">
        <f t="shared" si="57"/>
        <v>0</v>
      </c>
      <c r="E866">
        <f t="shared" si="55"/>
        <v>3</v>
      </c>
      <c r="F866">
        <v>2020</v>
      </c>
      <c r="G866" t="s">
        <v>1521</v>
      </c>
      <c r="H866">
        <v>0</v>
      </c>
      <c r="I866" s="65">
        <v>0</v>
      </c>
      <c r="J866" t="s">
        <v>1523</v>
      </c>
      <c r="K866" s="35" t="s">
        <v>1413</v>
      </c>
      <c r="L866" s="35" t="s">
        <v>1522</v>
      </c>
      <c r="M866" s="39" t="str">
        <f>HYPERLINK("http://dx.doi.org/10.1080/03601234.2020.1766898","10.1080/03601234.2020.1766898")</f>
        <v>10.1080/03601234.2020.1766898</v>
      </c>
      <c r="N866" s="40" t="s">
        <v>1059</v>
      </c>
      <c r="O866" s="40" t="s">
        <v>781</v>
      </c>
      <c r="P866" s="40" t="s">
        <v>1524</v>
      </c>
      <c r="Q866" t="s">
        <v>316</v>
      </c>
    </row>
    <row r="867" spans="1:17" x14ac:dyDescent="0.25">
      <c r="A867" s="2" t="str">
        <f>HYPERLINK("https://www.ncbi.nlm.nih.gov/pubmed/32413496","32413496")</f>
        <v>32413496</v>
      </c>
      <c r="B867">
        <f t="shared" si="57"/>
        <v>3</v>
      </c>
      <c r="C867">
        <f t="shared" si="57"/>
        <v>0</v>
      </c>
      <c r="D867">
        <f t="shared" si="57"/>
        <v>0</v>
      </c>
      <c r="E867">
        <f t="shared" si="55"/>
        <v>3</v>
      </c>
      <c r="F867">
        <v>2020</v>
      </c>
      <c r="G867" t="s">
        <v>1528</v>
      </c>
      <c r="H867">
        <v>0</v>
      </c>
      <c r="I867" s="65">
        <v>0</v>
      </c>
      <c r="J867" t="s">
        <v>1302</v>
      </c>
      <c r="K867" s="35" t="s">
        <v>1530</v>
      </c>
      <c r="L867" s="35" t="s">
        <v>1529</v>
      </c>
      <c r="M867" s="39" t="str">
        <f>HYPERLINK("http://dx.doi.org/10.1016/j.etap.2020.103408","10.1016/j.etap.2020.103408")</f>
        <v>10.1016/j.etap.2020.103408</v>
      </c>
      <c r="N867" s="40" t="s">
        <v>1396</v>
      </c>
      <c r="O867" s="40" t="s">
        <v>383</v>
      </c>
      <c r="P867" s="40" t="s">
        <v>1531</v>
      </c>
      <c r="Q867" t="s">
        <v>316</v>
      </c>
    </row>
    <row r="868" spans="1:17" x14ac:dyDescent="0.25">
      <c r="A868" s="2" t="str">
        <f>HYPERLINK("https://www.ncbi.nlm.nih.gov/pubmed/32173298","32173298")</f>
        <v>32173298</v>
      </c>
      <c r="B868">
        <f t="shared" si="57"/>
        <v>3</v>
      </c>
      <c r="C868">
        <f t="shared" si="57"/>
        <v>0</v>
      </c>
      <c r="D868">
        <f t="shared" si="57"/>
        <v>0</v>
      </c>
      <c r="E868">
        <f t="shared" si="55"/>
        <v>3</v>
      </c>
      <c r="F868">
        <v>2020</v>
      </c>
      <c r="G868" t="s">
        <v>1588</v>
      </c>
      <c r="H868">
        <v>0</v>
      </c>
      <c r="I868" s="65">
        <v>0</v>
      </c>
      <c r="J868" t="s">
        <v>1590</v>
      </c>
      <c r="K868" s="35" t="s">
        <v>914</v>
      </c>
      <c r="L868" s="35" t="s">
        <v>1589</v>
      </c>
      <c r="M868" s="39" t="str">
        <f>HYPERLINK("http://dx.doi.org/10.1016/j.ttbdis.2020.101413","10.1016/j.ttbdis.2020.101413")</f>
        <v>10.1016/j.ttbdis.2020.101413</v>
      </c>
      <c r="N868" s="40" t="s">
        <v>678</v>
      </c>
      <c r="O868" s="40" t="s">
        <v>690</v>
      </c>
      <c r="P868" s="40" t="s">
        <v>1591</v>
      </c>
      <c r="Q868" t="s">
        <v>316</v>
      </c>
    </row>
    <row r="869" spans="1:17" x14ac:dyDescent="0.25">
      <c r="A869" s="2" t="str">
        <f>HYPERLINK("https://www.ncbi.nlm.nih.gov/pubmed/32119953","32119953")</f>
        <v>32119953</v>
      </c>
      <c r="B869">
        <f t="shared" si="57"/>
        <v>3</v>
      </c>
      <c r="C869">
        <f t="shared" si="57"/>
        <v>0</v>
      </c>
      <c r="D869">
        <f t="shared" si="57"/>
        <v>0</v>
      </c>
      <c r="E869">
        <f t="shared" si="55"/>
        <v>3</v>
      </c>
      <c r="F869">
        <v>2020</v>
      </c>
      <c r="G869" t="s">
        <v>1614</v>
      </c>
      <c r="H869">
        <v>0</v>
      </c>
      <c r="I869" s="65">
        <v>0</v>
      </c>
      <c r="J869" t="s">
        <v>1615</v>
      </c>
      <c r="K869" s="35" t="s">
        <v>1616</v>
      </c>
      <c r="L869" s="35" t="s">
        <v>6632</v>
      </c>
      <c r="M869" s="39" t="str">
        <f>HYPERLINK("http://dx.doi.org/10.1016/j.jip.2020.107348","10.1016/j.jip.2020.107348")</f>
        <v>10.1016/j.jip.2020.107348</v>
      </c>
      <c r="N869" s="40" t="s">
        <v>725</v>
      </c>
      <c r="O869" s="40" t="s">
        <v>383</v>
      </c>
      <c r="P869" s="40" t="s">
        <v>1617</v>
      </c>
      <c r="Q869" t="s">
        <v>316</v>
      </c>
    </row>
    <row r="870" spans="1:17" x14ac:dyDescent="0.25">
      <c r="A870" s="2" t="str">
        <f>HYPERLINK("https://www.ncbi.nlm.nih.gov/pubmed/32042077","32042077")</f>
        <v>32042077</v>
      </c>
      <c r="B870">
        <f t="shared" si="57"/>
        <v>3</v>
      </c>
      <c r="C870">
        <f t="shared" si="57"/>
        <v>0</v>
      </c>
      <c r="D870">
        <f t="shared" si="57"/>
        <v>0</v>
      </c>
      <c r="E870">
        <f t="shared" si="55"/>
        <v>3</v>
      </c>
      <c r="F870">
        <v>2020</v>
      </c>
      <c r="G870" t="s">
        <v>1635</v>
      </c>
      <c r="H870">
        <v>0</v>
      </c>
      <c r="I870" s="64" t="str">
        <f>HYPERLINK("https://www.ncbi.nlm.nih.gov/research/pubtator/?view=docsum&amp;query=PMC7010795","1")</f>
        <v>1</v>
      </c>
      <c r="J870" t="s">
        <v>1636</v>
      </c>
      <c r="K870" s="35" t="s">
        <v>747</v>
      </c>
      <c r="L870" s="35" t="s">
        <v>6635</v>
      </c>
      <c r="M870" s="39" t="str">
        <f>HYPERLINK("http://dx.doi.org/10.1038/s41598-020-59070-8","10.1038/s41598-020-59070-8")</f>
        <v>10.1038/s41598-020-59070-8</v>
      </c>
      <c r="N870" s="40" t="s">
        <v>802</v>
      </c>
      <c r="O870" s="40" t="s">
        <v>638</v>
      </c>
      <c r="P870" s="40" t="s">
        <v>1637</v>
      </c>
      <c r="Q870" t="s">
        <v>316</v>
      </c>
    </row>
    <row r="871" spans="1:17" x14ac:dyDescent="0.25">
      <c r="A871" s="2" t="str">
        <f>HYPERLINK("https://www.ncbi.nlm.nih.gov/pubmed/31986037","31986037")</f>
        <v>31986037</v>
      </c>
      <c r="B871">
        <f t="shared" si="57"/>
        <v>3</v>
      </c>
      <c r="C871">
        <f t="shared" si="57"/>
        <v>0</v>
      </c>
      <c r="D871">
        <f t="shared" si="57"/>
        <v>0</v>
      </c>
      <c r="E871">
        <f t="shared" si="55"/>
        <v>3</v>
      </c>
      <c r="F871">
        <v>2020</v>
      </c>
      <c r="G871" t="s">
        <v>1638</v>
      </c>
      <c r="H871">
        <v>0</v>
      </c>
      <c r="I871" s="65">
        <v>0</v>
      </c>
      <c r="J871" t="s">
        <v>1640</v>
      </c>
      <c r="K871" s="35" t="s">
        <v>770</v>
      </c>
      <c r="L871" s="35" t="s">
        <v>1639</v>
      </c>
      <c r="M871" s="39" t="str">
        <f>HYPERLINK("http://dx.doi.org/10.1021/acs.jafc.9b05860","10.1021/acs.jafc.9b05860")</f>
        <v>10.1021/acs.jafc.9b05860</v>
      </c>
      <c r="N871" s="40" t="s">
        <v>1200</v>
      </c>
      <c r="O871" s="40" t="s">
        <v>748</v>
      </c>
      <c r="P871" s="40" t="s">
        <v>1641</v>
      </c>
      <c r="Q871" t="s">
        <v>316</v>
      </c>
    </row>
    <row r="872" spans="1:17" x14ac:dyDescent="0.25">
      <c r="A872" s="2" t="str">
        <f>HYPERLINK("https://www.ncbi.nlm.nih.gov/pubmed/31817840","31817840")</f>
        <v>31817840</v>
      </c>
      <c r="B872">
        <f t="shared" si="57"/>
        <v>3</v>
      </c>
      <c r="C872">
        <f t="shared" si="57"/>
        <v>0</v>
      </c>
      <c r="D872">
        <f t="shared" si="57"/>
        <v>0</v>
      </c>
      <c r="E872">
        <f t="shared" si="55"/>
        <v>3</v>
      </c>
      <c r="F872">
        <v>2019</v>
      </c>
      <c r="G872" t="s">
        <v>1711</v>
      </c>
      <c r="H872">
        <v>0</v>
      </c>
      <c r="I872" s="64" t="str">
        <f>HYPERLINK("https://www.ncbi.nlm.nih.gov/research/pubtator/?view=docsum&amp;query=PMC6958381","1")</f>
        <v>1</v>
      </c>
      <c r="J872" t="s">
        <v>1713</v>
      </c>
      <c r="K872" s="35" t="s">
        <v>1714</v>
      </c>
      <c r="L872" s="35" t="s">
        <v>1712</v>
      </c>
      <c r="M872" s="39" t="str">
        <f>HYPERLINK("http://dx.doi.org/10.3390/vetsci6040100","10.3390/vetsci6040100")</f>
        <v>10.3390/vetsci6040100</v>
      </c>
      <c r="N872" s="40" t="s">
        <v>741</v>
      </c>
      <c r="O872" s="40" t="s">
        <v>690</v>
      </c>
      <c r="P872" s="40" t="s">
        <v>383</v>
      </c>
      <c r="Q872" t="s">
        <v>316</v>
      </c>
    </row>
    <row r="873" spans="1:17" x14ac:dyDescent="0.25">
      <c r="A873" s="2" t="str">
        <f>HYPERLINK("https://www.ncbi.nlm.nih.gov/pubmed/31759041","31759041")</f>
        <v>31759041</v>
      </c>
      <c r="B873">
        <f t="shared" si="57"/>
        <v>3</v>
      </c>
      <c r="C873">
        <f t="shared" si="57"/>
        <v>0</v>
      </c>
      <c r="D873">
        <f t="shared" si="57"/>
        <v>0</v>
      </c>
      <c r="E873">
        <f t="shared" si="55"/>
        <v>3</v>
      </c>
      <c r="F873">
        <v>2020</v>
      </c>
      <c r="G873" t="s">
        <v>1756</v>
      </c>
      <c r="H873">
        <v>0</v>
      </c>
      <c r="I873" s="65">
        <v>0</v>
      </c>
      <c r="J873" t="s">
        <v>1302</v>
      </c>
      <c r="K873" s="35" t="s">
        <v>1303</v>
      </c>
      <c r="L873" s="35" t="s">
        <v>6650</v>
      </c>
      <c r="M873" s="39" t="str">
        <f>HYPERLINK("http://dx.doi.org/10.1016/j.lfs.2019.117078","10.1016/j.lfs.2019.117078")</f>
        <v>10.1016/j.lfs.2019.117078</v>
      </c>
      <c r="N873" s="40" t="s">
        <v>1757</v>
      </c>
      <c r="O873" s="40" t="s">
        <v>383</v>
      </c>
      <c r="P873" s="40" t="s">
        <v>1758</v>
      </c>
      <c r="Q873" t="s">
        <v>316</v>
      </c>
    </row>
    <row r="874" spans="1:17" x14ac:dyDescent="0.25">
      <c r="A874" s="2" t="str">
        <f>HYPERLINK("https://www.ncbi.nlm.nih.gov/pubmed/31725274","31725274")</f>
        <v>31725274</v>
      </c>
      <c r="B874">
        <f t="shared" si="57"/>
        <v>3</v>
      </c>
      <c r="C874">
        <f t="shared" si="57"/>
        <v>0</v>
      </c>
      <c r="D874">
        <f t="shared" si="57"/>
        <v>0</v>
      </c>
      <c r="E874">
        <f t="shared" si="55"/>
        <v>3</v>
      </c>
      <c r="F874">
        <v>2019</v>
      </c>
      <c r="G874" t="s">
        <v>1776</v>
      </c>
      <c r="H874">
        <v>0</v>
      </c>
      <c r="I874" s="65">
        <v>0</v>
      </c>
      <c r="J874" t="s">
        <v>1778</v>
      </c>
      <c r="K874" s="35" t="s">
        <v>770</v>
      </c>
      <c r="L874" s="35" t="s">
        <v>1777</v>
      </c>
      <c r="M874" s="39" t="str">
        <f>HYPERLINK("http://dx.doi.org/10.1021/acs.jafc.9b05083","10.1021/acs.jafc.9b05083")</f>
        <v>10.1021/acs.jafc.9b05083</v>
      </c>
      <c r="N874" s="40" t="s">
        <v>1779</v>
      </c>
      <c r="O874" s="40" t="s">
        <v>1780</v>
      </c>
      <c r="P874" s="40" t="s">
        <v>1781</v>
      </c>
      <c r="Q874" t="s">
        <v>316</v>
      </c>
    </row>
    <row r="875" spans="1:17" x14ac:dyDescent="0.25">
      <c r="A875" s="2" t="str">
        <f>HYPERLINK("https://www.ncbi.nlm.nih.gov/pubmed/31712806","31712806")</f>
        <v>31712806</v>
      </c>
      <c r="B875">
        <f t="shared" si="57"/>
        <v>3</v>
      </c>
      <c r="C875">
        <f t="shared" si="57"/>
        <v>0</v>
      </c>
      <c r="D875">
        <f t="shared" si="57"/>
        <v>0</v>
      </c>
      <c r="E875">
        <f t="shared" si="55"/>
        <v>3</v>
      </c>
      <c r="F875">
        <v>2020</v>
      </c>
      <c r="G875" t="s">
        <v>1787</v>
      </c>
      <c r="H875">
        <v>0</v>
      </c>
      <c r="I875" s="64" t="str">
        <f>HYPERLINK("https://www.ncbi.nlm.nih.gov/research/pubtator/?view=docsum&amp;query=PMC7007702","1")</f>
        <v>1</v>
      </c>
      <c r="J875" t="s">
        <v>1788</v>
      </c>
      <c r="K875" s="35" t="s">
        <v>909</v>
      </c>
      <c r="L875" s="35" t="s">
        <v>6653</v>
      </c>
      <c r="M875" s="39" t="str">
        <f>HYPERLINK("http://dx.doi.org/10.1093/jee/toz293","10.1093/jee/toz293")</f>
        <v>10.1093/jee/toz293</v>
      </c>
      <c r="N875" s="40" t="s">
        <v>1577</v>
      </c>
      <c r="O875" s="40" t="s">
        <v>638</v>
      </c>
      <c r="P875" s="40" t="s">
        <v>1789</v>
      </c>
      <c r="Q875" t="s">
        <v>316</v>
      </c>
    </row>
    <row r="876" spans="1:17" x14ac:dyDescent="0.25">
      <c r="A876" s="2" t="str">
        <f>HYPERLINK("https://www.ncbi.nlm.nih.gov/pubmed/31173418","31173418")</f>
        <v>31173418</v>
      </c>
      <c r="B876">
        <f t="shared" si="57"/>
        <v>3</v>
      </c>
      <c r="C876">
        <f t="shared" si="57"/>
        <v>0</v>
      </c>
      <c r="D876">
        <f t="shared" si="57"/>
        <v>0</v>
      </c>
      <c r="E876">
        <f t="shared" si="55"/>
        <v>3</v>
      </c>
      <c r="F876">
        <v>2019</v>
      </c>
      <c r="G876" t="s">
        <v>1976</v>
      </c>
      <c r="H876">
        <v>0</v>
      </c>
      <c r="I876" s="65">
        <v>0</v>
      </c>
      <c r="J876" t="s">
        <v>1977</v>
      </c>
      <c r="K876" s="35" t="s">
        <v>1978</v>
      </c>
      <c r="L876" s="35" t="s">
        <v>6676</v>
      </c>
      <c r="M876" s="39" t="str">
        <f>HYPERLINK("http://dx.doi.org/10.1002/eap.1945","10.1002/eap.1945")</f>
        <v>10.1002/eap.1945</v>
      </c>
      <c r="N876" s="40" t="s">
        <v>858</v>
      </c>
      <c r="O876" s="40" t="s">
        <v>741</v>
      </c>
      <c r="P876" s="40" t="s">
        <v>1979</v>
      </c>
      <c r="Q876" t="s">
        <v>316</v>
      </c>
    </row>
    <row r="877" spans="1:17" x14ac:dyDescent="0.25">
      <c r="A877" s="2" t="str">
        <f>HYPERLINK("https://www.ncbi.nlm.nih.gov/pubmed/31128394","31128394")</f>
        <v>31128394</v>
      </c>
      <c r="B877">
        <f t="shared" si="57"/>
        <v>3</v>
      </c>
      <c r="C877">
        <f t="shared" si="57"/>
        <v>0</v>
      </c>
      <c r="D877">
        <f t="shared" si="57"/>
        <v>0</v>
      </c>
      <c r="E877">
        <f t="shared" si="55"/>
        <v>3</v>
      </c>
      <c r="F877">
        <v>2019</v>
      </c>
      <c r="G877" t="s">
        <v>2016</v>
      </c>
      <c r="H877">
        <v>0</v>
      </c>
      <c r="I877" s="65">
        <v>0</v>
      </c>
      <c r="J877" t="s">
        <v>2018</v>
      </c>
      <c r="K877" s="35" t="s">
        <v>768</v>
      </c>
      <c r="L877" s="35" t="s">
        <v>2017</v>
      </c>
      <c r="M877" s="39" t="str">
        <f>HYPERLINK("http://dx.doi.org/10.1016/j.jhazmat.2019.05.031","10.1016/j.jhazmat.2019.05.031")</f>
        <v>10.1016/j.jhazmat.2019.05.031</v>
      </c>
      <c r="N877" s="40" t="s">
        <v>2019</v>
      </c>
      <c r="O877" s="40" t="s">
        <v>383</v>
      </c>
      <c r="P877" s="40" t="s">
        <v>2020</v>
      </c>
      <c r="Q877" t="s">
        <v>316</v>
      </c>
    </row>
    <row r="878" spans="1:17" x14ac:dyDescent="0.25">
      <c r="A878" s="2" t="str">
        <f>HYPERLINK("https://www.ncbi.nlm.nih.gov/pubmed/30998960","30998960")</f>
        <v>30998960</v>
      </c>
      <c r="B878">
        <f t="shared" si="57"/>
        <v>3</v>
      </c>
      <c r="C878">
        <f t="shared" si="57"/>
        <v>0</v>
      </c>
      <c r="D878">
        <f t="shared" si="57"/>
        <v>0</v>
      </c>
      <c r="E878">
        <f t="shared" si="55"/>
        <v>3</v>
      </c>
      <c r="F878">
        <v>2019</v>
      </c>
      <c r="G878" t="s">
        <v>2058</v>
      </c>
      <c r="H878">
        <v>0</v>
      </c>
      <c r="I878" s="65">
        <v>0</v>
      </c>
      <c r="J878" t="s">
        <v>2060</v>
      </c>
      <c r="K878" s="35" t="s">
        <v>2061</v>
      </c>
      <c r="L878" s="35" t="s">
        <v>2059</v>
      </c>
      <c r="M878" s="39" t="str">
        <f>HYPERLINK("http://dx.doi.org/10.1016/j.mimet.2019.04.008","10.1016/j.mimet.2019.04.008")</f>
        <v>10.1016/j.mimet.2019.04.008</v>
      </c>
      <c r="N878" s="40" t="s">
        <v>1801</v>
      </c>
      <c r="O878" s="40" t="s">
        <v>383</v>
      </c>
      <c r="P878" s="40" t="s">
        <v>2062</v>
      </c>
      <c r="Q878" t="s">
        <v>316</v>
      </c>
    </row>
    <row r="879" spans="1:17" x14ac:dyDescent="0.25">
      <c r="A879" s="2" t="str">
        <f>HYPERLINK("https://www.ncbi.nlm.nih.gov/pubmed/30537090","30537090")</f>
        <v>30537090</v>
      </c>
      <c r="B879">
        <f t="shared" si="57"/>
        <v>3</v>
      </c>
      <c r="C879">
        <f t="shared" si="57"/>
        <v>0</v>
      </c>
      <c r="D879">
        <f t="shared" si="57"/>
        <v>0</v>
      </c>
      <c r="E879">
        <f t="shared" si="55"/>
        <v>3</v>
      </c>
      <c r="F879">
        <v>2019</v>
      </c>
      <c r="G879" t="s">
        <v>2209</v>
      </c>
      <c r="H879">
        <v>0</v>
      </c>
      <c r="I879" s="65">
        <v>0</v>
      </c>
      <c r="J879" t="s">
        <v>2211</v>
      </c>
      <c r="K879" s="35" t="s">
        <v>968</v>
      </c>
      <c r="L879" s="35" t="s">
        <v>2210</v>
      </c>
      <c r="M879" s="39" t="str">
        <f>HYPERLINK("http://dx.doi.org/10.1002/ps.5295","10.1002/ps.5295")</f>
        <v>10.1002/ps.5295</v>
      </c>
      <c r="N879" s="40" t="s">
        <v>2041</v>
      </c>
      <c r="O879" s="40" t="s">
        <v>741</v>
      </c>
      <c r="P879" s="40" t="s">
        <v>2212</v>
      </c>
      <c r="Q879" t="s">
        <v>316</v>
      </c>
    </row>
    <row r="880" spans="1:17" x14ac:dyDescent="0.25">
      <c r="A880" s="2" t="str">
        <f>HYPERLINK("https://www.ncbi.nlm.nih.gov/pubmed/30065178","30065178")</f>
        <v>30065178</v>
      </c>
      <c r="B880">
        <f t="shared" si="57"/>
        <v>3</v>
      </c>
      <c r="C880">
        <f t="shared" si="57"/>
        <v>0</v>
      </c>
      <c r="D880">
        <f t="shared" si="57"/>
        <v>0</v>
      </c>
      <c r="E880">
        <f t="shared" si="55"/>
        <v>3</v>
      </c>
      <c r="F880">
        <v>2018</v>
      </c>
      <c r="G880" t="s">
        <v>2374</v>
      </c>
      <c r="H880">
        <v>0</v>
      </c>
      <c r="I880" s="64" t="str">
        <f>HYPERLINK("https://www.ncbi.nlm.nih.gov/research/pubtator/?view=docsum&amp;query=PMC6121307","1")</f>
        <v>1</v>
      </c>
      <c r="J880" t="s">
        <v>2376</v>
      </c>
      <c r="K880" s="35" t="s">
        <v>1423</v>
      </c>
      <c r="L880" s="35" t="s">
        <v>2375</v>
      </c>
      <c r="M880" s="39" t="str">
        <f>HYPERLINK("http://dx.doi.org/10.3390/ijms19082235","10.3390/ijms19082235")</f>
        <v>10.3390/ijms19082235</v>
      </c>
      <c r="N880" s="40" t="s">
        <v>1115</v>
      </c>
      <c r="O880" s="40" t="s">
        <v>781</v>
      </c>
      <c r="P880" s="40" t="s">
        <v>383</v>
      </c>
      <c r="Q880" t="s">
        <v>316</v>
      </c>
    </row>
    <row r="881" spans="1:17" x14ac:dyDescent="0.25">
      <c r="A881" s="2" t="str">
        <f>HYPERLINK("https://www.ncbi.nlm.nih.gov/pubmed/30012179","30012179")</f>
        <v>30012179</v>
      </c>
      <c r="B881">
        <f t="shared" si="57"/>
        <v>3</v>
      </c>
      <c r="C881">
        <f t="shared" si="57"/>
        <v>0</v>
      </c>
      <c r="D881">
        <f t="shared" si="57"/>
        <v>0</v>
      </c>
      <c r="E881">
        <f t="shared" si="55"/>
        <v>3</v>
      </c>
      <c r="F881">
        <v>2018</v>
      </c>
      <c r="G881" t="s">
        <v>2391</v>
      </c>
      <c r="H881">
        <v>0</v>
      </c>
      <c r="I881" s="64" t="str">
        <f>HYPERLINK("https://www.ncbi.nlm.nih.gov/research/pubtator/?view=docsum&amp;query=PMC6048810","1")</f>
        <v>1</v>
      </c>
      <c r="J881" t="s">
        <v>2392</v>
      </c>
      <c r="K881" s="35" t="s">
        <v>870</v>
      </c>
      <c r="L881" s="35" t="s">
        <v>6740</v>
      </c>
      <c r="M881" s="39" t="str">
        <f>HYPERLINK("http://dx.doi.org/10.1186/s13071-018-2957-7","10.1186/s13071-018-2957-7")</f>
        <v>10.1186/s13071-018-2957-7</v>
      </c>
      <c r="N881" s="40" t="s">
        <v>678</v>
      </c>
      <c r="O881" s="40" t="s">
        <v>638</v>
      </c>
      <c r="P881" s="40" t="s">
        <v>2393</v>
      </c>
      <c r="Q881" t="s">
        <v>316</v>
      </c>
    </row>
    <row r="882" spans="1:17" x14ac:dyDescent="0.25">
      <c r="A882" s="2" t="str">
        <f>HYPERLINK("https://www.ncbi.nlm.nih.gov/pubmed/29893859","29893859")</f>
        <v>29893859</v>
      </c>
      <c r="B882">
        <f t="shared" si="57"/>
        <v>3</v>
      </c>
      <c r="C882">
        <f t="shared" si="57"/>
        <v>0</v>
      </c>
      <c r="D882">
        <f t="shared" si="57"/>
        <v>0</v>
      </c>
      <c r="E882">
        <f t="shared" si="55"/>
        <v>3</v>
      </c>
      <c r="F882">
        <v>2018</v>
      </c>
      <c r="G882" t="s">
        <v>2435</v>
      </c>
      <c r="H882">
        <v>0</v>
      </c>
      <c r="I882" s="65">
        <v>0</v>
      </c>
      <c r="J882" t="s">
        <v>2437</v>
      </c>
      <c r="K882" s="35" t="s">
        <v>909</v>
      </c>
      <c r="L882" s="35" t="s">
        <v>2436</v>
      </c>
      <c r="M882" s="39" t="str">
        <f>HYPERLINK("http://dx.doi.org/10.1093/jee/toy130","10.1093/jee/toy130")</f>
        <v>10.1093/jee/toy130</v>
      </c>
      <c r="N882" s="40" t="s">
        <v>2301</v>
      </c>
      <c r="O882" s="40" t="s">
        <v>690</v>
      </c>
      <c r="P882" s="40" t="s">
        <v>2438</v>
      </c>
      <c r="Q882" t="s">
        <v>316</v>
      </c>
    </row>
    <row r="883" spans="1:17" x14ac:dyDescent="0.25">
      <c r="A883" s="2" t="str">
        <f>HYPERLINK("https://www.ncbi.nlm.nih.gov/pubmed/29854616","29854616")</f>
        <v>29854616</v>
      </c>
      <c r="B883">
        <f t="shared" si="57"/>
        <v>3</v>
      </c>
      <c r="C883">
        <f t="shared" si="57"/>
        <v>2</v>
      </c>
      <c r="D883">
        <f t="shared" si="57"/>
        <v>0</v>
      </c>
      <c r="E883">
        <f t="shared" si="55"/>
        <v>5</v>
      </c>
      <c r="F883">
        <v>2018</v>
      </c>
      <c r="G883" t="s">
        <v>2445</v>
      </c>
      <c r="H883">
        <v>0</v>
      </c>
      <c r="I883" s="64" t="str">
        <f>HYPERLINK("https://www.ncbi.nlm.nih.gov/research/pubtator/?view=docsum&amp;query=PMC5978010","1")</f>
        <v>1</v>
      </c>
      <c r="J883" t="s">
        <v>2447</v>
      </c>
      <c r="K883" s="35" t="s">
        <v>2448</v>
      </c>
      <c r="L883" s="35" t="s">
        <v>2446</v>
      </c>
      <c r="M883" s="39" t="str">
        <f>HYPERLINK("http://dx.doi.org/10.1016/j.toxrep.2018.02.019","10.1016/j.toxrep.2018.02.019")</f>
        <v>10.1016/j.toxrep.2018.02.019</v>
      </c>
      <c r="N883" s="40" t="s">
        <v>746</v>
      </c>
      <c r="O883" s="40" t="s">
        <v>383</v>
      </c>
      <c r="P883" s="40" t="s">
        <v>2449</v>
      </c>
      <c r="Q883" t="s">
        <v>316</v>
      </c>
    </row>
    <row r="884" spans="1:17" x14ac:dyDescent="0.25">
      <c r="A884" s="2" t="str">
        <f>HYPERLINK("https://www.ncbi.nlm.nih.gov/pubmed/29626991","29626991")</f>
        <v>29626991</v>
      </c>
      <c r="B884">
        <f t="shared" ref="B884:D903" si="58">IF(ISBLANK(B$3),0,(LEN($L884) - LEN(SUBSTITUTE(LOWER($L884),LOWER(B$3),"")))/LEN(B$3))</f>
        <v>3</v>
      </c>
      <c r="C884">
        <f t="shared" si="58"/>
        <v>0</v>
      </c>
      <c r="D884">
        <f t="shared" si="58"/>
        <v>0</v>
      </c>
      <c r="E884">
        <f t="shared" si="55"/>
        <v>3</v>
      </c>
      <c r="F884">
        <v>2018</v>
      </c>
      <c r="G884" t="s">
        <v>2510</v>
      </c>
      <c r="H884">
        <v>0</v>
      </c>
      <c r="I884" s="65">
        <v>0</v>
      </c>
      <c r="J884" t="s">
        <v>2511</v>
      </c>
      <c r="K884" s="35" t="s">
        <v>831</v>
      </c>
      <c r="L884" s="35" t="s">
        <v>6759</v>
      </c>
      <c r="M884" s="39" t="str">
        <f>HYPERLINK("http://dx.doi.org/10.1016/j.pestbp.2018.02.011","10.1016/j.pestbp.2018.02.011")</f>
        <v>10.1016/j.pestbp.2018.02.011</v>
      </c>
      <c r="N884" s="40" t="s">
        <v>891</v>
      </c>
      <c r="O884" s="40" t="s">
        <v>383</v>
      </c>
      <c r="P884" s="40" t="s">
        <v>2512</v>
      </c>
      <c r="Q884" t="s">
        <v>316</v>
      </c>
    </row>
    <row r="885" spans="1:17" x14ac:dyDescent="0.25">
      <c r="A885" s="2" t="str">
        <f>HYPERLINK("https://www.ncbi.nlm.nih.gov/pubmed/29508034","29508034")</f>
        <v>29508034</v>
      </c>
      <c r="B885">
        <f t="shared" si="58"/>
        <v>3</v>
      </c>
      <c r="C885">
        <f t="shared" si="58"/>
        <v>0</v>
      </c>
      <c r="D885">
        <f t="shared" si="58"/>
        <v>0</v>
      </c>
      <c r="E885">
        <f t="shared" si="55"/>
        <v>3</v>
      </c>
      <c r="F885">
        <v>2018</v>
      </c>
      <c r="G885" t="s">
        <v>2524</v>
      </c>
      <c r="H885">
        <v>0</v>
      </c>
      <c r="I885" s="65">
        <v>0</v>
      </c>
      <c r="J885" t="s">
        <v>2525</v>
      </c>
      <c r="K885" s="35" t="s">
        <v>775</v>
      </c>
      <c r="L885" s="35" t="s">
        <v>6761</v>
      </c>
      <c r="M885" s="39" t="str">
        <f>HYPERLINK("http://dx.doi.org/10.1007/s00216-018-0957-2","10.1007/s00216-018-0957-2")</f>
        <v>10.1007/s00216-018-0957-2</v>
      </c>
      <c r="N885" s="40" t="s">
        <v>2352</v>
      </c>
      <c r="O885" s="40" t="s">
        <v>678</v>
      </c>
      <c r="P885" s="40" t="s">
        <v>2526</v>
      </c>
      <c r="Q885" t="s">
        <v>316</v>
      </c>
    </row>
    <row r="886" spans="1:17" x14ac:dyDescent="0.25">
      <c r="A886" s="2" t="str">
        <f>HYPERLINK("https://www.ncbi.nlm.nih.gov/pubmed/29452251","29452251")</f>
        <v>29452251</v>
      </c>
      <c r="B886">
        <f t="shared" si="58"/>
        <v>3</v>
      </c>
      <c r="C886">
        <f t="shared" si="58"/>
        <v>1</v>
      </c>
      <c r="D886">
        <f t="shared" si="58"/>
        <v>0</v>
      </c>
      <c r="E886">
        <f t="shared" si="55"/>
        <v>4</v>
      </c>
      <c r="F886">
        <v>2018</v>
      </c>
      <c r="G886" t="s">
        <v>2539</v>
      </c>
      <c r="H886">
        <v>0</v>
      </c>
      <c r="I886" s="64" t="str">
        <f>HYPERLINK("https://www.ncbi.nlm.nih.gov/research/pubtator/?view=docsum&amp;query=PMC6050052","1")</f>
        <v>1</v>
      </c>
      <c r="J886" t="s">
        <v>2540</v>
      </c>
      <c r="K886" s="35" t="s">
        <v>1936</v>
      </c>
      <c r="L886" s="35" t="s">
        <v>6764</v>
      </c>
      <c r="M886" s="39" t="str">
        <f>HYPERLINK("http://dx.doi.org/10.1016/j.toxlet.2018.02.016","10.1016/j.toxlet.2018.02.016")</f>
        <v>10.1016/j.toxlet.2018.02.016</v>
      </c>
      <c r="N886" s="40" t="s">
        <v>2541</v>
      </c>
      <c r="O886" s="40" t="s">
        <v>383</v>
      </c>
      <c r="P886" s="40" t="s">
        <v>2542</v>
      </c>
      <c r="Q886" t="s">
        <v>316</v>
      </c>
    </row>
    <row r="887" spans="1:17" x14ac:dyDescent="0.25">
      <c r="A887" s="2" t="str">
        <f>HYPERLINK("https://www.ncbi.nlm.nih.gov/pubmed/29190596","29190596")</f>
        <v>29190596</v>
      </c>
      <c r="B887">
        <f t="shared" si="58"/>
        <v>3</v>
      </c>
      <c r="C887">
        <f t="shared" si="58"/>
        <v>0</v>
      </c>
      <c r="D887">
        <f t="shared" si="58"/>
        <v>0</v>
      </c>
      <c r="E887">
        <f t="shared" si="55"/>
        <v>3</v>
      </c>
      <c r="F887">
        <v>2018</v>
      </c>
      <c r="G887" t="s">
        <v>2608</v>
      </c>
      <c r="H887">
        <v>0</v>
      </c>
      <c r="I887" s="65">
        <v>0</v>
      </c>
      <c r="J887" t="s">
        <v>2609</v>
      </c>
      <c r="K887" s="35" t="s">
        <v>714</v>
      </c>
      <c r="L887" s="35" t="s">
        <v>6773</v>
      </c>
      <c r="M887" s="39" t="str">
        <f>HYPERLINK("http://dx.doi.org/10.1016/j.ecoenv.2017.11.028","10.1016/j.ecoenv.2017.11.028")</f>
        <v>10.1016/j.ecoenv.2017.11.028</v>
      </c>
      <c r="N887" s="40" t="s">
        <v>2610</v>
      </c>
      <c r="O887" s="40" t="s">
        <v>383</v>
      </c>
      <c r="P887" s="40" t="s">
        <v>2611</v>
      </c>
      <c r="Q887" t="s">
        <v>316</v>
      </c>
    </row>
    <row r="888" spans="1:17" x14ac:dyDescent="0.25">
      <c r="A888" s="2" t="str">
        <f>HYPERLINK("https://www.ncbi.nlm.nih.gov/pubmed/29124633","29124633")</f>
        <v>29124633</v>
      </c>
      <c r="B888">
        <f t="shared" si="58"/>
        <v>3</v>
      </c>
      <c r="C888">
        <f t="shared" si="58"/>
        <v>0</v>
      </c>
      <c r="D888">
        <f t="shared" si="58"/>
        <v>0</v>
      </c>
      <c r="E888">
        <f t="shared" si="55"/>
        <v>3</v>
      </c>
      <c r="F888">
        <v>2021</v>
      </c>
      <c r="G888" t="s">
        <v>2625</v>
      </c>
      <c r="H888">
        <v>1</v>
      </c>
      <c r="I888" s="64" t="str">
        <f>HYPERLINK("https://www.ncbi.nlm.nih.gov/research/pubtator/?view=docsum&amp;query=PMC7921077","1")</f>
        <v>1</v>
      </c>
      <c r="J888" t="s">
        <v>2626</v>
      </c>
      <c r="K888" s="35" t="s">
        <v>810</v>
      </c>
      <c r="L888" s="35" t="s">
        <v>6778</v>
      </c>
      <c r="M888" s="39" t="str">
        <f>HYPERLINK("http://dx.doi.org/10.1007/s11356-017-0341-3","10.1007/s11356-017-0341-3")</f>
        <v>10.1007/s11356-017-0341-3</v>
      </c>
      <c r="N888" s="40" t="s">
        <v>731</v>
      </c>
      <c r="O888" s="40" t="s">
        <v>802</v>
      </c>
      <c r="P888" s="40" t="s">
        <v>2627</v>
      </c>
      <c r="Q888" t="s">
        <v>316</v>
      </c>
    </row>
    <row r="889" spans="1:17" x14ac:dyDescent="0.25">
      <c r="A889" s="2" t="str">
        <f>HYPERLINK("https://www.ncbi.nlm.nih.gov/pubmed/28939123","28939123")</f>
        <v>28939123</v>
      </c>
      <c r="B889">
        <f t="shared" si="58"/>
        <v>3</v>
      </c>
      <c r="C889">
        <f t="shared" si="58"/>
        <v>0</v>
      </c>
      <c r="D889">
        <f t="shared" si="58"/>
        <v>0</v>
      </c>
      <c r="E889">
        <f t="shared" si="55"/>
        <v>3</v>
      </c>
      <c r="F889">
        <v>2017</v>
      </c>
      <c r="G889" t="s">
        <v>2675</v>
      </c>
      <c r="H889">
        <v>0</v>
      </c>
      <c r="I889" s="65">
        <v>0</v>
      </c>
      <c r="J889" t="s">
        <v>2676</v>
      </c>
      <c r="K889" s="35" t="s">
        <v>707</v>
      </c>
      <c r="L889" s="35" t="s">
        <v>6792</v>
      </c>
      <c r="M889" s="39" t="str">
        <f>HYPERLINK("http://dx.doi.org/10.1016/j.envpol.2017.09.002","10.1016/j.envpol.2017.09.002")</f>
        <v>10.1016/j.envpol.2017.09.002</v>
      </c>
      <c r="N889" s="40" t="s">
        <v>1173</v>
      </c>
      <c r="O889" s="40" t="s">
        <v>2293</v>
      </c>
      <c r="P889" s="40" t="s">
        <v>2677</v>
      </c>
      <c r="Q889" t="s">
        <v>316</v>
      </c>
    </row>
    <row r="890" spans="1:17" x14ac:dyDescent="0.25">
      <c r="A890" s="2" t="str">
        <f>HYPERLINK("https://www.ncbi.nlm.nih.gov/pubmed/28890760","28890760")</f>
        <v>28890760</v>
      </c>
      <c r="B890">
        <f t="shared" si="58"/>
        <v>3</v>
      </c>
      <c r="C890">
        <f t="shared" si="58"/>
        <v>0</v>
      </c>
      <c r="D890">
        <f t="shared" si="58"/>
        <v>0</v>
      </c>
      <c r="E890">
        <f t="shared" si="55"/>
        <v>3</v>
      </c>
      <c r="F890">
        <v>2017</v>
      </c>
      <c r="G890" t="s">
        <v>2690</v>
      </c>
      <c r="H890">
        <v>0</v>
      </c>
      <c r="I890" s="64" t="str">
        <f>HYPERLINK("https://www.ncbi.nlm.nih.gov/research/pubtator/?view=docsum&amp;query=PMC5584836","1")</f>
        <v>1</v>
      </c>
      <c r="J890" t="s">
        <v>2692</v>
      </c>
      <c r="K890" s="35" t="s">
        <v>2127</v>
      </c>
      <c r="L890" s="35" t="s">
        <v>2691</v>
      </c>
      <c r="M890" s="39" t="str">
        <f>HYPERLINK("http://dx.doi.org/10.21315/tlsr2017.28.2.4","10.21315/tlsr2017.28.2.4")</f>
        <v>10.21315/tlsr2017.28.2.4</v>
      </c>
      <c r="N890" s="40" t="s">
        <v>731</v>
      </c>
      <c r="O890" s="40" t="s">
        <v>744</v>
      </c>
      <c r="P890" s="40" t="s">
        <v>2693</v>
      </c>
      <c r="Q890" t="s">
        <v>316</v>
      </c>
    </row>
    <row r="891" spans="1:17" x14ac:dyDescent="0.25">
      <c r="A891" s="2" t="str">
        <f>HYPERLINK("https://www.ncbi.nlm.nih.gov/pubmed/28334316","28334316")</f>
        <v>28334316</v>
      </c>
      <c r="B891">
        <f t="shared" si="58"/>
        <v>3</v>
      </c>
      <c r="C891">
        <f t="shared" si="58"/>
        <v>0</v>
      </c>
      <c r="D891">
        <f t="shared" si="58"/>
        <v>0</v>
      </c>
      <c r="E891">
        <f t="shared" si="55"/>
        <v>3</v>
      </c>
      <c r="F891">
        <v>2017</v>
      </c>
      <c r="G891" t="s">
        <v>2843</v>
      </c>
      <c r="H891">
        <v>0</v>
      </c>
      <c r="I891" s="65">
        <v>0</v>
      </c>
      <c r="J891" t="s">
        <v>2300</v>
      </c>
      <c r="K891" s="35" t="s">
        <v>909</v>
      </c>
      <c r="L891" s="35" t="s">
        <v>6819</v>
      </c>
      <c r="M891" s="39" t="str">
        <f>HYPERLINK("http://dx.doi.org/10.1093/jee/tox072","10.1093/jee/tox072")</f>
        <v>10.1093/jee/tox072</v>
      </c>
      <c r="N891" s="40" t="s">
        <v>766</v>
      </c>
      <c r="O891" s="40" t="s">
        <v>750</v>
      </c>
      <c r="P891" s="40" t="s">
        <v>2844</v>
      </c>
      <c r="Q891" t="s">
        <v>316</v>
      </c>
    </row>
    <row r="892" spans="1:17" x14ac:dyDescent="0.25">
      <c r="A892" s="2" t="str">
        <f>HYPERLINK("https://www.ncbi.nlm.nih.gov/pubmed/28178191","28178191")</f>
        <v>28178191</v>
      </c>
      <c r="B892">
        <f t="shared" si="58"/>
        <v>3</v>
      </c>
      <c r="C892">
        <f t="shared" si="58"/>
        <v>2</v>
      </c>
      <c r="D892">
        <f t="shared" si="58"/>
        <v>0</v>
      </c>
      <c r="E892">
        <f t="shared" si="55"/>
        <v>5</v>
      </c>
      <c r="F892">
        <v>2017</v>
      </c>
      <c r="G892" t="s">
        <v>2877</v>
      </c>
      <c r="H892">
        <v>0</v>
      </c>
      <c r="I892" s="64" t="str">
        <f>HYPERLINK("https://www.ncbi.nlm.nih.gov/research/pubtator/?view=docsum&amp;query=PMC5334708","1")</f>
        <v>1</v>
      </c>
      <c r="J892" t="s">
        <v>2879</v>
      </c>
      <c r="K892" s="35" t="s">
        <v>658</v>
      </c>
      <c r="L892" s="35" t="s">
        <v>2878</v>
      </c>
      <c r="M892" s="39" t="str">
        <f>HYPERLINK("http://dx.doi.org/10.3390/ijerph14020154","10.3390/ijerph14020154")</f>
        <v>10.3390/ijerph14020154</v>
      </c>
      <c r="N892" s="40" t="s">
        <v>871</v>
      </c>
      <c r="O892" s="40" t="s">
        <v>744</v>
      </c>
      <c r="P892" s="40" t="s">
        <v>383</v>
      </c>
      <c r="Q892" t="s">
        <v>316</v>
      </c>
    </row>
    <row r="893" spans="1:17" x14ac:dyDescent="0.25">
      <c r="A893" s="2" t="str">
        <f>HYPERLINK("https://www.ncbi.nlm.nih.gov/pubmed/31014657","31014657")</f>
        <v>31014657</v>
      </c>
      <c r="B893">
        <f t="shared" si="58"/>
        <v>3</v>
      </c>
      <c r="C893">
        <f t="shared" si="58"/>
        <v>0</v>
      </c>
      <c r="D893">
        <f t="shared" si="58"/>
        <v>0</v>
      </c>
      <c r="E893">
        <f t="shared" si="55"/>
        <v>3</v>
      </c>
      <c r="F893">
        <v>2017</v>
      </c>
      <c r="G893" t="s">
        <v>2898</v>
      </c>
      <c r="H893">
        <v>0</v>
      </c>
      <c r="I893" s="65">
        <v>0</v>
      </c>
      <c r="J893" t="s">
        <v>2899</v>
      </c>
      <c r="K893" s="35" t="s">
        <v>2900</v>
      </c>
      <c r="L893" s="35" t="s">
        <v>6832</v>
      </c>
      <c r="M893" s="39" t="str">
        <f>HYPERLINK("http://dx.doi.org/10.1016/j.vprsr.2016.12.005","10.1016/j.vprsr.2016.12.005")</f>
        <v>10.1016/j.vprsr.2016.12.005</v>
      </c>
      <c r="N893" s="40" t="s">
        <v>748</v>
      </c>
      <c r="O893" s="40" t="s">
        <v>383</v>
      </c>
      <c r="P893" s="40" t="s">
        <v>2901</v>
      </c>
      <c r="Q893" t="s">
        <v>316</v>
      </c>
    </row>
    <row r="894" spans="1:17" x14ac:dyDescent="0.25">
      <c r="A894" s="2" t="str">
        <f>HYPERLINK("https://www.ncbi.nlm.nih.gov/pubmed/28011722","28011722")</f>
        <v>28011722</v>
      </c>
      <c r="B894">
        <f t="shared" si="58"/>
        <v>3</v>
      </c>
      <c r="C894">
        <f t="shared" si="58"/>
        <v>0</v>
      </c>
      <c r="D894">
        <f t="shared" si="58"/>
        <v>0</v>
      </c>
      <c r="E894">
        <f t="shared" si="55"/>
        <v>3</v>
      </c>
      <c r="F894">
        <v>2017</v>
      </c>
      <c r="G894" t="s">
        <v>2909</v>
      </c>
      <c r="H894">
        <v>0</v>
      </c>
      <c r="I894" s="64" t="str">
        <f>HYPERLINK("https://www.ncbi.nlm.nih.gov/research/pubtator/?view=docsum&amp;query=PMC5968630","1")</f>
        <v>1</v>
      </c>
      <c r="J894" t="s">
        <v>2910</v>
      </c>
      <c r="K894" s="35" t="s">
        <v>1027</v>
      </c>
      <c r="L894" s="35" t="s">
        <v>6834</v>
      </c>
      <c r="M894" s="39" t="str">
        <f>HYPERLINK("http://dx.doi.org/10.1093/jme/tjw194","10.1093/jme/tjw194")</f>
        <v>10.1093/jme/tjw194</v>
      </c>
      <c r="N894" s="40" t="s">
        <v>2010</v>
      </c>
      <c r="O894" s="40" t="s">
        <v>744</v>
      </c>
      <c r="P894" s="40" t="s">
        <v>2911</v>
      </c>
      <c r="Q894" t="s">
        <v>316</v>
      </c>
    </row>
    <row r="895" spans="1:17" x14ac:dyDescent="0.25">
      <c r="A895" s="2" t="str">
        <f>HYPERLINK("https://www.ncbi.nlm.nih.gov/pubmed/27993079","27993079")</f>
        <v>27993079</v>
      </c>
      <c r="B895">
        <f t="shared" si="58"/>
        <v>3</v>
      </c>
      <c r="C895">
        <f t="shared" si="58"/>
        <v>0</v>
      </c>
      <c r="D895">
        <f t="shared" si="58"/>
        <v>0</v>
      </c>
      <c r="E895">
        <f t="shared" si="55"/>
        <v>3</v>
      </c>
      <c r="F895">
        <v>2016</v>
      </c>
      <c r="G895" t="s">
        <v>2919</v>
      </c>
      <c r="H895">
        <v>0</v>
      </c>
      <c r="I895" s="65">
        <v>0</v>
      </c>
      <c r="J895" t="s">
        <v>2921</v>
      </c>
      <c r="K895" s="35" t="s">
        <v>1058</v>
      </c>
      <c r="L895" s="35" t="s">
        <v>2920</v>
      </c>
      <c r="M895" s="39" t="str">
        <f>HYPERLINK("http://dx.doi.org/10.1021/acs.est.6b04750","10.1021/acs.est.6b04750")</f>
        <v>10.1021/acs.est.6b04750</v>
      </c>
      <c r="N895" s="40" t="s">
        <v>743</v>
      </c>
      <c r="O895" s="40" t="s">
        <v>1188</v>
      </c>
      <c r="P895" s="40" t="s">
        <v>2922</v>
      </c>
      <c r="Q895" t="s">
        <v>316</v>
      </c>
    </row>
    <row r="896" spans="1:17" x14ac:dyDescent="0.25">
      <c r="A896" s="2" t="str">
        <f>HYPERLINK("https://www.ncbi.nlm.nih.gov/pubmed/27742358","27742358")</f>
        <v>27742358</v>
      </c>
      <c r="B896">
        <f t="shared" si="58"/>
        <v>3</v>
      </c>
      <c r="C896">
        <f t="shared" si="58"/>
        <v>0</v>
      </c>
      <c r="D896">
        <f t="shared" si="58"/>
        <v>0</v>
      </c>
      <c r="E896">
        <f t="shared" si="55"/>
        <v>3</v>
      </c>
      <c r="F896">
        <v>2016</v>
      </c>
      <c r="G896" t="s">
        <v>2978</v>
      </c>
      <c r="H896">
        <v>0</v>
      </c>
      <c r="I896" s="65">
        <v>0</v>
      </c>
      <c r="J896" t="s">
        <v>2979</v>
      </c>
      <c r="K896" s="35" t="s">
        <v>831</v>
      </c>
      <c r="L896" s="35" t="s">
        <v>6848</v>
      </c>
      <c r="M896" s="39" t="str">
        <f>HYPERLINK("http://dx.doi.org/10.1016/j.pestbp.2016.03.008","10.1016/j.pestbp.2016.03.008")</f>
        <v>10.1016/j.pestbp.2016.03.008</v>
      </c>
      <c r="N896" s="40" t="s">
        <v>2980</v>
      </c>
      <c r="O896" s="40" t="s">
        <v>383</v>
      </c>
      <c r="P896" s="40" t="s">
        <v>2981</v>
      </c>
      <c r="Q896" t="s">
        <v>316</v>
      </c>
    </row>
    <row r="897" spans="1:17" x14ac:dyDescent="0.25">
      <c r="A897" s="2" t="str">
        <f>HYPERLINK("https://www.ncbi.nlm.nih.gov/pubmed/27664524","27664524")</f>
        <v>27664524</v>
      </c>
      <c r="B897">
        <f t="shared" si="58"/>
        <v>3</v>
      </c>
      <c r="C897">
        <f t="shared" si="58"/>
        <v>0</v>
      </c>
      <c r="D897">
        <f t="shared" si="58"/>
        <v>0</v>
      </c>
      <c r="E897">
        <f t="shared" si="55"/>
        <v>3</v>
      </c>
      <c r="F897">
        <v>2016</v>
      </c>
      <c r="G897" t="s">
        <v>3002</v>
      </c>
      <c r="H897">
        <v>0</v>
      </c>
      <c r="I897" s="65">
        <v>0</v>
      </c>
      <c r="J897" t="s">
        <v>3004</v>
      </c>
      <c r="K897" s="35" t="s">
        <v>822</v>
      </c>
      <c r="L897" s="35" t="s">
        <v>3003</v>
      </c>
      <c r="M897" s="39" t="str">
        <f>HYPERLINK("http://dx.doi.org/10.1016/j.chemosphere.2016.09.023","10.1016/j.chemosphere.2016.09.023")</f>
        <v>10.1016/j.chemosphere.2016.09.023</v>
      </c>
      <c r="N897" s="40" t="s">
        <v>3005</v>
      </c>
      <c r="O897" s="40" t="s">
        <v>383</v>
      </c>
      <c r="P897" s="40" t="s">
        <v>3006</v>
      </c>
      <c r="Q897" t="s">
        <v>316</v>
      </c>
    </row>
    <row r="898" spans="1:17" x14ac:dyDescent="0.25">
      <c r="A898" s="2" t="str">
        <f>HYPERLINK("https://www.ncbi.nlm.nih.gov/pubmed/27302648","27302648")</f>
        <v>27302648</v>
      </c>
      <c r="B898">
        <f t="shared" si="58"/>
        <v>3</v>
      </c>
      <c r="C898">
        <f t="shared" si="58"/>
        <v>0</v>
      </c>
      <c r="D898">
        <f t="shared" si="58"/>
        <v>0</v>
      </c>
      <c r="E898">
        <f t="shared" si="55"/>
        <v>3</v>
      </c>
      <c r="F898">
        <v>2017</v>
      </c>
      <c r="G898" t="s">
        <v>3079</v>
      </c>
      <c r="H898">
        <v>0</v>
      </c>
      <c r="I898" s="65">
        <v>0</v>
      </c>
      <c r="J898" t="s">
        <v>3080</v>
      </c>
      <c r="K898" s="35" t="s">
        <v>968</v>
      </c>
      <c r="L898" s="35" t="s">
        <v>6860</v>
      </c>
      <c r="M898" s="39" t="str">
        <f>HYPERLINK("http://dx.doi.org/10.1002/ps.4340","10.1002/ps.4340")</f>
        <v>10.1002/ps.4340</v>
      </c>
      <c r="N898" s="40" t="s">
        <v>2599</v>
      </c>
      <c r="O898" s="40" t="s">
        <v>750</v>
      </c>
      <c r="P898" s="40" t="s">
        <v>3081</v>
      </c>
      <c r="Q898" t="s">
        <v>316</v>
      </c>
    </row>
    <row r="899" spans="1:17" x14ac:dyDescent="0.25">
      <c r="A899" s="2" t="str">
        <f>HYPERLINK("https://www.ncbi.nlm.nih.gov/pubmed/27048596","27048596")</f>
        <v>27048596</v>
      </c>
      <c r="B899">
        <f t="shared" si="58"/>
        <v>3</v>
      </c>
      <c r="C899">
        <f t="shared" si="58"/>
        <v>1</v>
      </c>
      <c r="D899">
        <f t="shared" si="58"/>
        <v>0</v>
      </c>
      <c r="E899">
        <f t="shared" si="55"/>
        <v>4</v>
      </c>
      <c r="F899">
        <v>2016</v>
      </c>
      <c r="G899" t="s">
        <v>3174</v>
      </c>
      <c r="H899">
        <v>0</v>
      </c>
      <c r="I899" s="65">
        <v>0</v>
      </c>
      <c r="J899" t="s">
        <v>3175</v>
      </c>
      <c r="K899" s="35" t="s">
        <v>3176</v>
      </c>
      <c r="L899" s="35" t="s">
        <v>6878</v>
      </c>
      <c r="M899" s="39" t="str">
        <f>HYPERLINK("http://dx.doi.org/10.1007/s10695-016-0223-5","10.1007/s10695-016-0223-5")</f>
        <v>10.1007/s10695-016-0223-5</v>
      </c>
      <c r="N899" s="40" t="s">
        <v>2803</v>
      </c>
      <c r="O899" s="40" t="s">
        <v>746</v>
      </c>
      <c r="P899" s="40" t="s">
        <v>3177</v>
      </c>
      <c r="Q899" t="s">
        <v>316</v>
      </c>
    </row>
    <row r="900" spans="1:17" x14ac:dyDescent="0.25">
      <c r="A900" s="2" t="str">
        <f>HYPERLINK("https://www.ncbi.nlm.nih.gov/pubmed/27026504","27026504")</f>
        <v>27026504</v>
      </c>
      <c r="B900">
        <f t="shared" si="58"/>
        <v>3</v>
      </c>
      <c r="C900">
        <f t="shared" si="58"/>
        <v>0</v>
      </c>
      <c r="D900">
        <f t="shared" si="58"/>
        <v>0</v>
      </c>
      <c r="E900">
        <f t="shared" ref="E900:E963" si="59">SUM(B900:D900)</f>
        <v>3</v>
      </c>
      <c r="F900">
        <v>2016</v>
      </c>
      <c r="G900" t="s">
        <v>3183</v>
      </c>
      <c r="H900">
        <v>0</v>
      </c>
      <c r="I900" s="65">
        <v>0</v>
      </c>
      <c r="J900" t="s">
        <v>3184</v>
      </c>
      <c r="K900" s="35" t="s">
        <v>1210</v>
      </c>
      <c r="L900" s="35" t="s">
        <v>6879</v>
      </c>
      <c r="M900" s="39" t="str">
        <f>HYPERLINK("http://dx.doi.org/10.1007/s00436-016-5016-3","10.1007/s00436-016-5016-3")</f>
        <v>10.1007/s00436-016-5016-3</v>
      </c>
      <c r="N900" s="40" t="s">
        <v>2118</v>
      </c>
      <c r="O900" s="40" t="s">
        <v>748</v>
      </c>
      <c r="P900" s="40" t="s">
        <v>3185</v>
      </c>
      <c r="Q900" t="s">
        <v>316</v>
      </c>
    </row>
    <row r="901" spans="1:17" x14ac:dyDescent="0.25">
      <c r="A901" s="2" t="str">
        <f>HYPERLINK("https://www.ncbi.nlm.nih.gov/pubmed/26994516","26994516")</f>
        <v>26994516</v>
      </c>
      <c r="B901">
        <f t="shared" si="58"/>
        <v>3</v>
      </c>
      <c r="C901">
        <f t="shared" si="58"/>
        <v>3</v>
      </c>
      <c r="D901">
        <f t="shared" si="58"/>
        <v>0</v>
      </c>
      <c r="E901">
        <f t="shared" si="59"/>
        <v>6</v>
      </c>
      <c r="F901">
        <v>2016</v>
      </c>
      <c r="G901" t="s">
        <v>3205</v>
      </c>
      <c r="H901">
        <v>0</v>
      </c>
      <c r="I901" s="65">
        <v>0</v>
      </c>
      <c r="J901" t="s">
        <v>3206</v>
      </c>
      <c r="K901" s="35" t="s">
        <v>1052</v>
      </c>
      <c r="L901" s="35" t="s">
        <v>6883</v>
      </c>
      <c r="M901" s="39" t="str">
        <f>HYPERLINK("http://dx.doi.org/10.1016/j.vetpar.2016.02.007","10.1016/j.vetpar.2016.02.007")</f>
        <v>10.1016/j.vetpar.2016.02.007</v>
      </c>
      <c r="N901" s="40" t="s">
        <v>2152</v>
      </c>
      <c r="O901" s="40" t="s">
        <v>383</v>
      </c>
      <c r="P901" s="40" t="s">
        <v>3207</v>
      </c>
      <c r="Q901" t="s">
        <v>316</v>
      </c>
    </row>
    <row r="902" spans="1:17" x14ac:dyDescent="0.25">
      <c r="A902" s="2" t="str">
        <f>HYPERLINK("https://www.ncbi.nlm.nih.gov/pubmed/26914957","26914957")</f>
        <v>26914957</v>
      </c>
      <c r="B902">
        <f t="shared" si="58"/>
        <v>3</v>
      </c>
      <c r="C902">
        <f t="shared" si="58"/>
        <v>0</v>
      </c>
      <c r="D902">
        <f t="shared" si="58"/>
        <v>0</v>
      </c>
      <c r="E902">
        <f t="shared" si="59"/>
        <v>3</v>
      </c>
      <c r="F902">
        <v>2016</v>
      </c>
      <c r="G902" t="s">
        <v>3226</v>
      </c>
      <c r="H902">
        <v>0</v>
      </c>
      <c r="I902" s="65">
        <v>0</v>
      </c>
      <c r="J902" t="s">
        <v>3228</v>
      </c>
      <c r="K902" s="35" t="s">
        <v>2743</v>
      </c>
      <c r="L902" s="35" t="s">
        <v>3227</v>
      </c>
      <c r="M902" s="39" t="str">
        <f>HYPERLINK("http://dx.doi.org/10.1111/vde.12296","10.1111/vde.12296")</f>
        <v>10.1111/vde.12296</v>
      </c>
      <c r="N902" s="40" t="s">
        <v>1116</v>
      </c>
      <c r="O902" s="40" t="s">
        <v>744</v>
      </c>
      <c r="P902" s="40" t="s">
        <v>3229</v>
      </c>
      <c r="Q902" t="s">
        <v>316</v>
      </c>
    </row>
    <row r="903" spans="1:17" x14ac:dyDescent="0.25">
      <c r="A903" s="2" t="str">
        <f>HYPERLINK("https://www.ncbi.nlm.nih.gov/pubmed/26453224","26453224")</f>
        <v>26453224</v>
      </c>
      <c r="B903">
        <f t="shared" si="58"/>
        <v>3</v>
      </c>
      <c r="C903">
        <f t="shared" si="58"/>
        <v>2</v>
      </c>
      <c r="D903">
        <f t="shared" si="58"/>
        <v>0</v>
      </c>
      <c r="E903">
        <f t="shared" si="59"/>
        <v>5</v>
      </c>
      <c r="F903">
        <v>2015</v>
      </c>
      <c r="G903" t="s">
        <v>3360</v>
      </c>
      <c r="H903">
        <v>0</v>
      </c>
      <c r="I903" s="65">
        <v>0</v>
      </c>
      <c r="J903" t="s">
        <v>3362</v>
      </c>
      <c r="K903" s="35" t="s">
        <v>831</v>
      </c>
      <c r="L903" s="35" t="s">
        <v>3361</v>
      </c>
      <c r="M903" s="39" t="str">
        <f>HYPERLINK("http://dx.doi.org/10.1016/j.pestbp.2015.03.010","10.1016/j.pestbp.2015.03.010")</f>
        <v>10.1016/j.pestbp.2015.03.010</v>
      </c>
      <c r="N903" s="40" t="s">
        <v>3363</v>
      </c>
      <c r="O903" s="40" t="s">
        <v>383</v>
      </c>
      <c r="P903" s="40" t="s">
        <v>3364</v>
      </c>
      <c r="Q903" t="s">
        <v>316</v>
      </c>
    </row>
    <row r="904" spans="1:17" x14ac:dyDescent="0.25">
      <c r="A904" s="2" t="str">
        <f>HYPERLINK("https://www.ncbi.nlm.nih.gov/pubmed/26309278","26309278")</f>
        <v>26309278</v>
      </c>
      <c r="B904">
        <f t="shared" ref="B904:D923" si="60">IF(ISBLANK(B$3),0,(LEN($L904) - LEN(SUBSTITUTE(LOWER($L904),LOWER(B$3),"")))/LEN(B$3))</f>
        <v>3</v>
      </c>
      <c r="C904">
        <f t="shared" si="60"/>
        <v>0</v>
      </c>
      <c r="D904">
        <f t="shared" si="60"/>
        <v>0</v>
      </c>
      <c r="E904">
        <f t="shared" si="59"/>
        <v>3</v>
      </c>
      <c r="F904">
        <v>2014</v>
      </c>
      <c r="G904" t="s">
        <v>3409</v>
      </c>
      <c r="H904">
        <v>0</v>
      </c>
      <c r="I904" s="65">
        <v>0</v>
      </c>
      <c r="J904" t="s">
        <v>3410</v>
      </c>
      <c r="K904" s="35" t="s">
        <v>909</v>
      </c>
      <c r="L904" s="35" t="s">
        <v>6910</v>
      </c>
      <c r="M904" s="39" t="str">
        <f>HYPERLINK("http://dx.doi.org/10.1603/EC11393","10.1603/EC11393")</f>
        <v>10.1603/EC11393</v>
      </c>
      <c r="N904" s="40" t="s">
        <v>1990</v>
      </c>
      <c r="O904" s="40" t="s">
        <v>746</v>
      </c>
      <c r="P904" s="40" t="s">
        <v>3411</v>
      </c>
      <c r="Q904" t="s">
        <v>316</v>
      </c>
    </row>
    <row r="905" spans="1:17" x14ac:dyDescent="0.25">
      <c r="A905" s="2" t="str">
        <f>HYPERLINK("https://www.ncbi.nlm.nih.gov/pubmed/26152412","26152412")</f>
        <v>26152412</v>
      </c>
      <c r="B905">
        <f t="shared" si="60"/>
        <v>3</v>
      </c>
      <c r="C905">
        <f t="shared" si="60"/>
        <v>0</v>
      </c>
      <c r="D905">
        <f t="shared" si="60"/>
        <v>0</v>
      </c>
      <c r="E905">
        <f t="shared" si="59"/>
        <v>3</v>
      </c>
      <c r="F905">
        <v>2015</v>
      </c>
      <c r="G905" t="s">
        <v>3439</v>
      </c>
      <c r="H905">
        <v>0</v>
      </c>
      <c r="I905" s="65">
        <v>0</v>
      </c>
      <c r="J905" t="s">
        <v>3440</v>
      </c>
      <c r="K905" s="35" t="s">
        <v>1210</v>
      </c>
      <c r="L905" s="35" t="s">
        <v>6915</v>
      </c>
      <c r="M905" s="39" t="str">
        <f>HYPERLINK("http://dx.doi.org/10.1007/s00436-015-4517-9","10.1007/s00436-015-4517-9")</f>
        <v>10.1007/s00436-015-4517-9</v>
      </c>
      <c r="N905" s="40" t="s">
        <v>3441</v>
      </c>
      <c r="O905" s="40" t="s">
        <v>383</v>
      </c>
      <c r="P905" s="40" t="s">
        <v>3442</v>
      </c>
      <c r="Q905" t="s">
        <v>316</v>
      </c>
    </row>
    <row r="906" spans="1:17" x14ac:dyDescent="0.25">
      <c r="A906" s="2" t="str">
        <f>HYPERLINK("https://www.ncbi.nlm.nih.gov/pubmed/26047110","26047110")</f>
        <v>26047110</v>
      </c>
      <c r="B906">
        <f t="shared" si="60"/>
        <v>3</v>
      </c>
      <c r="C906">
        <f t="shared" si="60"/>
        <v>0</v>
      </c>
      <c r="D906">
        <f t="shared" si="60"/>
        <v>0</v>
      </c>
      <c r="E906">
        <f t="shared" si="59"/>
        <v>3</v>
      </c>
      <c r="F906">
        <v>2015</v>
      </c>
      <c r="G906" t="s">
        <v>3475</v>
      </c>
      <c r="H906">
        <v>1</v>
      </c>
      <c r="I906" s="65">
        <v>0</v>
      </c>
      <c r="J906" t="s">
        <v>1326</v>
      </c>
      <c r="K906" s="35" t="s">
        <v>831</v>
      </c>
      <c r="L906" s="35" t="s">
        <v>6920</v>
      </c>
      <c r="M906" s="39" t="str">
        <f>HYPERLINK("http://dx.doi.org/10.1016/j.pestbp.2014.09.010","10.1016/j.pestbp.2014.09.010")</f>
        <v>10.1016/j.pestbp.2014.09.010</v>
      </c>
      <c r="N906" s="40" t="s">
        <v>3476</v>
      </c>
      <c r="O906" s="40" t="s">
        <v>383</v>
      </c>
      <c r="P906" s="40" t="s">
        <v>3477</v>
      </c>
      <c r="Q906" t="s">
        <v>316</v>
      </c>
    </row>
    <row r="907" spans="1:17" x14ac:dyDescent="0.25">
      <c r="A907" s="2" t="str">
        <f>HYPERLINK("https://www.ncbi.nlm.nih.gov/pubmed/25902139","25902139")</f>
        <v>25902139</v>
      </c>
      <c r="B907">
        <f t="shared" si="60"/>
        <v>3</v>
      </c>
      <c r="C907">
        <f t="shared" si="60"/>
        <v>0</v>
      </c>
      <c r="D907">
        <f t="shared" si="60"/>
        <v>0</v>
      </c>
      <c r="E907">
        <f t="shared" si="59"/>
        <v>3</v>
      </c>
      <c r="F907">
        <v>2015</v>
      </c>
      <c r="G907" t="s">
        <v>3521</v>
      </c>
      <c r="H907">
        <v>0</v>
      </c>
      <c r="I907" s="64" t="str">
        <f>HYPERLINK("https://www.ncbi.nlm.nih.gov/research/pubtator/?view=docsum&amp;query=PMC4406737","1")</f>
        <v>1</v>
      </c>
      <c r="J907" t="s">
        <v>3522</v>
      </c>
      <c r="K907" s="35" t="s">
        <v>779</v>
      </c>
      <c r="L907" s="35" t="s">
        <v>6927</v>
      </c>
      <c r="M907" s="39" t="str">
        <f>HYPERLINK("http://dx.doi.org/10.1371/journal.pone.0122629","10.1371/journal.pone.0122629")</f>
        <v>10.1371/journal.pone.0122629</v>
      </c>
      <c r="N907" s="40" t="s">
        <v>802</v>
      </c>
      <c r="O907" s="40" t="s">
        <v>690</v>
      </c>
      <c r="P907" s="40" t="s">
        <v>3523</v>
      </c>
      <c r="Q907" t="s">
        <v>316</v>
      </c>
    </row>
    <row r="908" spans="1:17" x14ac:dyDescent="0.25">
      <c r="A908" s="2" t="str">
        <f>HYPERLINK("https://www.ncbi.nlm.nih.gov/pubmed/25884999","25884999")</f>
        <v>25884999</v>
      </c>
      <c r="B908">
        <f t="shared" si="60"/>
        <v>3</v>
      </c>
      <c r="C908">
        <f t="shared" si="60"/>
        <v>0</v>
      </c>
      <c r="D908">
        <f t="shared" si="60"/>
        <v>0</v>
      </c>
      <c r="E908">
        <f t="shared" si="59"/>
        <v>3</v>
      </c>
      <c r="F908">
        <v>2015</v>
      </c>
      <c r="G908" t="s">
        <v>3524</v>
      </c>
      <c r="H908">
        <v>0</v>
      </c>
      <c r="I908" s="64" t="str">
        <f>HYPERLINK("https://www.ncbi.nlm.nih.gov/research/pubtator/?view=docsum&amp;query=PMC4392741","1")</f>
        <v>1</v>
      </c>
      <c r="J908" t="s">
        <v>3525</v>
      </c>
      <c r="K908" s="35" t="s">
        <v>870</v>
      </c>
      <c r="L908" s="35" t="s">
        <v>6928</v>
      </c>
      <c r="M908" s="39" t="str">
        <f>HYPERLINK("http://dx.doi.org/10.1186/s13071-015-0805-6","10.1186/s13071-015-0805-6")</f>
        <v>10.1186/s13071-015-0805-6</v>
      </c>
      <c r="N908" s="40" t="s">
        <v>781</v>
      </c>
      <c r="O908" s="40" t="s">
        <v>383</v>
      </c>
      <c r="P908" s="40" t="s">
        <v>3526</v>
      </c>
      <c r="Q908" t="s">
        <v>316</v>
      </c>
    </row>
    <row r="909" spans="1:17" x14ac:dyDescent="0.25">
      <c r="A909" s="2" t="str">
        <f>HYPERLINK("https://www.ncbi.nlm.nih.gov/pubmed/25819917","25819917")</f>
        <v>25819917</v>
      </c>
      <c r="B909">
        <f t="shared" si="60"/>
        <v>3</v>
      </c>
      <c r="C909">
        <f t="shared" si="60"/>
        <v>0</v>
      </c>
      <c r="D909">
        <f t="shared" si="60"/>
        <v>0</v>
      </c>
      <c r="E909">
        <f t="shared" si="59"/>
        <v>3</v>
      </c>
      <c r="F909">
        <v>2015</v>
      </c>
      <c r="G909" t="s">
        <v>3544</v>
      </c>
      <c r="H909">
        <v>0</v>
      </c>
      <c r="I909" s="65">
        <v>0</v>
      </c>
      <c r="J909" t="s">
        <v>3545</v>
      </c>
      <c r="K909" s="35" t="s">
        <v>1052</v>
      </c>
      <c r="L909" s="35" t="s">
        <v>6930</v>
      </c>
      <c r="M909" s="39" t="str">
        <f>HYPERLINK("http://dx.doi.org/10.1016/j.vetpar.2015.02.037","10.1016/j.vetpar.2015.02.037")</f>
        <v>10.1016/j.vetpar.2015.02.037</v>
      </c>
      <c r="N909" s="40" t="s">
        <v>1177</v>
      </c>
      <c r="O909" s="40" t="s">
        <v>1741</v>
      </c>
      <c r="P909" s="40" t="s">
        <v>3546</v>
      </c>
      <c r="Q909" t="s">
        <v>316</v>
      </c>
    </row>
    <row r="910" spans="1:17" x14ac:dyDescent="0.25">
      <c r="A910" s="2" t="str">
        <f>HYPERLINK("https://www.ncbi.nlm.nih.gov/pubmed/25734968","25734968")</f>
        <v>25734968</v>
      </c>
      <c r="B910">
        <f t="shared" si="60"/>
        <v>3</v>
      </c>
      <c r="C910">
        <f t="shared" si="60"/>
        <v>0</v>
      </c>
      <c r="D910">
        <f t="shared" si="60"/>
        <v>0</v>
      </c>
      <c r="E910">
        <f t="shared" si="59"/>
        <v>3</v>
      </c>
      <c r="F910">
        <v>2015</v>
      </c>
      <c r="G910" t="s">
        <v>3572</v>
      </c>
      <c r="H910">
        <v>0</v>
      </c>
      <c r="I910" s="65">
        <v>0</v>
      </c>
      <c r="J910" t="s">
        <v>3574</v>
      </c>
      <c r="K910" s="35" t="s">
        <v>3575</v>
      </c>
      <c r="L910" s="35" t="s">
        <v>3573</v>
      </c>
      <c r="M910" s="39" t="str">
        <f>HYPERLINK("http://dx.doi.org/10.1016/j.colsurfb.2015.02.029","10.1016/j.colsurfb.2015.02.029")</f>
        <v>10.1016/j.colsurfb.2015.02.029</v>
      </c>
      <c r="N910" s="40" t="s">
        <v>677</v>
      </c>
      <c r="O910" s="40" t="s">
        <v>383</v>
      </c>
      <c r="P910" s="40" t="s">
        <v>3576</v>
      </c>
      <c r="Q910" t="s">
        <v>316</v>
      </c>
    </row>
    <row r="911" spans="1:17" x14ac:dyDescent="0.25">
      <c r="A911" s="2" t="str">
        <f>HYPERLINK("https://www.ncbi.nlm.nih.gov/pubmed/28962413","28962413")</f>
        <v>28962413</v>
      </c>
      <c r="B911">
        <f t="shared" si="60"/>
        <v>3</v>
      </c>
      <c r="C911">
        <f t="shared" si="60"/>
        <v>1</v>
      </c>
      <c r="D911">
        <f t="shared" si="60"/>
        <v>0</v>
      </c>
      <c r="E911">
        <f t="shared" si="59"/>
        <v>4</v>
      </c>
      <c r="F911">
        <v>2015</v>
      </c>
      <c r="G911" t="s">
        <v>3598</v>
      </c>
      <c r="H911">
        <v>0</v>
      </c>
      <c r="I911" s="64" t="str">
        <f>HYPERLINK("https://www.ncbi.nlm.nih.gov/research/pubtator/?view=docsum&amp;query=PMC5598362","1")</f>
        <v>1</v>
      </c>
      <c r="J911" t="s">
        <v>3600</v>
      </c>
      <c r="K911" s="35" t="s">
        <v>2448</v>
      </c>
      <c r="L911" s="35" t="s">
        <v>3599</v>
      </c>
      <c r="M911" s="39" t="str">
        <f>HYPERLINK("http://dx.doi.org/10.1016/j.toxrep.2015.02.009","10.1016/j.toxrep.2015.02.009")</f>
        <v>10.1016/j.toxrep.2015.02.009</v>
      </c>
      <c r="N911" s="40" t="s">
        <v>744</v>
      </c>
      <c r="O911" s="40" t="s">
        <v>383</v>
      </c>
      <c r="P911" s="40" t="s">
        <v>3601</v>
      </c>
      <c r="Q911" t="s">
        <v>316</v>
      </c>
    </row>
    <row r="912" spans="1:17" x14ac:dyDescent="0.25">
      <c r="A912" s="2" t="str">
        <f>HYPERLINK("https://www.ncbi.nlm.nih.gov/pubmed/25595325","25595325")</f>
        <v>25595325</v>
      </c>
      <c r="B912">
        <f t="shared" si="60"/>
        <v>3</v>
      </c>
      <c r="C912">
        <f t="shared" si="60"/>
        <v>0</v>
      </c>
      <c r="D912">
        <f t="shared" si="60"/>
        <v>0</v>
      </c>
      <c r="E912">
        <f t="shared" si="59"/>
        <v>3</v>
      </c>
      <c r="F912">
        <v>2015</v>
      </c>
      <c r="G912" t="s">
        <v>3654</v>
      </c>
      <c r="H912">
        <v>0</v>
      </c>
      <c r="I912" s="64" t="str">
        <f>HYPERLINK("https://www.ncbi.nlm.nih.gov/research/pubtator/?view=docsum&amp;query=PMC4302435","1")</f>
        <v>1</v>
      </c>
      <c r="J912" t="s">
        <v>3655</v>
      </c>
      <c r="K912" s="35" t="s">
        <v>870</v>
      </c>
      <c r="L912" s="35" t="s">
        <v>6948</v>
      </c>
      <c r="M912" s="39" t="str">
        <f>HYPERLINK("http://dx.doi.org/10.1186/s13071-015-0645-4","10.1186/s13071-015-0645-4")</f>
        <v>10.1186/s13071-015-0645-4</v>
      </c>
      <c r="N912" s="40" t="s">
        <v>781</v>
      </c>
      <c r="O912" s="40" t="s">
        <v>383</v>
      </c>
      <c r="P912" s="40" t="s">
        <v>1018</v>
      </c>
      <c r="Q912" t="s">
        <v>316</v>
      </c>
    </row>
    <row r="913" spans="1:17" x14ac:dyDescent="0.25">
      <c r="A913" s="2" t="str">
        <f>HYPERLINK("https://www.ncbi.nlm.nih.gov/pubmed/25299111","25299111")</f>
        <v>25299111</v>
      </c>
      <c r="B913">
        <f t="shared" si="60"/>
        <v>3</v>
      </c>
      <c r="C913">
        <f t="shared" si="60"/>
        <v>0</v>
      </c>
      <c r="D913">
        <f t="shared" si="60"/>
        <v>0</v>
      </c>
      <c r="E913">
        <f t="shared" si="59"/>
        <v>3</v>
      </c>
      <c r="F913">
        <v>2014</v>
      </c>
      <c r="G913" t="s">
        <v>3721</v>
      </c>
      <c r="H913">
        <v>0</v>
      </c>
      <c r="I913" s="65">
        <v>0</v>
      </c>
      <c r="J913" t="s">
        <v>3723</v>
      </c>
      <c r="K913" s="35" t="s">
        <v>3724</v>
      </c>
      <c r="L913" s="35" t="s">
        <v>3722</v>
      </c>
      <c r="M913" s="39" t="str">
        <f>HYPERLINK("http://dx.doi.org/10.4238/2014.September.29.9","10.4238/2014.September.29.9")</f>
        <v>10.4238/2014.September.29.9</v>
      </c>
      <c r="N913" s="40" t="s">
        <v>742</v>
      </c>
      <c r="O913" s="40" t="s">
        <v>750</v>
      </c>
      <c r="P913" s="40" t="s">
        <v>3725</v>
      </c>
      <c r="Q913" t="s">
        <v>316</v>
      </c>
    </row>
    <row r="914" spans="1:17" x14ac:dyDescent="0.25">
      <c r="A914" s="2" t="str">
        <f>HYPERLINK("https://www.ncbi.nlm.nih.gov/pubmed/25175645","25175645")</f>
        <v>25175645</v>
      </c>
      <c r="B914">
        <f t="shared" si="60"/>
        <v>3</v>
      </c>
      <c r="C914">
        <f t="shared" si="60"/>
        <v>0</v>
      </c>
      <c r="D914">
        <f t="shared" si="60"/>
        <v>0</v>
      </c>
      <c r="E914">
        <f t="shared" si="59"/>
        <v>3</v>
      </c>
      <c r="F914">
        <v>2014</v>
      </c>
      <c r="G914" t="s">
        <v>3761</v>
      </c>
      <c r="H914">
        <v>0</v>
      </c>
      <c r="I914" s="65">
        <v>0</v>
      </c>
      <c r="J914" t="s">
        <v>3762</v>
      </c>
      <c r="K914" s="35" t="s">
        <v>831</v>
      </c>
      <c r="L914" s="35" t="s">
        <v>6963</v>
      </c>
      <c r="M914" s="39" t="str">
        <f>HYPERLINK("http://dx.doi.org/10.1016/j.pestbp.2014.07.009","10.1016/j.pestbp.2014.07.009")</f>
        <v>10.1016/j.pestbp.2014.07.009</v>
      </c>
      <c r="N914" s="40" t="s">
        <v>910</v>
      </c>
      <c r="O914" s="40" t="s">
        <v>383</v>
      </c>
      <c r="P914" s="40" t="s">
        <v>3605</v>
      </c>
      <c r="Q914" t="s">
        <v>316</v>
      </c>
    </row>
    <row r="915" spans="1:17" x14ac:dyDescent="0.25">
      <c r="A915" s="2" t="str">
        <f>HYPERLINK("https://www.ncbi.nlm.nih.gov/pubmed/25148648","25148648")</f>
        <v>25148648</v>
      </c>
      <c r="B915">
        <f t="shared" si="60"/>
        <v>3</v>
      </c>
      <c r="C915">
        <f t="shared" si="60"/>
        <v>0</v>
      </c>
      <c r="D915">
        <f t="shared" si="60"/>
        <v>0</v>
      </c>
      <c r="E915">
        <f t="shared" si="59"/>
        <v>3</v>
      </c>
      <c r="F915">
        <v>2014</v>
      </c>
      <c r="G915" t="s">
        <v>3770</v>
      </c>
      <c r="H915">
        <v>0</v>
      </c>
      <c r="I915" s="64" t="str">
        <f>HYPERLINK("https://www.ncbi.nlm.nih.gov/research/pubtator/?view=docsum&amp;query=PMC4141585","1")</f>
        <v>1</v>
      </c>
      <c r="J915" t="s">
        <v>3771</v>
      </c>
      <c r="K915" s="35" t="s">
        <v>2925</v>
      </c>
      <c r="L915" s="35" t="s">
        <v>6965</v>
      </c>
      <c r="M915" s="39" t="str">
        <f>HYPERLINK("http://dx.doi.org/10.1051/parasite/2014042","10.1051/parasite/2014042")</f>
        <v>10.1051/parasite/2014042</v>
      </c>
      <c r="N915" s="40" t="s">
        <v>1364</v>
      </c>
      <c r="O915" s="40" t="s">
        <v>383</v>
      </c>
      <c r="P915" s="40" t="s">
        <v>1494</v>
      </c>
      <c r="Q915" t="s">
        <v>316</v>
      </c>
    </row>
    <row r="916" spans="1:17" x14ac:dyDescent="0.25">
      <c r="A916" s="2" t="str">
        <f>HYPERLINK("https://www.ncbi.nlm.nih.gov/pubmed/25090100","25090100")</f>
        <v>25090100</v>
      </c>
      <c r="B916">
        <f t="shared" si="60"/>
        <v>3</v>
      </c>
      <c r="C916">
        <f t="shared" si="60"/>
        <v>1</v>
      </c>
      <c r="D916">
        <f t="shared" si="60"/>
        <v>0</v>
      </c>
      <c r="E916">
        <f t="shared" si="59"/>
        <v>4</v>
      </c>
      <c r="F916">
        <v>2014</v>
      </c>
      <c r="G916" t="s">
        <v>3798</v>
      </c>
      <c r="H916">
        <v>0</v>
      </c>
      <c r="I916" s="65">
        <v>0</v>
      </c>
      <c r="J916" t="s">
        <v>3800</v>
      </c>
      <c r="K916" s="35" t="s">
        <v>896</v>
      </c>
      <c r="L916" s="35" t="s">
        <v>3799</v>
      </c>
      <c r="M916" s="39" t="str">
        <f>HYPERLINK("http://dx.doi.org/10.1080/19440049.2014.941948","10.1080/19440049.2014.941948")</f>
        <v>10.1080/19440049.2014.941948</v>
      </c>
      <c r="N916" s="40" t="s">
        <v>753</v>
      </c>
      <c r="O916" s="40" t="s">
        <v>660</v>
      </c>
      <c r="P916" s="40" t="s">
        <v>3801</v>
      </c>
      <c r="Q916" t="s">
        <v>316</v>
      </c>
    </row>
    <row r="917" spans="1:17" x14ac:dyDescent="0.25">
      <c r="A917" s="2" t="str">
        <f>HYPERLINK("https://www.ncbi.nlm.nih.gov/pubmed/24823815","24823815")</f>
        <v>24823815</v>
      </c>
      <c r="B917">
        <f t="shared" si="60"/>
        <v>3</v>
      </c>
      <c r="C917">
        <f t="shared" si="60"/>
        <v>0</v>
      </c>
      <c r="D917">
        <f t="shared" si="60"/>
        <v>0</v>
      </c>
      <c r="E917">
        <f t="shared" si="59"/>
        <v>3</v>
      </c>
      <c r="F917">
        <v>2014</v>
      </c>
      <c r="G917" t="s">
        <v>3843</v>
      </c>
      <c r="H917">
        <v>0</v>
      </c>
      <c r="I917" s="64" t="str">
        <f>HYPERLINK("https://www.ncbi.nlm.nih.gov/research/pubtator/?view=docsum&amp;query=PMC4019635","1")</f>
        <v>1</v>
      </c>
      <c r="J917" t="s">
        <v>3844</v>
      </c>
      <c r="K917" s="35" t="s">
        <v>779</v>
      </c>
      <c r="L917" s="35" t="s">
        <v>6975</v>
      </c>
      <c r="M917" s="39" t="str">
        <f>HYPERLINK("http://dx.doi.org/10.1371/journal.pone.0097468","10.1371/journal.pone.0097468")</f>
        <v>10.1371/journal.pone.0097468</v>
      </c>
      <c r="N917" s="40" t="s">
        <v>660</v>
      </c>
      <c r="O917" s="40" t="s">
        <v>746</v>
      </c>
      <c r="P917" s="40" t="s">
        <v>3845</v>
      </c>
      <c r="Q917" t="s">
        <v>316</v>
      </c>
    </row>
    <row r="918" spans="1:17" x14ac:dyDescent="0.25">
      <c r="A918" s="2" t="str">
        <f>HYPERLINK("https://www.ncbi.nlm.nih.gov/pubmed/24777665","24777665")</f>
        <v>24777665</v>
      </c>
      <c r="B918">
        <f t="shared" si="60"/>
        <v>3</v>
      </c>
      <c r="C918">
        <f t="shared" si="60"/>
        <v>0</v>
      </c>
      <c r="D918">
        <f t="shared" si="60"/>
        <v>0</v>
      </c>
      <c r="E918">
        <f t="shared" si="59"/>
        <v>3</v>
      </c>
      <c r="F918">
        <v>2014</v>
      </c>
      <c r="G918" t="s">
        <v>3854</v>
      </c>
      <c r="H918">
        <v>0</v>
      </c>
      <c r="I918" s="65">
        <v>0</v>
      </c>
      <c r="J918" t="s">
        <v>3856</v>
      </c>
      <c r="K918" s="35" t="s">
        <v>730</v>
      </c>
      <c r="L918" s="35" t="s">
        <v>3855</v>
      </c>
      <c r="M918" s="39" t="str">
        <f>HYPERLINK("http://dx.doi.org/10.1007/s10646-014-1248-0","10.1007/s10646-014-1248-0")</f>
        <v>10.1007/s10646-014-1248-0</v>
      </c>
      <c r="N918" s="40" t="s">
        <v>737</v>
      </c>
      <c r="O918" s="40" t="s">
        <v>741</v>
      </c>
      <c r="P918" s="40" t="s">
        <v>3857</v>
      </c>
      <c r="Q918" t="s">
        <v>316</v>
      </c>
    </row>
    <row r="919" spans="1:17" x14ac:dyDescent="0.25">
      <c r="A919" s="2" t="str">
        <f>HYPERLINK("https://www.ncbi.nlm.nih.gov/pubmed/24723347","24723347")</f>
        <v>24723347</v>
      </c>
      <c r="B919">
        <f t="shared" si="60"/>
        <v>3</v>
      </c>
      <c r="C919">
        <f t="shared" si="60"/>
        <v>0</v>
      </c>
      <c r="D919">
        <f t="shared" si="60"/>
        <v>0</v>
      </c>
      <c r="E919">
        <f t="shared" si="59"/>
        <v>3</v>
      </c>
      <c r="F919">
        <v>2014</v>
      </c>
      <c r="G919" t="s">
        <v>3874</v>
      </c>
      <c r="H919">
        <v>0</v>
      </c>
      <c r="I919" s="65">
        <v>0</v>
      </c>
      <c r="J919" t="s">
        <v>3875</v>
      </c>
      <c r="K919" s="35" t="s">
        <v>810</v>
      </c>
      <c r="L919" s="35" t="s">
        <v>6977</v>
      </c>
      <c r="M919" s="39" t="str">
        <f>HYPERLINK("http://dx.doi.org/10.1007/s11356-014-2816-9","10.1007/s11356-014-2816-9")</f>
        <v>10.1007/s11356-014-2816-9</v>
      </c>
      <c r="N919" s="40" t="s">
        <v>1364</v>
      </c>
      <c r="O919" s="40" t="s">
        <v>871</v>
      </c>
      <c r="P919" s="40" t="s">
        <v>3876</v>
      </c>
      <c r="Q919" t="s">
        <v>316</v>
      </c>
    </row>
    <row r="920" spans="1:17" x14ac:dyDescent="0.25">
      <c r="A920" s="2" t="str">
        <f>HYPERLINK("https://www.ncbi.nlm.nih.gov/pubmed/24703069","24703069")</f>
        <v>24703069</v>
      </c>
      <c r="B920">
        <f t="shared" si="60"/>
        <v>3</v>
      </c>
      <c r="C920">
        <f t="shared" si="60"/>
        <v>2</v>
      </c>
      <c r="D920">
        <f t="shared" si="60"/>
        <v>0</v>
      </c>
      <c r="E920">
        <f t="shared" si="59"/>
        <v>5</v>
      </c>
      <c r="F920">
        <v>2014</v>
      </c>
      <c r="G920" t="s">
        <v>3910</v>
      </c>
      <c r="H920">
        <v>0</v>
      </c>
      <c r="I920" s="65">
        <v>0</v>
      </c>
      <c r="J920" t="s">
        <v>3911</v>
      </c>
      <c r="K920" s="35" t="s">
        <v>1052</v>
      </c>
      <c r="L920" s="35" t="s">
        <v>6988</v>
      </c>
      <c r="M920" s="39" t="str">
        <f>HYPERLINK("http://dx.doi.org/10.1016/j.vetpar.2014.02.031","10.1016/j.vetpar.2014.02.031")</f>
        <v>10.1016/j.vetpar.2014.02.031</v>
      </c>
      <c r="N920" s="40" t="s">
        <v>2382</v>
      </c>
      <c r="O920" s="40" t="s">
        <v>3531</v>
      </c>
      <c r="P920" s="40" t="s">
        <v>3912</v>
      </c>
      <c r="Q920" t="s">
        <v>316</v>
      </c>
    </row>
    <row r="921" spans="1:17" x14ac:dyDescent="0.25">
      <c r="A921" s="2" t="str">
        <f>HYPERLINK("https://www.ncbi.nlm.nih.gov/pubmed/24689457","24689457")</f>
        <v>24689457</v>
      </c>
      <c r="B921">
        <f t="shared" si="60"/>
        <v>3</v>
      </c>
      <c r="C921">
        <f t="shared" si="60"/>
        <v>0</v>
      </c>
      <c r="D921">
        <f t="shared" si="60"/>
        <v>0</v>
      </c>
      <c r="E921">
        <f t="shared" si="59"/>
        <v>3</v>
      </c>
      <c r="F921">
        <v>2014</v>
      </c>
      <c r="G921" t="s">
        <v>3913</v>
      </c>
      <c r="H921">
        <v>0</v>
      </c>
      <c r="I921" s="65">
        <v>0</v>
      </c>
      <c r="J921" t="s">
        <v>3915</v>
      </c>
      <c r="K921" s="35" t="s">
        <v>770</v>
      </c>
      <c r="L921" s="35" t="s">
        <v>3914</v>
      </c>
      <c r="M921" s="39" t="str">
        <f>HYPERLINK("http://dx.doi.org/10.1021/jf405512e","10.1021/jf405512e")</f>
        <v>10.1021/jf405512e</v>
      </c>
      <c r="N921" s="40" t="s">
        <v>2372</v>
      </c>
      <c r="O921" s="40" t="s">
        <v>780</v>
      </c>
      <c r="P921" s="40" t="s">
        <v>3916</v>
      </c>
      <c r="Q921" t="s">
        <v>316</v>
      </c>
    </row>
    <row r="922" spans="1:17" x14ac:dyDescent="0.25">
      <c r="A922" s="2" t="str">
        <f>HYPERLINK("https://www.ncbi.nlm.nih.gov/pubmed/24656063","24656063")</f>
        <v>24656063</v>
      </c>
      <c r="B922">
        <f t="shared" si="60"/>
        <v>3</v>
      </c>
      <c r="C922">
        <f t="shared" si="60"/>
        <v>0</v>
      </c>
      <c r="D922">
        <f t="shared" si="60"/>
        <v>0</v>
      </c>
      <c r="E922">
        <f t="shared" si="59"/>
        <v>3</v>
      </c>
      <c r="F922">
        <v>2014</v>
      </c>
      <c r="G922" t="s">
        <v>3939</v>
      </c>
      <c r="H922">
        <v>0</v>
      </c>
      <c r="I922" s="65">
        <v>0</v>
      </c>
      <c r="J922" t="s">
        <v>3940</v>
      </c>
      <c r="K922" s="35" t="s">
        <v>3941</v>
      </c>
      <c r="L922" s="35" t="s">
        <v>6991</v>
      </c>
      <c r="M922" s="39" t="str">
        <f>HYPERLINK("http://dx.doi.org/10.1016/j.cimid.2014.02.001","10.1016/j.cimid.2014.02.001")</f>
        <v>10.1016/j.cimid.2014.02.001</v>
      </c>
      <c r="N922" s="40" t="s">
        <v>1869</v>
      </c>
      <c r="O922" s="40" t="s">
        <v>750</v>
      </c>
      <c r="P922" s="40" t="s">
        <v>3942</v>
      </c>
      <c r="Q922" t="s">
        <v>316</v>
      </c>
    </row>
    <row r="923" spans="1:17" x14ac:dyDescent="0.25">
      <c r="A923" s="2" t="str">
        <f>HYPERLINK("https://www.ncbi.nlm.nih.gov/pubmed/24505192","24505192")</f>
        <v>24505192</v>
      </c>
      <c r="B923">
        <f t="shared" si="60"/>
        <v>3</v>
      </c>
      <c r="C923">
        <f t="shared" si="60"/>
        <v>0</v>
      </c>
      <c r="D923">
        <f t="shared" si="60"/>
        <v>0</v>
      </c>
      <c r="E923">
        <f t="shared" si="59"/>
        <v>3</v>
      </c>
      <c r="F923">
        <v>2014</v>
      </c>
      <c r="G923" t="s">
        <v>3969</v>
      </c>
      <c r="H923">
        <v>0</v>
      </c>
      <c r="I923" s="64" t="str">
        <f>HYPERLINK("https://www.ncbi.nlm.nih.gov/research/pubtator/?view=docsum&amp;query=PMC3909598","1")</f>
        <v>1</v>
      </c>
      <c r="J923" t="s">
        <v>3971</v>
      </c>
      <c r="K923" s="35" t="s">
        <v>3972</v>
      </c>
      <c r="L923" s="35" t="s">
        <v>3970</v>
      </c>
      <c r="M923" s="39" t="str">
        <f>HYPERLINK("http://dx.doi.org/10.1007/s12639-012-0181-5","10.1007/s12639-012-0181-5")</f>
        <v>10.1007/s12639-012-0181-5</v>
      </c>
      <c r="N923" s="40" t="s">
        <v>3973</v>
      </c>
      <c r="O923" s="40" t="s">
        <v>638</v>
      </c>
      <c r="P923" s="40" t="s">
        <v>3974</v>
      </c>
      <c r="Q923" t="s">
        <v>316</v>
      </c>
    </row>
    <row r="924" spans="1:17" x14ac:dyDescent="0.25">
      <c r="A924" s="2" t="str">
        <f>HYPERLINK("https://www.ncbi.nlm.nih.gov/pubmed/24498755","24498755")</f>
        <v>24498755</v>
      </c>
      <c r="B924">
        <f t="shared" ref="B924:D943" si="61">IF(ISBLANK(B$3),0,(LEN($L924) - LEN(SUBSTITUTE(LOWER($L924),LOWER(B$3),"")))/LEN(B$3))</f>
        <v>3</v>
      </c>
      <c r="C924">
        <f t="shared" si="61"/>
        <v>0</v>
      </c>
      <c r="D924">
        <f t="shared" si="61"/>
        <v>0</v>
      </c>
      <c r="E924">
        <f t="shared" si="59"/>
        <v>3</v>
      </c>
      <c r="F924">
        <v>2013</v>
      </c>
      <c r="G924" t="s">
        <v>3980</v>
      </c>
      <c r="H924">
        <v>0</v>
      </c>
      <c r="I924" s="65">
        <v>0</v>
      </c>
      <c r="J924" t="s">
        <v>3982</v>
      </c>
      <c r="K924" s="35" t="s">
        <v>909</v>
      </c>
      <c r="L924" s="35" t="s">
        <v>3981</v>
      </c>
      <c r="M924" s="39" t="str">
        <f>HYPERLINK("http://dx.doi.org/10.1603/ec13198","10.1603/ec13198")</f>
        <v>10.1603/ec13198</v>
      </c>
      <c r="N924" s="40" t="s">
        <v>3978</v>
      </c>
      <c r="O924" s="40" t="s">
        <v>741</v>
      </c>
      <c r="P924" s="40" t="s">
        <v>3983</v>
      </c>
      <c r="Q924" t="s">
        <v>316</v>
      </c>
    </row>
    <row r="925" spans="1:17" x14ac:dyDescent="0.25">
      <c r="A925" s="2" t="str">
        <f>HYPERLINK("https://www.ncbi.nlm.nih.gov/pubmed/24460388","24460388")</f>
        <v>24460388</v>
      </c>
      <c r="B925">
        <f t="shared" si="61"/>
        <v>3</v>
      </c>
      <c r="C925">
        <f t="shared" si="61"/>
        <v>0</v>
      </c>
      <c r="D925">
        <f t="shared" si="61"/>
        <v>0</v>
      </c>
      <c r="E925">
        <f t="shared" si="59"/>
        <v>3</v>
      </c>
      <c r="F925">
        <v>2014</v>
      </c>
      <c r="G925" t="s">
        <v>3991</v>
      </c>
      <c r="H925">
        <v>0</v>
      </c>
      <c r="I925" s="65">
        <v>0</v>
      </c>
      <c r="J925" t="s">
        <v>3993</v>
      </c>
      <c r="K925" s="35" t="s">
        <v>3994</v>
      </c>
      <c r="L925" s="35" t="s">
        <v>3992</v>
      </c>
      <c r="M925" s="39" t="str">
        <f>HYPERLINK("http://dx.doi.org/10.1089/dna.2013.2158","10.1089/dna.2013.2158")</f>
        <v>10.1089/dna.2013.2158</v>
      </c>
      <c r="N925" s="40" t="s">
        <v>877</v>
      </c>
      <c r="O925" s="40" t="s">
        <v>750</v>
      </c>
      <c r="P925" s="40" t="s">
        <v>3729</v>
      </c>
      <c r="Q925" t="s">
        <v>316</v>
      </c>
    </row>
    <row r="926" spans="1:17" x14ac:dyDescent="0.25">
      <c r="A926" s="2" t="str">
        <f>HYPERLINK("https://www.ncbi.nlm.nih.gov/pubmed/26462943","26462943")</f>
        <v>26462943</v>
      </c>
      <c r="B926">
        <f t="shared" si="61"/>
        <v>3</v>
      </c>
      <c r="C926">
        <f t="shared" si="61"/>
        <v>0</v>
      </c>
      <c r="D926">
        <f t="shared" si="61"/>
        <v>0</v>
      </c>
      <c r="E926">
        <f t="shared" si="59"/>
        <v>3</v>
      </c>
      <c r="F926">
        <v>2014</v>
      </c>
      <c r="G926" t="s">
        <v>4005</v>
      </c>
      <c r="H926">
        <v>0</v>
      </c>
      <c r="I926" s="64" t="str">
        <f>HYPERLINK("https://www.ncbi.nlm.nih.gov/research/pubtator/?view=docsum&amp;query=PMC4592605","1")</f>
        <v>1</v>
      </c>
      <c r="J926" t="s">
        <v>4007</v>
      </c>
      <c r="K926" s="35" t="s">
        <v>925</v>
      </c>
      <c r="L926" s="35" t="s">
        <v>4006</v>
      </c>
      <c r="M926" s="39" t="str">
        <f>HYPERLINK("http://dx.doi.org/10.3390/insects5040832","10.3390/insects5040832")</f>
        <v>10.3390/insects5040832</v>
      </c>
      <c r="N926" s="40" t="s">
        <v>746</v>
      </c>
      <c r="O926" s="40" t="s">
        <v>690</v>
      </c>
      <c r="P926" s="40" t="s">
        <v>4008</v>
      </c>
      <c r="Q926" t="s">
        <v>316</v>
      </c>
    </row>
    <row r="927" spans="1:17" x14ac:dyDescent="0.25">
      <c r="A927" s="2" t="str">
        <f>HYPERLINK("https://www.ncbi.nlm.nih.gov/pubmed/24252969","24252969")</f>
        <v>24252969</v>
      </c>
      <c r="B927">
        <f t="shared" si="61"/>
        <v>3</v>
      </c>
      <c r="C927">
        <f t="shared" si="61"/>
        <v>0</v>
      </c>
      <c r="D927">
        <f t="shared" si="61"/>
        <v>0</v>
      </c>
      <c r="E927">
        <f t="shared" si="59"/>
        <v>3</v>
      </c>
      <c r="F927">
        <v>2013</v>
      </c>
      <c r="G927" t="s">
        <v>4057</v>
      </c>
      <c r="H927">
        <v>0</v>
      </c>
      <c r="I927" s="65">
        <v>0</v>
      </c>
      <c r="J927" t="s">
        <v>4059</v>
      </c>
      <c r="K927" s="35" t="s">
        <v>1008</v>
      </c>
      <c r="L927" s="35" t="s">
        <v>4058</v>
      </c>
      <c r="M927" s="39" t="str">
        <f>HYPERLINK("http://dx.doi.org/10.1590/s1984-29612013000100037","10.1590/s1984-29612013000100037")</f>
        <v>10.1590/s1984-29612013000100037</v>
      </c>
      <c r="N927" s="40" t="s">
        <v>1092</v>
      </c>
      <c r="O927" s="40" t="s">
        <v>638</v>
      </c>
      <c r="P927" s="40" t="s">
        <v>4060</v>
      </c>
      <c r="Q927" t="s">
        <v>316</v>
      </c>
    </row>
    <row r="928" spans="1:17" x14ac:dyDescent="0.25">
      <c r="A928" s="2" t="str">
        <f>HYPERLINK("https://www.ncbi.nlm.nih.gov/pubmed/23786066","23786066")</f>
        <v>23786066</v>
      </c>
      <c r="B928">
        <f t="shared" si="61"/>
        <v>3</v>
      </c>
      <c r="C928">
        <f t="shared" si="61"/>
        <v>0</v>
      </c>
      <c r="D928">
        <f t="shared" si="61"/>
        <v>0</v>
      </c>
      <c r="E928">
        <f t="shared" si="59"/>
        <v>3</v>
      </c>
      <c r="F928">
        <v>2013</v>
      </c>
      <c r="G928" t="s">
        <v>4145</v>
      </c>
      <c r="H928">
        <v>0</v>
      </c>
      <c r="I928" s="65">
        <v>0</v>
      </c>
      <c r="J928" t="s">
        <v>4146</v>
      </c>
      <c r="K928" s="35" t="s">
        <v>909</v>
      </c>
      <c r="L928" s="35" t="s">
        <v>7014</v>
      </c>
      <c r="M928" s="39" t="str">
        <f>HYPERLINK("http://dx.doi.org/10.1603/ec12180","10.1603/ec12180")</f>
        <v>10.1603/ec12180</v>
      </c>
      <c r="N928" s="40" t="s">
        <v>3978</v>
      </c>
      <c r="O928" s="40" t="s">
        <v>744</v>
      </c>
      <c r="P928" s="40" t="s">
        <v>4147</v>
      </c>
      <c r="Q928" t="s">
        <v>316</v>
      </c>
    </row>
    <row r="929" spans="1:17" x14ac:dyDescent="0.25">
      <c r="A929" s="2" t="str">
        <f>HYPERLINK("https://www.ncbi.nlm.nih.gov/pubmed/23785993","23785993")</f>
        <v>23785993</v>
      </c>
      <c r="B929">
        <f t="shared" si="61"/>
        <v>3</v>
      </c>
      <c r="C929">
        <f t="shared" si="61"/>
        <v>10</v>
      </c>
      <c r="D929">
        <f t="shared" si="61"/>
        <v>0</v>
      </c>
      <c r="E929">
        <f t="shared" si="59"/>
        <v>13</v>
      </c>
      <c r="F929">
        <v>2013</v>
      </c>
      <c r="G929" t="s">
        <v>4148</v>
      </c>
      <c r="H929">
        <v>0</v>
      </c>
      <c r="I929" s="65">
        <v>0</v>
      </c>
      <c r="J929" t="s">
        <v>4150</v>
      </c>
      <c r="K929" s="35" t="s">
        <v>851</v>
      </c>
      <c r="L929" s="35" t="s">
        <v>4149</v>
      </c>
      <c r="M929" s="39" t="str">
        <f>HYPERLINK("http://dx.doi.org/10.3724/sp.j.1123.2012.10003","10.3724/sp.j.1123.2012.10003")</f>
        <v>10.3724/sp.j.1123.2012.10003</v>
      </c>
      <c r="N929" s="40" t="s">
        <v>753</v>
      </c>
      <c r="O929" s="40" t="s">
        <v>750</v>
      </c>
      <c r="P929" s="40" t="s">
        <v>4151</v>
      </c>
      <c r="Q929" t="s">
        <v>316</v>
      </c>
    </row>
    <row r="930" spans="1:17" x14ac:dyDescent="0.25">
      <c r="A930" s="2" t="str">
        <f>HYPERLINK("https://www.ncbi.nlm.nih.gov/pubmed/23697174","23697174")</f>
        <v>23697174</v>
      </c>
      <c r="B930">
        <f t="shared" si="61"/>
        <v>3</v>
      </c>
      <c r="C930">
        <f t="shared" si="61"/>
        <v>0</v>
      </c>
      <c r="D930">
        <f t="shared" si="61"/>
        <v>0</v>
      </c>
      <c r="E930">
        <f t="shared" si="59"/>
        <v>3</v>
      </c>
      <c r="F930">
        <v>2013</v>
      </c>
      <c r="G930" t="s">
        <v>4170</v>
      </c>
      <c r="H930">
        <v>0</v>
      </c>
      <c r="I930" s="65">
        <v>0</v>
      </c>
      <c r="J930" t="s">
        <v>4172</v>
      </c>
      <c r="K930" s="35" t="s">
        <v>851</v>
      </c>
      <c r="L930" s="35" t="s">
        <v>4171</v>
      </c>
      <c r="M930" s="39" t="str">
        <f>HYPERLINK("http://dx.doi.org/10.3724/sp.j.1123.2012.10005","10.3724/sp.j.1123.2012.10005")</f>
        <v>10.3724/sp.j.1123.2012.10005</v>
      </c>
      <c r="N930" s="40" t="s">
        <v>753</v>
      </c>
      <c r="O930" s="40" t="s">
        <v>744</v>
      </c>
      <c r="P930" s="40" t="s">
        <v>4173</v>
      </c>
      <c r="Q930" t="s">
        <v>316</v>
      </c>
    </row>
    <row r="931" spans="1:17" x14ac:dyDescent="0.25">
      <c r="A931" s="2" t="str">
        <f>HYPERLINK("https://www.ncbi.nlm.nih.gov/pubmed/23625624","23625624")</f>
        <v>23625624</v>
      </c>
      <c r="B931">
        <f t="shared" si="61"/>
        <v>3</v>
      </c>
      <c r="C931">
        <f t="shared" si="61"/>
        <v>0</v>
      </c>
      <c r="D931">
        <f t="shared" si="61"/>
        <v>0</v>
      </c>
      <c r="E931">
        <f t="shared" si="59"/>
        <v>3</v>
      </c>
      <c r="F931">
        <v>2013</v>
      </c>
      <c r="G931" t="s">
        <v>4177</v>
      </c>
      <c r="H931">
        <v>0</v>
      </c>
      <c r="I931" s="65">
        <v>0</v>
      </c>
      <c r="J931" t="s">
        <v>4179</v>
      </c>
      <c r="K931" s="35" t="s">
        <v>755</v>
      </c>
      <c r="L931" s="35" t="s">
        <v>4178</v>
      </c>
      <c r="M931" s="39" t="str">
        <f>HYPERLINK("http://dx.doi.org/10.1002/etc.2254","10.1002/etc.2254")</f>
        <v>10.1002/etc.2254</v>
      </c>
      <c r="N931" s="40" t="s">
        <v>1018</v>
      </c>
      <c r="O931" s="40" t="s">
        <v>781</v>
      </c>
      <c r="P931" s="40" t="s">
        <v>4180</v>
      </c>
      <c r="Q931" t="s">
        <v>316</v>
      </c>
    </row>
    <row r="932" spans="1:17" x14ac:dyDescent="0.25">
      <c r="A932" s="2" t="str">
        <f>HYPERLINK("https://www.ncbi.nlm.nih.gov/pubmed/23613758","23613758")</f>
        <v>23613758</v>
      </c>
      <c r="B932">
        <f t="shared" si="61"/>
        <v>3</v>
      </c>
      <c r="C932">
        <f t="shared" si="61"/>
        <v>0</v>
      </c>
      <c r="D932">
        <f t="shared" si="61"/>
        <v>0</v>
      </c>
      <c r="E932">
        <f t="shared" si="59"/>
        <v>3</v>
      </c>
      <c r="F932">
        <v>2013</v>
      </c>
      <c r="G932" t="s">
        <v>4184</v>
      </c>
      <c r="H932">
        <v>0</v>
      </c>
      <c r="I932" s="64" t="str">
        <f>HYPERLINK("https://www.ncbi.nlm.nih.gov/research/pubtator/?view=docsum&amp;query=PMC3628707","1")</f>
        <v>1</v>
      </c>
      <c r="J932" t="s">
        <v>4185</v>
      </c>
      <c r="K932" s="35" t="s">
        <v>779</v>
      </c>
      <c r="L932" s="35" t="s">
        <v>7019</v>
      </c>
      <c r="M932" s="39" t="str">
        <f>HYPERLINK("http://dx.doi.org/10.1371/journal.pone.0060929","10.1371/journal.pone.0060929")</f>
        <v>10.1371/journal.pone.0060929</v>
      </c>
      <c r="N932" s="40" t="s">
        <v>781</v>
      </c>
      <c r="O932" s="40" t="s">
        <v>690</v>
      </c>
      <c r="P932" s="40" t="s">
        <v>4186</v>
      </c>
      <c r="Q932" t="s">
        <v>316</v>
      </c>
    </row>
    <row r="933" spans="1:17" x14ac:dyDescent="0.25">
      <c r="A933" s="2" t="str">
        <f>HYPERLINK("https://www.ncbi.nlm.nih.gov/pubmed/23497548","23497548")</f>
        <v>23497548</v>
      </c>
      <c r="B933">
        <f t="shared" si="61"/>
        <v>3</v>
      </c>
      <c r="C933">
        <f t="shared" si="61"/>
        <v>0</v>
      </c>
      <c r="D933">
        <f t="shared" si="61"/>
        <v>0</v>
      </c>
      <c r="E933">
        <f t="shared" si="59"/>
        <v>3</v>
      </c>
      <c r="F933">
        <v>2013</v>
      </c>
      <c r="G933" t="s">
        <v>4207</v>
      </c>
      <c r="H933">
        <v>0</v>
      </c>
      <c r="I933" s="64" t="str">
        <f>HYPERLINK("https://www.ncbi.nlm.nih.gov/research/pubtator/?view=docsum&amp;query=PMC3623908","1")</f>
        <v>1</v>
      </c>
      <c r="J933" t="s">
        <v>4208</v>
      </c>
      <c r="K933" s="35" t="s">
        <v>870</v>
      </c>
      <c r="L933" s="35" t="s">
        <v>7024</v>
      </c>
      <c r="M933" s="39" t="str">
        <f>HYPERLINK("http://dx.doi.org/10.1186/1756-3305-6-62","10.1186/1756-3305-6-62")</f>
        <v>10.1186/1756-3305-6-62</v>
      </c>
      <c r="N933" s="40" t="s">
        <v>741</v>
      </c>
      <c r="O933" s="40" t="s">
        <v>383</v>
      </c>
      <c r="P933" s="40" t="s">
        <v>2372</v>
      </c>
      <c r="Q933" t="s">
        <v>316</v>
      </c>
    </row>
    <row r="934" spans="1:17" x14ac:dyDescent="0.25">
      <c r="A934" s="2" t="str">
        <f>HYPERLINK("https://www.ncbi.nlm.nih.gov/pubmed/23419268","23419268")</f>
        <v>23419268</v>
      </c>
      <c r="B934">
        <f t="shared" si="61"/>
        <v>3</v>
      </c>
      <c r="C934">
        <f t="shared" si="61"/>
        <v>0</v>
      </c>
      <c r="D934">
        <f t="shared" si="61"/>
        <v>0</v>
      </c>
      <c r="E934">
        <f t="shared" si="59"/>
        <v>3</v>
      </c>
      <c r="F934">
        <v>2013</v>
      </c>
      <c r="G934" t="s">
        <v>4231</v>
      </c>
      <c r="H934">
        <v>0</v>
      </c>
      <c r="I934" s="64" t="str">
        <f>HYPERLINK("https://www.ncbi.nlm.nih.gov/research/pubtator/?view=docsum&amp;query=PMC3718530","1")</f>
        <v>1</v>
      </c>
      <c r="J934" t="s">
        <v>4232</v>
      </c>
      <c r="K934" s="35" t="s">
        <v>2925</v>
      </c>
      <c r="L934" s="35" t="s">
        <v>7028</v>
      </c>
      <c r="M934" s="39" t="str">
        <f>HYPERLINK("http://dx.doi.org/10.1051/parasite/2013006","10.1051/parasite/2013006")</f>
        <v>10.1051/parasite/2013006</v>
      </c>
      <c r="N934" s="40" t="s">
        <v>1109</v>
      </c>
      <c r="O934" s="40" t="s">
        <v>383</v>
      </c>
      <c r="P934" s="40" t="s">
        <v>748</v>
      </c>
      <c r="Q934" t="s">
        <v>316</v>
      </c>
    </row>
    <row r="935" spans="1:17" x14ac:dyDescent="0.25">
      <c r="A935" s="2" t="str">
        <f>HYPERLINK("https://www.ncbi.nlm.nih.gov/pubmed/23377859","23377859")</f>
        <v>23377859</v>
      </c>
      <c r="B935">
        <f t="shared" si="61"/>
        <v>3</v>
      </c>
      <c r="C935">
        <f t="shared" si="61"/>
        <v>0</v>
      </c>
      <c r="D935">
        <f t="shared" si="61"/>
        <v>0</v>
      </c>
      <c r="E935">
        <f t="shared" si="59"/>
        <v>3</v>
      </c>
      <c r="F935">
        <v>2013</v>
      </c>
      <c r="G935" t="s">
        <v>4242</v>
      </c>
      <c r="H935">
        <v>0</v>
      </c>
      <c r="I935" s="65">
        <v>0</v>
      </c>
      <c r="J935" t="s">
        <v>4244</v>
      </c>
      <c r="K935" s="35" t="s">
        <v>755</v>
      </c>
      <c r="L935" s="35" t="s">
        <v>4243</v>
      </c>
      <c r="M935" s="39" t="str">
        <f>HYPERLINK("http://dx.doi.org/10.1002/etc.2147","10.1002/etc.2147")</f>
        <v>10.1002/etc.2147</v>
      </c>
      <c r="N935" s="40" t="s">
        <v>1018</v>
      </c>
      <c r="O935" s="40" t="s">
        <v>746</v>
      </c>
      <c r="P935" s="40" t="s">
        <v>4245</v>
      </c>
      <c r="Q935" t="s">
        <v>316</v>
      </c>
    </row>
    <row r="936" spans="1:17" x14ac:dyDescent="0.25">
      <c r="A936" s="2" t="str">
        <f>HYPERLINK("https://www.ncbi.nlm.nih.gov/pubmed/23298566","23298566")</f>
        <v>23298566</v>
      </c>
      <c r="B936">
        <f t="shared" si="61"/>
        <v>3</v>
      </c>
      <c r="C936">
        <f t="shared" si="61"/>
        <v>0</v>
      </c>
      <c r="D936">
        <f t="shared" si="61"/>
        <v>0</v>
      </c>
      <c r="E936">
        <f t="shared" si="59"/>
        <v>3</v>
      </c>
      <c r="F936">
        <v>2013</v>
      </c>
      <c r="G936" t="s">
        <v>4253</v>
      </c>
      <c r="H936">
        <v>0</v>
      </c>
      <c r="I936" s="65">
        <v>0</v>
      </c>
      <c r="J936" t="s">
        <v>4254</v>
      </c>
      <c r="K936" s="35" t="s">
        <v>1052</v>
      </c>
      <c r="L936" s="35" t="s">
        <v>7031</v>
      </c>
      <c r="M936" s="39" t="str">
        <f>HYPERLINK("http://dx.doi.org/10.1016/j.vetpar.2012.12.009","10.1016/j.vetpar.2012.12.009")</f>
        <v>10.1016/j.vetpar.2012.12.009</v>
      </c>
      <c r="N936" s="40" t="s">
        <v>1014</v>
      </c>
      <c r="O936" s="40" t="s">
        <v>2110</v>
      </c>
      <c r="P936" s="40" t="s">
        <v>4255</v>
      </c>
      <c r="Q936" t="s">
        <v>316</v>
      </c>
    </row>
    <row r="937" spans="1:17" x14ac:dyDescent="0.25">
      <c r="A937" s="2" t="str">
        <f>HYPERLINK("https://www.ncbi.nlm.nih.gov/pubmed/23261124","23261124")</f>
        <v>23261124</v>
      </c>
      <c r="B937">
        <f t="shared" si="61"/>
        <v>3</v>
      </c>
      <c r="C937">
        <f t="shared" si="61"/>
        <v>10</v>
      </c>
      <c r="D937">
        <f t="shared" si="61"/>
        <v>0</v>
      </c>
      <c r="E937">
        <f t="shared" si="59"/>
        <v>13</v>
      </c>
      <c r="F937">
        <v>2013</v>
      </c>
      <c r="G937" t="s">
        <v>4269</v>
      </c>
      <c r="H937">
        <v>0</v>
      </c>
      <c r="I937" s="65">
        <v>0</v>
      </c>
      <c r="J937" t="s">
        <v>3852</v>
      </c>
      <c r="K937" s="35" t="s">
        <v>822</v>
      </c>
      <c r="L937" s="35" t="s">
        <v>4270</v>
      </c>
      <c r="M937" s="39" t="str">
        <f>HYPERLINK("http://dx.doi.org/10.1016/j.chemosphere.2012.11.046","10.1016/j.chemosphere.2012.11.046")</f>
        <v>10.1016/j.chemosphere.2012.11.046</v>
      </c>
      <c r="N937" s="40" t="s">
        <v>2505</v>
      </c>
      <c r="O937" s="40" t="s">
        <v>678</v>
      </c>
      <c r="P937" s="40" t="s">
        <v>4271</v>
      </c>
      <c r="Q937" t="s">
        <v>316</v>
      </c>
    </row>
    <row r="938" spans="1:17" x14ac:dyDescent="0.25">
      <c r="A938" s="2" t="str">
        <f>HYPERLINK("https://www.ncbi.nlm.nih.gov/pubmed/23179165","23179165")</f>
        <v>23179165</v>
      </c>
      <c r="B938">
        <f t="shared" si="61"/>
        <v>3</v>
      </c>
      <c r="C938">
        <f t="shared" si="61"/>
        <v>0</v>
      </c>
      <c r="D938">
        <f t="shared" si="61"/>
        <v>0</v>
      </c>
      <c r="E938">
        <f t="shared" si="59"/>
        <v>3</v>
      </c>
      <c r="F938">
        <v>2013</v>
      </c>
      <c r="G938" t="s">
        <v>4291</v>
      </c>
      <c r="H938">
        <v>0</v>
      </c>
      <c r="I938" s="65">
        <v>0</v>
      </c>
      <c r="J938" t="s">
        <v>4293</v>
      </c>
      <c r="K938" s="35" t="s">
        <v>3164</v>
      </c>
      <c r="L938" s="35" t="s">
        <v>4292</v>
      </c>
      <c r="M938" s="39" t="str">
        <f>HYPERLINK("http://dx.doi.org/10.1007/s00128-012-0892-4","10.1007/s00128-012-0892-4")</f>
        <v>10.1007/s00128-012-0892-4</v>
      </c>
      <c r="N938" s="40" t="s">
        <v>2505</v>
      </c>
      <c r="O938" s="40" t="s">
        <v>638</v>
      </c>
      <c r="P938" s="40" t="s">
        <v>4294</v>
      </c>
      <c r="Q938" t="s">
        <v>316</v>
      </c>
    </row>
    <row r="939" spans="1:17" x14ac:dyDescent="0.25">
      <c r="A939" s="2" t="str">
        <f>HYPERLINK("https://www.ncbi.nlm.nih.gov/pubmed/23021262","23021262")</f>
        <v>23021262</v>
      </c>
      <c r="B939">
        <f t="shared" si="61"/>
        <v>3</v>
      </c>
      <c r="C939">
        <f t="shared" si="61"/>
        <v>0</v>
      </c>
      <c r="D939">
        <f t="shared" si="61"/>
        <v>0</v>
      </c>
      <c r="E939">
        <f t="shared" si="59"/>
        <v>3</v>
      </c>
      <c r="F939">
        <v>2013</v>
      </c>
      <c r="G939" t="s">
        <v>4326</v>
      </c>
      <c r="H939">
        <v>0</v>
      </c>
      <c r="I939" s="65">
        <v>0</v>
      </c>
      <c r="J939" t="s">
        <v>4327</v>
      </c>
      <c r="K939" s="35" t="s">
        <v>1052</v>
      </c>
      <c r="L939" s="35" t="s">
        <v>7036</v>
      </c>
      <c r="M939" s="39" t="str">
        <f>HYPERLINK("http://dx.doi.org/10.1016/j.vetpar.2012.09.003","10.1016/j.vetpar.2012.09.003")</f>
        <v>10.1016/j.vetpar.2012.09.003</v>
      </c>
      <c r="N939" s="40" t="s">
        <v>4316</v>
      </c>
      <c r="O939" s="40" t="s">
        <v>1741</v>
      </c>
      <c r="P939" s="40" t="s">
        <v>4328</v>
      </c>
      <c r="Q939" t="s">
        <v>316</v>
      </c>
    </row>
    <row r="940" spans="1:17" x14ac:dyDescent="0.25">
      <c r="A940" s="2" t="str">
        <f>HYPERLINK("https://www.ncbi.nlm.nih.gov/pubmed/22928293","22928293")</f>
        <v>22928293</v>
      </c>
      <c r="B940">
        <f t="shared" si="61"/>
        <v>3</v>
      </c>
      <c r="C940">
        <f t="shared" si="61"/>
        <v>1</v>
      </c>
      <c r="D940">
        <f t="shared" si="61"/>
        <v>0</v>
      </c>
      <c r="E940">
        <f t="shared" si="59"/>
        <v>4</v>
      </c>
      <c r="F940">
        <v>2012</v>
      </c>
      <c r="G940" t="s">
        <v>4346</v>
      </c>
      <c r="H940">
        <v>0</v>
      </c>
      <c r="I940" s="65">
        <v>0</v>
      </c>
      <c r="J940" t="s">
        <v>4347</v>
      </c>
      <c r="K940" s="35" t="s">
        <v>909</v>
      </c>
      <c r="L940" s="35" t="s">
        <v>7037</v>
      </c>
      <c r="M940" s="39" t="str">
        <f>HYPERLINK("http://dx.doi.org/10.1603/ec12042","10.1603/ec12042")</f>
        <v>10.1603/ec12042</v>
      </c>
      <c r="N940" s="40" t="s">
        <v>3018</v>
      </c>
      <c r="O940" s="40" t="s">
        <v>690</v>
      </c>
      <c r="P940" s="40" t="s">
        <v>4348</v>
      </c>
      <c r="Q940" t="s">
        <v>316</v>
      </c>
    </row>
    <row r="941" spans="1:17" x14ac:dyDescent="0.25">
      <c r="A941" s="2" t="str">
        <f>HYPERLINK("https://www.ncbi.nlm.nih.gov/pubmed/22543603","22543603")</f>
        <v>22543603</v>
      </c>
      <c r="B941">
        <f t="shared" si="61"/>
        <v>3</v>
      </c>
      <c r="C941">
        <f t="shared" si="61"/>
        <v>0</v>
      </c>
      <c r="D941">
        <f t="shared" si="61"/>
        <v>0</v>
      </c>
      <c r="E941">
        <f t="shared" si="59"/>
        <v>3</v>
      </c>
      <c r="F941">
        <v>2012</v>
      </c>
      <c r="G941" t="s">
        <v>4411</v>
      </c>
      <c r="H941">
        <v>0</v>
      </c>
      <c r="I941" s="65">
        <v>0</v>
      </c>
      <c r="J941" t="s">
        <v>4413</v>
      </c>
      <c r="K941" s="35" t="s">
        <v>4414</v>
      </c>
      <c r="L941" s="35" t="s">
        <v>4412</v>
      </c>
      <c r="M941" s="39" t="str">
        <f>HYPERLINK("http://dx.doi.org/","")</f>
        <v/>
      </c>
      <c r="N941" s="40" t="s">
        <v>858</v>
      </c>
      <c r="O941" s="40" t="s">
        <v>638</v>
      </c>
      <c r="P941" s="40" t="s">
        <v>4415</v>
      </c>
      <c r="Q941" t="s">
        <v>316</v>
      </c>
    </row>
    <row r="942" spans="1:17" x14ac:dyDescent="0.25">
      <c r="A942" s="2" t="str">
        <f>HYPERLINK("https://www.ncbi.nlm.nih.gov/pubmed/22522784","22522784")</f>
        <v>22522784</v>
      </c>
      <c r="B942">
        <f t="shared" si="61"/>
        <v>3</v>
      </c>
      <c r="C942">
        <f t="shared" si="61"/>
        <v>0</v>
      </c>
      <c r="D942">
        <f t="shared" si="61"/>
        <v>0</v>
      </c>
      <c r="E942">
        <f t="shared" si="59"/>
        <v>3</v>
      </c>
      <c r="F942">
        <v>2012</v>
      </c>
      <c r="G942" t="s">
        <v>4423</v>
      </c>
      <c r="H942">
        <v>0</v>
      </c>
      <c r="I942" s="65">
        <v>0</v>
      </c>
      <c r="J942" t="s">
        <v>4424</v>
      </c>
      <c r="K942" s="35" t="s">
        <v>968</v>
      </c>
      <c r="L942" s="35" t="s">
        <v>7046</v>
      </c>
      <c r="M942" s="39" t="str">
        <f>HYPERLINK("http://dx.doi.org/10.1002/ps.3297","10.1002/ps.3297")</f>
        <v>10.1002/ps.3297</v>
      </c>
      <c r="N942" s="40" t="s">
        <v>1200</v>
      </c>
      <c r="O942" s="40" t="s">
        <v>660</v>
      </c>
      <c r="P942" s="40" t="s">
        <v>4425</v>
      </c>
      <c r="Q942" t="s">
        <v>316</v>
      </c>
    </row>
    <row r="943" spans="1:17" x14ac:dyDescent="0.25">
      <c r="A943" s="2" t="str">
        <f>HYPERLINK("https://www.ncbi.nlm.nih.gov/pubmed/22442753","22442753")</f>
        <v>22442753</v>
      </c>
      <c r="B943">
        <f t="shared" si="61"/>
        <v>3</v>
      </c>
      <c r="C943">
        <f t="shared" si="61"/>
        <v>0</v>
      </c>
      <c r="D943">
        <f t="shared" si="61"/>
        <v>0</v>
      </c>
      <c r="E943">
        <f t="shared" si="59"/>
        <v>3</v>
      </c>
      <c r="F943">
        <v>2012</v>
      </c>
      <c r="G943" t="s">
        <v>4445</v>
      </c>
      <c r="H943">
        <v>0</v>
      </c>
      <c r="I943" s="64" t="str">
        <f>HYPERLINK("https://www.ncbi.nlm.nih.gov/research/pubtator/?view=docsum&amp;query=PMC3310228","1")</f>
        <v>1</v>
      </c>
      <c r="J943" t="s">
        <v>4447</v>
      </c>
      <c r="K943" s="35" t="s">
        <v>747</v>
      </c>
      <c r="L943" s="35" t="s">
        <v>4446</v>
      </c>
      <c r="M943" s="39" t="str">
        <f>HYPERLINK("http://dx.doi.org/10.1038/srep00326","10.1038/srep00326")</f>
        <v>10.1038/srep00326</v>
      </c>
      <c r="N943" s="40" t="s">
        <v>744</v>
      </c>
      <c r="O943" s="40" t="s">
        <v>383</v>
      </c>
      <c r="P943" s="40" t="s">
        <v>4448</v>
      </c>
      <c r="Q943" t="s">
        <v>316</v>
      </c>
    </row>
    <row r="944" spans="1:17" x14ac:dyDescent="0.25">
      <c r="A944" s="2" t="str">
        <f>HYPERLINK("https://www.ncbi.nlm.nih.gov/pubmed/22421270","22421270")</f>
        <v>22421270</v>
      </c>
      <c r="B944">
        <f t="shared" ref="B944:D963" si="62">IF(ISBLANK(B$3),0,(LEN($L944) - LEN(SUBSTITUTE(LOWER($L944),LOWER(B$3),"")))/LEN(B$3))</f>
        <v>3</v>
      </c>
      <c r="C944">
        <f t="shared" si="62"/>
        <v>0</v>
      </c>
      <c r="D944">
        <f t="shared" si="62"/>
        <v>0</v>
      </c>
      <c r="E944">
        <f t="shared" si="59"/>
        <v>3</v>
      </c>
      <c r="F944">
        <v>2012</v>
      </c>
      <c r="G944" t="s">
        <v>4449</v>
      </c>
      <c r="H944">
        <v>0</v>
      </c>
      <c r="I944" s="65">
        <v>0</v>
      </c>
      <c r="J944" t="s">
        <v>4450</v>
      </c>
      <c r="K944" s="35" t="s">
        <v>1936</v>
      </c>
      <c r="L944" s="35" t="s">
        <v>7050</v>
      </c>
      <c r="M944" s="39" t="str">
        <f>HYPERLINK("http://dx.doi.org/10.1016/j.toxlet.2012.02.022","10.1016/j.toxlet.2012.02.022")</f>
        <v>10.1016/j.toxlet.2012.02.022</v>
      </c>
      <c r="N944" s="40" t="s">
        <v>3289</v>
      </c>
      <c r="O944" s="40" t="s">
        <v>638</v>
      </c>
      <c r="P944" s="40" t="s">
        <v>4451</v>
      </c>
      <c r="Q944" t="s">
        <v>316</v>
      </c>
    </row>
    <row r="945" spans="1:17" x14ac:dyDescent="0.25">
      <c r="A945" s="2" t="str">
        <f>HYPERLINK("https://www.ncbi.nlm.nih.gov/pubmed/22208607","22208607")</f>
        <v>22208607</v>
      </c>
      <c r="B945">
        <f t="shared" si="62"/>
        <v>3</v>
      </c>
      <c r="C945">
        <f t="shared" si="62"/>
        <v>0</v>
      </c>
      <c r="D945">
        <f t="shared" si="62"/>
        <v>0</v>
      </c>
      <c r="E945">
        <f t="shared" si="59"/>
        <v>3</v>
      </c>
      <c r="F945">
        <v>2012</v>
      </c>
      <c r="G945" t="s">
        <v>4492</v>
      </c>
      <c r="H945">
        <v>0</v>
      </c>
      <c r="I945" s="65">
        <v>0</v>
      </c>
      <c r="J945" t="s">
        <v>4493</v>
      </c>
      <c r="K945" s="35" t="s">
        <v>4494</v>
      </c>
      <c r="L945" s="35" t="s">
        <v>7055</v>
      </c>
      <c r="M945" s="39" t="str">
        <f>HYPERLINK("http://dx.doi.org/10.1016/j.funbio.2011.10.007","10.1016/j.funbio.2011.10.007")</f>
        <v>10.1016/j.funbio.2011.10.007</v>
      </c>
      <c r="N945" s="40" t="s">
        <v>1948</v>
      </c>
      <c r="O945" s="40" t="s">
        <v>638</v>
      </c>
      <c r="P945" s="40" t="s">
        <v>4495</v>
      </c>
      <c r="Q945" t="s">
        <v>316</v>
      </c>
    </row>
    <row r="946" spans="1:17" x14ac:dyDescent="0.25">
      <c r="A946" s="2" t="str">
        <f>HYPERLINK("https://www.ncbi.nlm.nih.gov/pubmed/21877228","21877228")</f>
        <v>21877228</v>
      </c>
      <c r="B946">
        <f t="shared" si="62"/>
        <v>3</v>
      </c>
      <c r="C946">
        <f t="shared" si="62"/>
        <v>0</v>
      </c>
      <c r="D946">
        <f t="shared" si="62"/>
        <v>0</v>
      </c>
      <c r="E946">
        <f t="shared" si="59"/>
        <v>3</v>
      </c>
      <c r="F946">
        <v>2012</v>
      </c>
      <c r="G946" t="s">
        <v>4567</v>
      </c>
      <c r="H946">
        <v>0</v>
      </c>
      <c r="I946" s="65">
        <v>0</v>
      </c>
      <c r="J946" t="s">
        <v>4568</v>
      </c>
      <c r="K946" s="35" t="s">
        <v>730</v>
      </c>
      <c r="L946" s="35" t="s">
        <v>7065</v>
      </c>
      <c r="M946" s="39" t="str">
        <f>HYPERLINK("http://dx.doi.org/10.1007/s10646-011-0778-y","10.1007/s10646-011-0778-y")</f>
        <v>10.1007/s10646-011-0778-y</v>
      </c>
      <c r="N946" s="40" t="s">
        <v>1364</v>
      </c>
      <c r="O946" s="40" t="s">
        <v>638</v>
      </c>
      <c r="P946" s="40" t="s">
        <v>4569</v>
      </c>
      <c r="Q946" t="s">
        <v>316</v>
      </c>
    </row>
    <row r="947" spans="1:17" x14ac:dyDescent="0.25">
      <c r="A947" s="2" t="str">
        <f>HYPERLINK("https://www.ncbi.nlm.nih.gov/pubmed/21777737","21777737")</f>
        <v>21777737</v>
      </c>
      <c r="B947">
        <f t="shared" si="62"/>
        <v>3</v>
      </c>
      <c r="C947">
        <f t="shared" si="62"/>
        <v>0</v>
      </c>
      <c r="D947">
        <f t="shared" si="62"/>
        <v>0</v>
      </c>
      <c r="E947">
        <f t="shared" si="59"/>
        <v>3</v>
      </c>
      <c r="F947">
        <v>2011</v>
      </c>
      <c r="G947" t="s">
        <v>4587</v>
      </c>
      <c r="H947">
        <v>0</v>
      </c>
      <c r="I947" s="65">
        <v>0</v>
      </c>
      <c r="J947" t="s">
        <v>4588</v>
      </c>
      <c r="K947" s="35" t="s">
        <v>1052</v>
      </c>
      <c r="L947" s="35" t="s">
        <v>7066</v>
      </c>
      <c r="M947" s="39" t="str">
        <f>HYPERLINK("http://dx.doi.org/10.1016/j.vetpar.2011.03.047","10.1016/j.vetpar.2011.03.047")</f>
        <v>10.1016/j.vetpar.2011.03.047</v>
      </c>
      <c r="N947" s="40" t="s">
        <v>3022</v>
      </c>
      <c r="O947" s="40" t="s">
        <v>690</v>
      </c>
      <c r="P947" s="40" t="s">
        <v>4589</v>
      </c>
      <c r="Q947" t="s">
        <v>316</v>
      </c>
    </row>
    <row r="948" spans="1:17" x14ac:dyDescent="0.25">
      <c r="A948" s="2" t="str">
        <f>HYPERLINK("https://www.ncbi.nlm.nih.gov/pubmed/21777736","21777736")</f>
        <v>21777736</v>
      </c>
      <c r="B948">
        <f t="shared" si="62"/>
        <v>3</v>
      </c>
      <c r="C948">
        <f t="shared" si="62"/>
        <v>0</v>
      </c>
      <c r="D948">
        <f t="shared" si="62"/>
        <v>0</v>
      </c>
      <c r="E948">
        <f t="shared" si="59"/>
        <v>3</v>
      </c>
      <c r="F948">
        <v>2011</v>
      </c>
      <c r="G948" t="s">
        <v>4590</v>
      </c>
      <c r="H948">
        <v>0</v>
      </c>
      <c r="I948" s="65">
        <v>0</v>
      </c>
      <c r="J948" t="s">
        <v>4591</v>
      </c>
      <c r="K948" s="35" t="s">
        <v>1052</v>
      </c>
      <c r="L948" s="35" t="s">
        <v>7067</v>
      </c>
      <c r="M948" s="39" t="str">
        <f>HYPERLINK("http://dx.doi.org/10.1016/j.vetpar.2011.03.046","10.1016/j.vetpar.2011.03.046")</f>
        <v>10.1016/j.vetpar.2011.03.046</v>
      </c>
      <c r="N948" s="40" t="s">
        <v>3022</v>
      </c>
      <c r="O948" s="40" t="s">
        <v>690</v>
      </c>
      <c r="P948" s="40" t="s">
        <v>4592</v>
      </c>
      <c r="Q948" t="s">
        <v>316</v>
      </c>
    </row>
    <row r="949" spans="1:17" x14ac:dyDescent="0.25">
      <c r="A949" s="2" t="str">
        <f>HYPERLINK("https://www.ncbi.nlm.nih.gov/pubmed/21777733","21777733")</f>
        <v>21777733</v>
      </c>
      <c r="B949">
        <f t="shared" si="62"/>
        <v>3</v>
      </c>
      <c r="C949">
        <f t="shared" si="62"/>
        <v>0</v>
      </c>
      <c r="D949">
        <f t="shared" si="62"/>
        <v>0</v>
      </c>
      <c r="E949">
        <f t="shared" si="59"/>
        <v>3</v>
      </c>
      <c r="F949">
        <v>2011</v>
      </c>
      <c r="G949" t="s">
        <v>4599</v>
      </c>
      <c r="H949">
        <v>0</v>
      </c>
      <c r="I949" s="65">
        <v>0</v>
      </c>
      <c r="J949" t="s">
        <v>4600</v>
      </c>
      <c r="K949" s="35" t="s">
        <v>1052</v>
      </c>
      <c r="L949" s="35" t="s">
        <v>7070</v>
      </c>
      <c r="M949" s="39" t="str">
        <f>HYPERLINK("http://dx.doi.org/10.1016/j.vetpar.2011.03.042","10.1016/j.vetpar.2011.03.042")</f>
        <v>10.1016/j.vetpar.2011.03.042</v>
      </c>
      <c r="N949" s="40" t="s">
        <v>3022</v>
      </c>
      <c r="O949" s="40" t="s">
        <v>690</v>
      </c>
      <c r="P949" s="40" t="s">
        <v>4601</v>
      </c>
      <c r="Q949" t="s">
        <v>316</v>
      </c>
    </row>
    <row r="950" spans="1:17" x14ac:dyDescent="0.25">
      <c r="A950" s="2" t="str">
        <f>HYPERLINK("https://www.ncbi.nlm.nih.gov/pubmed/21777732","21777732")</f>
        <v>21777732</v>
      </c>
      <c r="B950">
        <f t="shared" si="62"/>
        <v>3</v>
      </c>
      <c r="C950">
        <f t="shared" si="62"/>
        <v>0</v>
      </c>
      <c r="D950">
        <f t="shared" si="62"/>
        <v>0</v>
      </c>
      <c r="E950">
        <f t="shared" si="59"/>
        <v>3</v>
      </c>
      <c r="F950">
        <v>2011</v>
      </c>
      <c r="G950" t="s">
        <v>4602</v>
      </c>
      <c r="H950">
        <v>0</v>
      </c>
      <c r="I950" s="65">
        <v>0</v>
      </c>
      <c r="J950" t="s">
        <v>4603</v>
      </c>
      <c r="K950" s="35" t="s">
        <v>1052</v>
      </c>
      <c r="L950" s="35" t="s">
        <v>7071</v>
      </c>
      <c r="M950" s="39" t="str">
        <f>HYPERLINK("http://dx.doi.org/10.1016/j.vetpar.2011.03.043","10.1016/j.vetpar.2011.03.043")</f>
        <v>10.1016/j.vetpar.2011.03.043</v>
      </c>
      <c r="N950" s="40" t="s">
        <v>3022</v>
      </c>
      <c r="O950" s="40" t="s">
        <v>690</v>
      </c>
      <c r="P950" s="40" t="s">
        <v>4604</v>
      </c>
      <c r="Q950" t="s">
        <v>316</v>
      </c>
    </row>
    <row r="951" spans="1:17" x14ac:dyDescent="0.25">
      <c r="A951" s="2" t="str">
        <f>HYPERLINK("https://www.ncbi.nlm.nih.gov/pubmed/21296133","21296133")</f>
        <v>21296133</v>
      </c>
      <c r="B951">
        <f t="shared" si="62"/>
        <v>3</v>
      </c>
      <c r="C951">
        <f t="shared" si="62"/>
        <v>0</v>
      </c>
      <c r="D951">
        <f t="shared" si="62"/>
        <v>0</v>
      </c>
      <c r="E951">
        <f t="shared" si="59"/>
        <v>3</v>
      </c>
      <c r="F951">
        <v>2011</v>
      </c>
      <c r="G951" t="s">
        <v>4734</v>
      </c>
      <c r="H951">
        <v>0</v>
      </c>
      <c r="I951" s="65">
        <v>0</v>
      </c>
      <c r="J951" t="s">
        <v>4735</v>
      </c>
      <c r="K951" s="35" t="s">
        <v>1936</v>
      </c>
      <c r="L951" s="35" t="s">
        <v>7091</v>
      </c>
      <c r="M951" s="39" t="str">
        <f>HYPERLINK("http://dx.doi.org/10.1016/j.toxlet.2011.01.030","10.1016/j.toxlet.2011.01.030")</f>
        <v>10.1016/j.toxlet.2011.01.030</v>
      </c>
      <c r="N951" s="40" t="s">
        <v>2382</v>
      </c>
      <c r="O951" s="40" t="s">
        <v>744</v>
      </c>
      <c r="P951" s="40" t="s">
        <v>4736</v>
      </c>
      <c r="Q951" t="s">
        <v>316</v>
      </c>
    </row>
    <row r="952" spans="1:17" x14ac:dyDescent="0.25">
      <c r="A952" s="2" t="str">
        <f>HYPERLINK("https://www.ncbi.nlm.nih.gov/pubmed/21267650","21267650")</f>
        <v>21267650</v>
      </c>
      <c r="B952">
        <f t="shared" si="62"/>
        <v>3</v>
      </c>
      <c r="C952">
        <f t="shared" si="62"/>
        <v>0</v>
      </c>
      <c r="D952">
        <f t="shared" si="62"/>
        <v>0</v>
      </c>
      <c r="E952">
        <f t="shared" si="59"/>
        <v>3</v>
      </c>
      <c r="F952">
        <v>2011</v>
      </c>
      <c r="G952" t="s">
        <v>4748</v>
      </c>
      <c r="H952">
        <v>0</v>
      </c>
      <c r="I952" s="65">
        <v>0</v>
      </c>
      <c r="J952" t="s">
        <v>4749</v>
      </c>
      <c r="K952" s="35" t="s">
        <v>730</v>
      </c>
      <c r="L952" s="35" t="s">
        <v>7094</v>
      </c>
      <c r="M952" s="39" t="str">
        <f>HYPERLINK("http://dx.doi.org/10.1007/s10646-011-0594-4","10.1007/s10646-011-0594-4")</f>
        <v>10.1007/s10646-011-0594-4</v>
      </c>
      <c r="N952" s="40" t="s">
        <v>1109</v>
      </c>
      <c r="O952" s="40" t="s">
        <v>744</v>
      </c>
      <c r="P952" s="40" t="s">
        <v>4750</v>
      </c>
      <c r="Q952" t="s">
        <v>316</v>
      </c>
    </row>
    <row r="953" spans="1:17" x14ac:dyDescent="0.25">
      <c r="A953" s="2" t="str">
        <f>HYPERLINK("https://www.ncbi.nlm.nih.gov/pubmed/21175056","21175056")</f>
        <v>21175056</v>
      </c>
      <c r="B953">
        <f t="shared" si="62"/>
        <v>3</v>
      </c>
      <c r="C953">
        <f t="shared" si="62"/>
        <v>0</v>
      </c>
      <c r="D953">
        <f t="shared" si="62"/>
        <v>0</v>
      </c>
      <c r="E953">
        <f t="shared" si="59"/>
        <v>3</v>
      </c>
      <c r="F953">
        <v>2010</v>
      </c>
      <c r="G953" t="s">
        <v>4771</v>
      </c>
      <c r="H953">
        <v>0</v>
      </c>
      <c r="I953" s="65">
        <v>0</v>
      </c>
      <c r="J953" t="s">
        <v>4773</v>
      </c>
      <c r="K953" s="35" t="s">
        <v>1027</v>
      </c>
      <c r="L953" s="35" t="s">
        <v>4772</v>
      </c>
      <c r="M953" s="39" t="str">
        <f>HYPERLINK("http://dx.doi.org/10.1603/me10069","10.1603/me10069")</f>
        <v>10.1603/me10069</v>
      </c>
      <c r="N953" s="40" t="s">
        <v>2814</v>
      </c>
      <c r="O953" s="40" t="s">
        <v>741</v>
      </c>
      <c r="P953" s="40" t="s">
        <v>4774</v>
      </c>
      <c r="Q953" t="s">
        <v>316</v>
      </c>
    </row>
    <row r="954" spans="1:17" x14ac:dyDescent="0.25">
      <c r="A954" s="2" t="str">
        <f>HYPERLINK("https://www.ncbi.nlm.nih.gov/pubmed/21167920","21167920")</f>
        <v>21167920</v>
      </c>
      <c r="B954">
        <f t="shared" si="62"/>
        <v>3</v>
      </c>
      <c r="C954">
        <f t="shared" si="62"/>
        <v>0</v>
      </c>
      <c r="D954">
        <f t="shared" si="62"/>
        <v>0</v>
      </c>
      <c r="E954">
        <f t="shared" si="59"/>
        <v>3</v>
      </c>
      <c r="F954">
        <v>2011</v>
      </c>
      <c r="G954" t="s">
        <v>4775</v>
      </c>
      <c r="H954">
        <v>0</v>
      </c>
      <c r="I954" s="65">
        <v>0</v>
      </c>
      <c r="J954" t="s">
        <v>4777</v>
      </c>
      <c r="K954" s="35" t="s">
        <v>1936</v>
      </c>
      <c r="L954" s="35" t="s">
        <v>4776</v>
      </c>
      <c r="M954" s="39" t="str">
        <f>HYPERLINK("http://dx.doi.org/10.1016/j.toxlet.2010.12.009","10.1016/j.toxlet.2010.12.009")</f>
        <v>10.1016/j.toxlet.2010.12.009</v>
      </c>
      <c r="N954" s="40" t="s">
        <v>3967</v>
      </c>
      <c r="O954" s="40" t="s">
        <v>638</v>
      </c>
      <c r="P954" s="40" t="s">
        <v>4778</v>
      </c>
      <c r="Q954" t="s">
        <v>316</v>
      </c>
    </row>
    <row r="955" spans="1:17" x14ac:dyDescent="0.25">
      <c r="A955" s="2" t="str">
        <f>HYPERLINK("https://www.ncbi.nlm.nih.gov/pubmed/21061977","21061977")</f>
        <v>21061977</v>
      </c>
      <c r="B955">
        <f t="shared" si="62"/>
        <v>3</v>
      </c>
      <c r="C955">
        <f t="shared" si="62"/>
        <v>0</v>
      </c>
      <c r="D955">
        <f t="shared" si="62"/>
        <v>0</v>
      </c>
      <c r="E955">
        <f t="shared" si="59"/>
        <v>3</v>
      </c>
      <c r="F955">
        <v>2010</v>
      </c>
      <c r="G955" t="s">
        <v>4800</v>
      </c>
      <c r="H955">
        <v>0</v>
      </c>
      <c r="I955" s="65">
        <v>0</v>
      </c>
      <c r="J955" t="s">
        <v>4801</v>
      </c>
      <c r="K955" s="35" t="s">
        <v>909</v>
      </c>
      <c r="L955" s="35" t="s">
        <v>7099</v>
      </c>
      <c r="M955" s="39" t="str">
        <f>HYPERLINK("http://dx.doi.org/10.1603/ec10154","10.1603/ec10154")</f>
        <v>10.1603/ec10154</v>
      </c>
      <c r="N955" s="40" t="s">
        <v>2838</v>
      </c>
      <c r="O955" s="40" t="s">
        <v>746</v>
      </c>
      <c r="P955" s="40" t="s">
        <v>4802</v>
      </c>
      <c r="Q955" t="s">
        <v>316</v>
      </c>
    </row>
    <row r="956" spans="1:17" x14ac:dyDescent="0.25">
      <c r="A956" s="2" t="str">
        <f>HYPERLINK("https://www.ncbi.nlm.nih.gov/pubmed/20730990","20730990")</f>
        <v>20730990</v>
      </c>
      <c r="B956">
        <f t="shared" si="62"/>
        <v>3</v>
      </c>
      <c r="C956">
        <f t="shared" si="62"/>
        <v>0</v>
      </c>
      <c r="D956">
        <f t="shared" si="62"/>
        <v>0</v>
      </c>
      <c r="E956">
        <f t="shared" si="59"/>
        <v>3</v>
      </c>
      <c r="F956">
        <v>2010</v>
      </c>
      <c r="G956" t="s">
        <v>4862</v>
      </c>
      <c r="H956">
        <v>0</v>
      </c>
      <c r="I956" s="65">
        <v>0</v>
      </c>
      <c r="J956" t="s">
        <v>4863</v>
      </c>
      <c r="K956" s="35" t="s">
        <v>968</v>
      </c>
      <c r="L956" s="35" t="s">
        <v>7101</v>
      </c>
      <c r="M956" s="39" t="str">
        <f>HYPERLINK("http://dx.doi.org/10.1002/ps.1970","10.1002/ps.1970")</f>
        <v>10.1002/ps.1970</v>
      </c>
      <c r="N956" s="40" t="s">
        <v>2424</v>
      </c>
      <c r="O956" s="40" t="s">
        <v>660</v>
      </c>
      <c r="P956" s="40" t="s">
        <v>4864</v>
      </c>
      <c r="Q956" t="s">
        <v>316</v>
      </c>
    </row>
    <row r="957" spans="1:17" x14ac:dyDescent="0.25">
      <c r="A957" s="2" t="str">
        <f>HYPERLINK("https://www.ncbi.nlm.nih.gov/pubmed/20434756","20434756")</f>
        <v>20434756</v>
      </c>
      <c r="B957">
        <f t="shared" si="62"/>
        <v>3</v>
      </c>
      <c r="C957">
        <f t="shared" si="62"/>
        <v>0</v>
      </c>
      <c r="D957">
        <f t="shared" si="62"/>
        <v>0</v>
      </c>
      <c r="E957">
        <f t="shared" si="59"/>
        <v>3</v>
      </c>
      <c r="F957">
        <v>2010</v>
      </c>
      <c r="G957" t="s">
        <v>4911</v>
      </c>
      <c r="H957">
        <v>0</v>
      </c>
      <c r="I957" s="65">
        <v>0</v>
      </c>
      <c r="J957" t="s">
        <v>4417</v>
      </c>
      <c r="K957" s="35" t="s">
        <v>670</v>
      </c>
      <c r="L957" s="35" t="s">
        <v>4912</v>
      </c>
      <c r="M957" s="39" t="str">
        <f>HYPERLINK("http://dx.doi.org/10.1016/j.scitotenv.2010.04.004","10.1016/j.scitotenv.2010.04.004")</f>
        <v>10.1016/j.scitotenv.2010.04.004</v>
      </c>
      <c r="N957" s="40" t="s">
        <v>4913</v>
      </c>
      <c r="O957" s="40" t="s">
        <v>780</v>
      </c>
      <c r="P957" s="40" t="s">
        <v>4914</v>
      </c>
      <c r="Q957" t="s">
        <v>316</v>
      </c>
    </row>
    <row r="958" spans="1:17" x14ac:dyDescent="0.25">
      <c r="A958" s="2" t="str">
        <f>HYPERLINK("https://www.ncbi.nlm.nih.gov/pubmed/20429459","20429459")</f>
        <v>20429459</v>
      </c>
      <c r="B958">
        <f t="shared" si="62"/>
        <v>3</v>
      </c>
      <c r="C958">
        <f t="shared" si="62"/>
        <v>0</v>
      </c>
      <c r="D958">
        <f t="shared" si="62"/>
        <v>0</v>
      </c>
      <c r="E958">
        <f t="shared" si="59"/>
        <v>3</v>
      </c>
      <c r="F958">
        <v>2010</v>
      </c>
      <c r="G958" t="s">
        <v>4922</v>
      </c>
      <c r="H958">
        <v>0</v>
      </c>
      <c r="I958" s="65">
        <v>0</v>
      </c>
      <c r="J958" t="s">
        <v>4867</v>
      </c>
      <c r="K958" s="35" t="s">
        <v>909</v>
      </c>
      <c r="L958" s="35" t="s">
        <v>4923</v>
      </c>
      <c r="M958" s="39" t="str">
        <f>HYPERLINK("http://dx.doi.org/10.1603/EC09101","10.1603/EC09101")</f>
        <v>10.1603/EC09101</v>
      </c>
      <c r="N958" s="40" t="s">
        <v>2838</v>
      </c>
      <c r="O958" s="40" t="s">
        <v>744</v>
      </c>
      <c r="P958" s="40" t="s">
        <v>4924</v>
      </c>
      <c r="Q958" t="s">
        <v>316</v>
      </c>
    </row>
    <row r="959" spans="1:17" x14ac:dyDescent="0.25">
      <c r="A959" s="2" t="str">
        <f>HYPERLINK("https://www.ncbi.nlm.nih.gov/pubmed/19742450","19742450")</f>
        <v>19742450</v>
      </c>
      <c r="B959">
        <f t="shared" si="62"/>
        <v>3</v>
      </c>
      <c r="C959">
        <f t="shared" si="62"/>
        <v>0</v>
      </c>
      <c r="D959">
        <f t="shared" si="62"/>
        <v>0</v>
      </c>
      <c r="E959">
        <f t="shared" si="59"/>
        <v>3</v>
      </c>
      <c r="F959">
        <v>2009</v>
      </c>
      <c r="G959" t="s">
        <v>5049</v>
      </c>
      <c r="H959">
        <v>0</v>
      </c>
      <c r="I959" s="65">
        <v>0</v>
      </c>
      <c r="J959" t="s">
        <v>5051</v>
      </c>
      <c r="K959" s="35" t="s">
        <v>5052</v>
      </c>
      <c r="L959" s="35" t="s">
        <v>5050</v>
      </c>
      <c r="M959" s="39" t="str">
        <f>HYPERLINK("http://dx.doi.org/","")</f>
        <v/>
      </c>
      <c r="N959" s="40" t="s">
        <v>802</v>
      </c>
      <c r="O959" s="40" t="s">
        <v>3531</v>
      </c>
      <c r="P959" s="40" t="s">
        <v>4200</v>
      </c>
      <c r="Q959" t="s">
        <v>316</v>
      </c>
    </row>
    <row r="960" spans="1:17" x14ac:dyDescent="0.25">
      <c r="A960" s="2" t="str">
        <f>HYPERLINK("https://www.ncbi.nlm.nih.gov/pubmed/19003778","19003778")</f>
        <v>19003778</v>
      </c>
      <c r="B960">
        <f t="shared" si="62"/>
        <v>3</v>
      </c>
      <c r="C960">
        <f t="shared" si="62"/>
        <v>0</v>
      </c>
      <c r="D960">
        <f t="shared" si="62"/>
        <v>0</v>
      </c>
      <c r="E960">
        <f t="shared" si="59"/>
        <v>3</v>
      </c>
      <c r="F960">
        <v>2008</v>
      </c>
      <c r="G960" t="s">
        <v>5202</v>
      </c>
      <c r="H960">
        <v>0</v>
      </c>
      <c r="I960" s="65">
        <v>0</v>
      </c>
      <c r="J960" t="s">
        <v>5203</v>
      </c>
      <c r="K960" s="35" t="s">
        <v>5052</v>
      </c>
      <c r="L960" s="35" t="s">
        <v>7128</v>
      </c>
      <c r="M960" s="39" t="str">
        <f>HYPERLINK("http://dx.doi.org/","")</f>
        <v/>
      </c>
      <c r="N960" s="40" t="s">
        <v>660</v>
      </c>
      <c r="O960" s="40" t="s">
        <v>750</v>
      </c>
      <c r="P960" s="40" t="s">
        <v>5204</v>
      </c>
      <c r="Q960" t="s">
        <v>316</v>
      </c>
    </row>
    <row r="961" spans="1:17" x14ac:dyDescent="0.25">
      <c r="A961" s="2" t="str">
        <f>HYPERLINK("https://www.ncbi.nlm.nih.gov/pubmed/18767750","18767750")</f>
        <v>18767750</v>
      </c>
      <c r="B961">
        <f t="shared" si="62"/>
        <v>3</v>
      </c>
      <c r="C961">
        <f t="shared" si="62"/>
        <v>0</v>
      </c>
      <c r="D961">
        <f t="shared" si="62"/>
        <v>0</v>
      </c>
      <c r="E961">
        <f t="shared" si="59"/>
        <v>3</v>
      </c>
      <c r="F961">
        <v>2008</v>
      </c>
      <c r="G961" t="s">
        <v>5244</v>
      </c>
      <c r="H961">
        <v>0</v>
      </c>
      <c r="I961" s="65">
        <v>0</v>
      </c>
      <c r="J961" t="s">
        <v>5246</v>
      </c>
      <c r="K961" s="35" t="s">
        <v>909</v>
      </c>
      <c r="L961" s="35" t="s">
        <v>5245</v>
      </c>
      <c r="M961" s="39" t="str">
        <f>HYPERLINK("http://dx.doi.org/10.1603/0022-0493(2008)101[1373:cdotti]2.0.co;2","10.1603/0022-0493(2008)101[1373:cdotti]2.0.co;2")</f>
        <v>10.1603/0022-0493(2008)101[1373:cdotti]2.0.co;2</v>
      </c>
      <c r="N961" s="40" t="s">
        <v>2872</v>
      </c>
      <c r="O961" s="40" t="s">
        <v>690</v>
      </c>
      <c r="P961" s="40" t="s">
        <v>5247</v>
      </c>
      <c r="Q961" t="s">
        <v>316</v>
      </c>
    </row>
    <row r="962" spans="1:17" x14ac:dyDescent="0.25">
      <c r="A962" s="2" t="str">
        <f>HYPERLINK("https://www.ncbi.nlm.nih.gov/pubmed/18651916","18651916")</f>
        <v>18651916</v>
      </c>
      <c r="B962">
        <f t="shared" si="62"/>
        <v>3</v>
      </c>
      <c r="C962">
        <f t="shared" si="62"/>
        <v>0</v>
      </c>
      <c r="D962">
        <f t="shared" si="62"/>
        <v>0</v>
      </c>
      <c r="E962">
        <f t="shared" si="59"/>
        <v>3</v>
      </c>
      <c r="F962">
        <v>2008</v>
      </c>
      <c r="G962" t="s">
        <v>5270</v>
      </c>
      <c r="H962">
        <v>0</v>
      </c>
      <c r="I962" s="65">
        <v>0</v>
      </c>
      <c r="J962" t="s">
        <v>5272</v>
      </c>
      <c r="K962" s="35" t="s">
        <v>2238</v>
      </c>
      <c r="L962" s="35" t="s">
        <v>5271</v>
      </c>
      <c r="M962" s="39" t="str">
        <f>HYPERLINK("http://dx.doi.org/10.1111/j.1365-2583.2008.00806.x","10.1111/j.1365-2583.2008.00806.x")</f>
        <v>10.1111/j.1365-2583.2008.00806.x</v>
      </c>
      <c r="N962" s="40" t="s">
        <v>1088</v>
      </c>
      <c r="O962" s="40" t="s">
        <v>690</v>
      </c>
      <c r="P962" s="40" t="s">
        <v>5273</v>
      </c>
      <c r="Q962" t="s">
        <v>316</v>
      </c>
    </row>
    <row r="963" spans="1:17" x14ac:dyDescent="0.25">
      <c r="A963" s="2" t="str">
        <f>HYPERLINK("https://www.ncbi.nlm.nih.gov/pubmed/18520997","18520997")</f>
        <v>18520997</v>
      </c>
      <c r="B963">
        <f t="shared" si="62"/>
        <v>3</v>
      </c>
      <c r="C963">
        <f t="shared" si="62"/>
        <v>0</v>
      </c>
      <c r="D963">
        <f t="shared" si="62"/>
        <v>0</v>
      </c>
      <c r="E963">
        <f t="shared" si="59"/>
        <v>3</v>
      </c>
      <c r="F963">
        <v>2008</v>
      </c>
      <c r="G963" t="s">
        <v>5303</v>
      </c>
      <c r="H963">
        <v>0</v>
      </c>
      <c r="I963" s="65">
        <v>0</v>
      </c>
      <c r="J963" t="s">
        <v>5305</v>
      </c>
      <c r="K963" s="35" t="s">
        <v>5306</v>
      </c>
      <c r="L963" s="35" t="s">
        <v>5304</v>
      </c>
      <c r="M963" s="39" t="str">
        <f>HYPERLINK("http://dx.doi.org/10.1097/WNR.0b013e32830216c7","10.1097/WNR.0b013e32830216c7")</f>
        <v>10.1097/WNR.0b013e32830216c7</v>
      </c>
      <c r="N963" s="40" t="s">
        <v>1115</v>
      </c>
      <c r="O963" s="40" t="s">
        <v>660</v>
      </c>
      <c r="P963" s="40" t="s">
        <v>5307</v>
      </c>
      <c r="Q963" t="s">
        <v>316</v>
      </c>
    </row>
    <row r="964" spans="1:17" x14ac:dyDescent="0.25">
      <c r="A964" s="2" t="str">
        <f>HYPERLINK("https://www.ncbi.nlm.nih.gov/pubmed/18484497","18484497")</f>
        <v>18484497</v>
      </c>
      <c r="B964">
        <f t="shared" ref="B964:D983" si="63">IF(ISBLANK(B$3),0,(LEN($L964) - LEN(SUBSTITUTE(LOWER($L964),LOWER(B$3),"")))/LEN(B$3))</f>
        <v>3</v>
      </c>
      <c r="C964">
        <f t="shared" si="63"/>
        <v>0</v>
      </c>
      <c r="D964">
        <f t="shared" si="63"/>
        <v>0</v>
      </c>
      <c r="E964">
        <f t="shared" ref="E964:E1027" si="64">SUM(B964:D964)</f>
        <v>3</v>
      </c>
      <c r="F964">
        <v>2008</v>
      </c>
      <c r="G964" t="s">
        <v>5312</v>
      </c>
      <c r="H964">
        <v>0</v>
      </c>
      <c r="I964" s="65">
        <v>0</v>
      </c>
      <c r="J964" t="s">
        <v>5314</v>
      </c>
      <c r="K964" s="35" t="s">
        <v>5315</v>
      </c>
      <c r="L964" s="35" t="s">
        <v>5313</v>
      </c>
      <c r="M964" s="39" t="str">
        <f>HYPERLINK("http://dx.doi.org/10.1080/10629360802083731","10.1080/10629360802083731")</f>
        <v>10.1080/10629360802083731</v>
      </c>
      <c r="N964" s="40" t="s">
        <v>1115</v>
      </c>
      <c r="O964" s="40" t="s">
        <v>1741</v>
      </c>
      <c r="P964" s="40" t="s">
        <v>5316</v>
      </c>
      <c r="Q964" t="s">
        <v>316</v>
      </c>
    </row>
    <row r="965" spans="1:17" x14ac:dyDescent="0.25">
      <c r="A965" s="2" t="str">
        <f>HYPERLINK("https://www.ncbi.nlm.nih.gov/pubmed/18459401","18459401")</f>
        <v>18459401</v>
      </c>
      <c r="B965">
        <f t="shared" si="63"/>
        <v>3</v>
      </c>
      <c r="C965">
        <f t="shared" si="63"/>
        <v>0</v>
      </c>
      <c r="D965">
        <f t="shared" si="63"/>
        <v>0</v>
      </c>
      <c r="E965">
        <f t="shared" si="64"/>
        <v>3</v>
      </c>
      <c r="F965">
        <v>2008</v>
      </c>
      <c r="G965" t="s">
        <v>5321</v>
      </c>
      <c r="H965">
        <v>0</v>
      </c>
      <c r="I965" s="65">
        <v>0</v>
      </c>
      <c r="J965" t="s">
        <v>5322</v>
      </c>
      <c r="K965" s="35" t="s">
        <v>909</v>
      </c>
      <c r="L965" s="35" t="s">
        <v>7136</v>
      </c>
      <c r="M965" s="39" t="str">
        <f>HYPERLINK("http://dx.doi.org/10.1603/0022-0493(2008)101[375:moawao]2.0.co;2","10.1603/0022-0493(2008)101[375:moawao]2.0.co;2")</f>
        <v>10.1603/0022-0493(2008)101[375:moawao]2.0.co;2</v>
      </c>
      <c r="N965" s="40" t="s">
        <v>2872</v>
      </c>
      <c r="O965" s="40" t="s">
        <v>744</v>
      </c>
      <c r="P965" s="40" t="s">
        <v>5323</v>
      </c>
      <c r="Q965" t="s">
        <v>316</v>
      </c>
    </row>
    <row r="966" spans="1:17" x14ac:dyDescent="0.25">
      <c r="A966" s="2" t="str">
        <f>HYPERLINK("https://www.ncbi.nlm.nih.gov/pubmed/18402146","18402146")</f>
        <v>18402146</v>
      </c>
      <c r="B966">
        <f t="shared" si="63"/>
        <v>3</v>
      </c>
      <c r="C966">
        <f t="shared" si="63"/>
        <v>0</v>
      </c>
      <c r="D966">
        <f t="shared" si="63"/>
        <v>0</v>
      </c>
      <c r="E966">
        <f t="shared" si="64"/>
        <v>3</v>
      </c>
      <c r="F966">
        <v>2008</v>
      </c>
      <c r="G966" t="s">
        <v>5343</v>
      </c>
      <c r="H966">
        <v>0</v>
      </c>
      <c r="I966" s="65">
        <v>0</v>
      </c>
      <c r="J966" t="s">
        <v>5344</v>
      </c>
      <c r="K966" s="35" t="s">
        <v>1027</v>
      </c>
      <c r="L966" s="35" t="s">
        <v>7138</v>
      </c>
      <c r="M966" s="39" t="str">
        <f>HYPERLINK("http://dx.doi.org/10.1603/0022-2585(2008)45[298:rcomae]2.0.co;2","10.1603/0022-2585(2008)45[298:rcomae]2.0.co;2")</f>
        <v>10.1603/0022-2585(2008)45[298:rcomae]2.0.co;2</v>
      </c>
      <c r="N966" s="40" t="s">
        <v>765</v>
      </c>
      <c r="O966" s="40" t="s">
        <v>744</v>
      </c>
      <c r="P966" s="40" t="s">
        <v>5345</v>
      </c>
      <c r="Q966" t="s">
        <v>316</v>
      </c>
    </row>
    <row r="967" spans="1:17" x14ac:dyDescent="0.25">
      <c r="A967" s="2" t="str">
        <f>HYPERLINK("https://www.ncbi.nlm.nih.gov/pubmed/18232395","18232395")</f>
        <v>18232395</v>
      </c>
      <c r="B967">
        <f t="shared" si="63"/>
        <v>3</v>
      </c>
      <c r="C967">
        <f t="shared" si="63"/>
        <v>0</v>
      </c>
      <c r="D967">
        <f t="shared" si="63"/>
        <v>0</v>
      </c>
      <c r="E967">
        <f t="shared" si="64"/>
        <v>3</v>
      </c>
      <c r="F967">
        <v>2007</v>
      </c>
      <c r="G967" t="s">
        <v>5364</v>
      </c>
      <c r="H967">
        <v>0</v>
      </c>
      <c r="I967" s="65">
        <v>0</v>
      </c>
      <c r="J967" t="s">
        <v>5366</v>
      </c>
      <c r="K967" s="35" t="s">
        <v>909</v>
      </c>
      <c r="L967" s="35" t="s">
        <v>5365</v>
      </c>
      <c r="M967" s="39" t="str">
        <f>HYPERLINK("http://dx.doi.org/10.1603/0022-0493(2007)100[1789:coehdh]2.0.co;2","10.1603/0022-0493(2007)100[1789:coehdh]2.0.co;2")</f>
        <v>10.1603/0022-0493(2007)100[1789:coehdh]2.0.co;2</v>
      </c>
      <c r="N967" s="40" t="s">
        <v>2221</v>
      </c>
      <c r="O967" s="40" t="s">
        <v>741</v>
      </c>
      <c r="P967" s="40" t="s">
        <v>5367</v>
      </c>
      <c r="Q967" t="s">
        <v>316</v>
      </c>
    </row>
    <row r="968" spans="1:17" x14ac:dyDescent="0.25">
      <c r="A968" s="2" t="str">
        <f>HYPERLINK("https://www.ncbi.nlm.nih.gov/pubmed/18183547","18183547")</f>
        <v>18183547</v>
      </c>
      <c r="B968">
        <f t="shared" si="63"/>
        <v>3</v>
      </c>
      <c r="C968">
        <f t="shared" si="63"/>
        <v>0</v>
      </c>
      <c r="D968">
        <f t="shared" si="63"/>
        <v>0</v>
      </c>
      <c r="E968">
        <f t="shared" si="64"/>
        <v>3</v>
      </c>
      <c r="F968">
        <v>2007</v>
      </c>
      <c r="G968" t="s">
        <v>5371</v>
      </c>
      <c r="H968">
        <v>0</v>
      </c>
      <c r="I968" s="65">
        <v>0</v>
      </c>
      <c r="J968" t="s">
        <v>5373</v>
      </c>
      <c r="K968" s="35" t="s">
        <v>5052</v>
      </c>
      <c r="L968" s="35" t="s">
        <v>5372</v>
      </c>
      <c r="M968" s="39" t="str">
        <f>HYPERLINK("http://dx.doi.org/","")</f>
        <v/>
      </c>
      <c r="N968" s="40" t="s">
        <v>781</v>
      </c>
      <c r="O968" s="40" t="s">
        <v>690</v>
      </c>
      <c r="P968" s="40" t="s">
        <v>5374</v>
      </c>
      <c r="Q968" t="s">
        <v>316</v>
      </c>
    </row>
    <row r="969" spans="1:17" x14ac:dyDescent="0.25">
      <c r="A969" s="2" t="str">
        <f>HYPERLINK("https://www.ncbi.nlm.nih.gov/pubmed/17941745","17941745")</f>
        <v>17941745</v>
      </c>
      <c r="B969">
        <f t="shared" si="63"/>
        <v>3</v>
      </c>
      <c r="C969">
        <f t="shared" si="63"/>
        <v>0</v>
      </c>
      <c r="D969">
        <f t="shared" si="63"/>
        <v>0</v>
      </c>
      <c r="E969">
        <f t="shared" si="64"/>
        <v>3</v>
      </c>
      <c r="F969">
        <v>2007</v>
      </c>
      <c r="G969" t="s">
        <v>5405</v>
      </c>
      <c r="H969">
        <v>0</v>
      </c>
      <c r="I969" s="65">
        <v>0</v>
      </c>
      <c r="J969" t="s">
        <v>5406</v>
      </c>
      <c r="K969" s="35" t="s">
        <v>755</v>
      </c>
      <c r="L969" s="35" t="s">
        <v>7146</v>
      </c>
      <c r="M969" s="39" t="str">
        <f>HYPERLINK("http://dx.doi.org/10.1897/07-158R.1","10.1897/07-158R.1")</f>
        <v>10.1897/07-158R.1</v>
      </c>
      <c r="N969" s="40" t="s">
        <v>752</v>
      </c>
      <c r="O969" s="40" t="s">
        <v>678</v>
      </c>
      <c r="P969" s="40" t="s">
        <v>5407</v>
      </c>
      <c r="Q969" t="s">
        <v>316</v>
      </c>
    </row>
    <row r="970" spans="1:17" x14ac:dyDescent="0.25">
      <c r="A970" s="2" t="str">
        <f>HYPERLINK("https://www.ncbi.nlm.nih.gov/pubmed/17931784","17931784")</f>
        <v>17931784</v>
      </c>
      <c r="B970">
        <f t="shared" si="63"/>
        <v>3</v>
      </c>
      <c r="C970">
        <f t="shared" si="63"/>
        <v>1</v>
      </c>
      <c r="D970">
        <f t="shared" si="63"/>
        <v>0</v>
      </c>
      <c r="E970">
        <f t="shared" si="64"/>
        <v>4</v>
      </c>
      <c r="F970">
        <v>2007</v>
      </c>
      <c r="G970" t="s">
        <v>5420</v>
      </c>
      <c r="H970">
        <v>0</v>
      </c>
      <c r="I970" s="65">
        <v>0</v>
      </c>
      <c r="J970" t="s">
        <v>5421</v>
      </c>
      <c r="K970" s="35" t="s">
        <v>1052</v>
      </c>
      <c r="L970" s="35" t="s">
        <v>7150</v>
      </c>
      <c r="M970" s="39" t="str">
        <f>HYPERLINK("http://dx.doi.org/10.1016/j.vetpar.2007.08.041","10.1016/j.vetpar.2007.08.041")</f>
        <v>10.1016/j.vetpar.2007.08.041</v>
      </c>
      <c r="N970" s="40" t="s">
        <v>4031</v>
      </c>
      <c r="O970" s="40" t="s">
        <v>750</v>
      </c>
      <c r="P970" s="40" t="s">
        <v>5422</v>
      </c>
      <c r="Q970" t="s">
        <v>316</v>
      </c>
    </row>
    <row r="971" spans="1:17" x14ac:dyDescent="0.25">
      <c r="A971" s="2" t="str">
        <f>HYPERLINK("https://www.ncbi.nlm.nih.gov/pubmed/17931781","17931781")</f>
        <v>17931781</v>
      </c>
      <c r="B971">
        <f t="shared" si="63"/>
        <v>3</v>
      </c>
      <c r="C971">
        <f t="shared" si="63"/>
        <v>8</v>
      </c>
      <c r="D971">
        <f t="shared" si="63"/>
        <v>0</v>
      </c>
      <c r="E971">
        <f t="shared" si="64"/>
        <v>11</v>
      </c>
      <c r="F971">
        <v>2007</v>
      </c>
      <c r="G971" t="s">
        <v>5423</v>
      </c>
      <c r="H971">
        <v>0</v>
      </c>
      <c r="I971" s="65">
        <v>0</v>
      </c>
      <c r="J971" t="s">
        <v>5424</v>
      </c>
      <c r="K971" s="35" t="s">
        <v>1052</v>
      </c>
      <c r="L971" s="35" t="s">
        <v>7151</v>
      </c>
      <c r="M971" s="39" t="str">
        <f>HYPERLINK("http://dx.doi.org/10.1016/j.vetpar.2007.08.036","10.1016/j.vetpar.2007.08.036")</f>
        <v>10.1016/j.vetpar.2007.08.036</v>
      </c>
      <c r="N971" s="40" t="s">
        <v>4031</v>
      </c>
      <c r="O971" s="40" t="s">
        <v>750</v>
      </c>
      <c r="P971" s="40" t="s">
        <v>5425</v>
      </c>
      <c r="Q971" t="s">
        <v>316</v>
      </c>
    </row>
    <row r="972" spans="1:17" x14ac:dyDescent="0.25">
      <c r="A972" s="2" t="str">
        <f>HYPERLINK("https://www.ncbi.nlm.nih.gov/pubmed/17763038","17763038")</f>
        <v>17763038</v>
      </c>
      <c r="B972">
        <f t="shared" si="63"/>
        <v>3</v>
      </c>
      <c r="C972">
        <f t="shared" si="63"/>
        <v>0</v>
      </c>
      <c r="D972">
        <f t="shared" si="63"/>
        <v>0</v>
      </c>
      <c r="E972">
        <f t="shared" si="64"/>
        <v>3</v>
      </c>
      <c r="F972">
        <v>2007</v>
      </c>
      <c r="G972" t="s">
        <v>5446</v>
      </c>
      <c r="H972">
        <v>0</v>
      </c>
      <c r="I972" s="65">
        <v>0</v>
      </c>
      <c r="J972" t="s">
        <v>5448</v>
      </c>
      <c r="K972" s="35" t="s">
        <v>1413</v>
      </c>
      <c r="L972" s="35" t="s">
        <v>5447</v>
      </c>
      <c r="M972" s="39" t="str">
        <f>HYPERLINK("http://dx.doi.org/10.1080/03601230701551491","10.1080/03601230701551491")</f>
        <v>10.1080/03601230701551491</v>
      </c>
      <c r="N972" s="40" t="s">
        <v>2803</v>
      </c>
      <c r="O972" s="40" t="s">
        <v>748</v>
      </c>
      <c r="P972" s="40" t="s">
        <v>5449</v>
      </c>
      <c r="Q972" t="s">
        <v>316</v>
      </c>
    </row>
    <row r="973" spans="1:17" x14ac:dyDescent="0.25">
      <c r="A973" s="2" t="str">
        <f>HYPERLINK("https://www.ncbi.nlm.nih.gov/pubmed/17039440","17039440")</f>
        <v>17039440</v>
      </c>
      <c r="B973">
        <f t="shared" si="63"/>
        <v>3</v>
      </c>
      <c r="C973">
        <f t="shared" si="63"/>
        <v>0</v>
      </c>
      <c r="D973">
        <f t="shared" si="63"/>
        <v>0</v>
      </c>
      <c r="E973">
        <f t="shared" si="64"/>
        <v>3</v>
      </c>
      <c r="F973">
        <v>2006</v>
      </c>
      <c r="G973" t="s">
        <v>5566</v>
      </c>
      <c r="H973">
        <v>0</v>
      </c>
      <c r="I973" s="65">
        <v>0</v>
      </c>
      <c r="J973" t="s">
        <v>5564</v>
      </c>
      <c r="K973" s="35" t="s">
        <v>5052</v>
      </c>
      <c r="L973" s="35" t="s">
        <v>5567</v>
      </c>
      <c r="M973" s="39" t="str">
        <f>HYPERLINK("http://dx.doi.org/","")</f>
        <v/>
      </c>
      <c r="N973" s="40" t="s">
        <v>748</v>
      </c>
      <c r="O973" s="40" t="s">
        <v>750</v>
      </c>
      <c r="P973" s="40" t="s">
        <v>5568</v>
      </c>
      <c r="Q973" t="s">
        <v>316</v>
      </c>
    </row>
    <row r="974" spans="1:17" x14ac:dyDescent="0.25">
      <c r="A974" s="2" t="str">
        <f>HYPERLINK("https://www.ncbi.nlm.nih.gov/pubmed/16981250","16981250")</f>
        <v>16981250</v>
      </c>
      <c r="B974">
        <f t="shared" si="63"/>
        <v>3</v>
      </c>
      <c r="C974">
        <f t="shared" si="63"/>
        <v>2</v>
      </c>
      <c r="D974">
        <f t="shared" si="63"/>
        <v>0</v>
      </c>
      <c r="E974">
        <f t="shared" si="64"/>
        <v>5</v>
      </c>
      <c r="F974">
        <v>2006</v>
      </c>
      <c r="G974" t="s">
        <v>5577</v>
      </c>
      <c r="H974">
        <v>0</v>
      </c>
      <c r="I974" s="65">
        <v>0</v>
      </c>
      <c r="J974" t="s">
        <v>5579</v>
      </c>
      <c r="K974" s="35" t="s">
        <v>968</v>
      </c>
      <c r="L974" s="35" t="s">
        <v>5578</v>
      </c>
      <c r="M974" s="39" t="str">
        <f>HYPERLINK("http://dx.doi.org/10.1002/ps.1274","10.1002/ps.1274")</f>
        <v>10.1002/ps.1274</v>
      </c>
      <c r="N974" s="40" t="s">
        <v>2372</v>
      </c>
      <c r="O974" s="40" t="s">
        <v>915</v>
      </c>
      <c r="P974" s="40" t="s">
        <v>5580</v>
      </c>
      <c r="Q974" t="s">
        <v>316</v>
      </c>
    </row>
    <row r="975" spans="1:17" x14ac:dyDescent="0.25">
      <c r="A975" s="2" t="str">
        <f>HYPERLINK("https://www.ncbi.nlm.nih.gov/pubmed/16881418","16881418")</f>
        <v>16881418</v>
      </c>
      <c r="B975">
        <f t="shared" si="63"/>
        <v>3</v>
      </c>
      <c r="C975">
        <f t="shared" si="63"/>
        <v>0</v>
      </c>
      <c r="D975">
        <f t="shared" si="63"/>
        <v>0</v>
      </c>
      <c r="E975">
        <f t="shared" si="64"/>
        <v>3</v>
      </c>
      <c r="F975">
        <v>2006</v>
      </c>
      <c r="G975" t="s">
        <v>5597</v>
      </c>
      <c r="H975">
        <v>1</v>
      </c>
      <c r="I975" s="65">
        <v>0</v>
      </c>
      <c r="J975" t="s">
        <v>5598</v>
      </c>
      <c r="K975" s="35" t="s">
        <v>5599</v>
      </c>
      <c r="L975" s="35" t="s">
        <v>7173</v>
      </c>
      <c r="M975" s="39" t="str">
        <f>HYPERLINK("http://dx.doi.org/","")</f>
        <v/>
      </c>
      <c r="N975" s="40" t="s">
        <v>1450</v>
      </c>
      <c r="O975" s="40" t="s">
        <v>3531</v>
      </c>
      <c r="P975" s="40" t="s">
        <v>5600</v>
      </c>
      <c r="Q975" t="s">
        <v>316</v>
      </c>
    </row>
    <row r="976" spans="1:17" x14ac:dyDescent="0.25">
      <c r="A976" s="2" t="str">
        <f>HYPERLINK("https://www.ncbi.nlm.nih.gov/pubmed/16445770","16445770")</f>
        <v>16445770</v>
      </c>
      <c r="B976">
        <f t="shared" si="63"/>
        <v>3</v>
      </c>
      <c r="C976">
        <f t="shared" si="63"/>
        <v>0</v>
      </c>
      <c r="D976">
        <f t="shared" si="63"/>
        <v>0</v>
      </c>
      <c r="E976">
        <f t="shared" si="64"/>
        <v>3</v>
      </c>
      <c r="F976">
        <v>2006</v>
      </c>
      <c r="G976" t="s">
        <v>5687</v>
      </c>
      <c r="H976">
        <v>0</v>
      </c>
      <c r="I976" s="65">
        <v>0</v>
      </c>
      <c r="J976" t="s">
        <v>5688</v>
      </c>
      <c r="K976" s="35" t="s">
        <v>5689</v>
      </c>
      <c r="L976" s="35" t="s">
        <v>7189</v>
      </c>
      <c r="M976" s="39" t="str">
        <f>HYPERLINK("http://dx.doi.org/10.1111/j.1365-2133.2005.07070.x","10.1111/j.1365-2133.2005.07070.x")</f>
        <v>10.1111/j.1365-2133.2005.07070.x</v>
      </c>
      <c r="N976" s="40" t="s">
        <v>757</v>
      </c>
      <c r="O976" s="40" t="s">
        <v>750</v>
      </c>
      <c r="P976" s="40" t="s">
        <v>5690</v>
      </c>
      <c r="Q976" t="s">
        <v>316</v>
      </c>
    </row>
    <row r="977" spans="1:17" x14ac:dyDescent="0.25">
      <c r="A977" s="2" t="str">
        <f>HYPERLINK("https://www.ncbi.nlm.nih.gov/pubmed/16001862","16001862")</f>
        <v>16001862</v>
      </c>
      <c r="B977">
        <f t="shared" si="63"/>
        <v>3</v>
      </c>
      <c r="C977">
        <f t="shared" si="63"/>
        <v>0</v>
      </c>
      <c r="D977">
        <f t="shared" si="63"/>
        <v>0</v>
      </c>
      <c r="E977">
        <f t="shared" si="64"/>
        <v>3</v>
      </c>
      <c r="F977">
        <v>2005</v>
      </c>
      <c r="G977" t="s">
        <v>5786</v>
      </c>
      <c r="H977">
        <v>0</v>
      </c>
      <c r="I977" s="65">
        <v>0</v>
      </c>
      <c r="J977" t="s">
        <v>5788</v>
      </c>
      <c r="K977" s="35" t="s">
        <v>3054</v>
      </c>
      <c r="L977" s="35" t="s">
        <v>5787</v>
      </c>
      <c r="M977" s="39" t="str">
        <f>HYPERLINK("http://dx.doi.org/","")</f>
        <v/>
      </c>
      <c r="N977" s="40" t="s">
        <v>3549</v>
      </c>
      <c r="O977" s="40" t="s">
        <v>750</v>
      </c>
      <c r="P977" s="40" t="s">
        <v>5789</v>
      </c>
      <c r="Q977" t="s">
        <v>316</v>
      </c>
    </row>
    <row r="978" spans="1:17" x14ac:dyDescent="0.25">
      <c r="A978" s="2" t="str">
        <f>HYPERLINK("https://www.ncbi.nlm.nih.gov/pubmed/15712350","15712350")</f>
        <v>15712350</v>
      </c>
      <c r="B978">
        <f t="shared" si="63"/>
        <v>3</v>
      </c>
      <c r="C978">
        <f t="shared" si="63"/>
        <v>0</v>
      </c>
      <c r="D978">
        <f t="shared" si="63"/>
        <v>0</v>
      </c>
      <c r="E978">
        <f t="shared" si="64"/>
        <v>3</v>
      </c>
      <c r="F978">
        <v>2005</v>
      </c>
      <c r="G978" t="s">
        <v>5829</v>
      </c>
      <c r="H978">
        <v>0</v>
      </c>
      <c r="I978" s="65">
        <v>0</v>
      </c>
      <c r="J978" t="s">
        <v>5831</v>
      </c>
      <c r="K978" s="35" t="s">
        <v>968</v>
      </c>
      <c r="L978" s="35" t="s">
        <v>5830</v>
      </c>
      <c r="M978" s="39" t="str">
        <f>HYPERLINK("http://dx.doi.org/10.1002/ps.1031","10.1002/ps.1031")</f>
        <v>10.1002/ps.1031</v>
      </c>
      <c r="N978" s="40" t="s">
        <v>754</v>
      </c>
      <c r="O978" s="40" t="s">
        <v>748</v>
      </c>
      <c r="P978" s="40" t="s">
        <v>5832</v>
      </c>
      <c r="Q978" t="s">
        <v>316</v>
      </c>
    </row>
    <row r="979" spans="1:17" x14ac:dyDescent="0.25">
      <c r="A979" s="2" t="str">
        <f>HYPERLINK("https://www.ncbi.nlm.nih.gov/pubmed/15568359","15568359")</f>
        <v>15568359</v>
      </c>
      <c r="B979">
        <f t="shared" si="63"/>
        <v>3</v>
      </c>
      <c r="C979">
        <f t="shared" si="63"/>
        <v>0</v>
      </c>
      <c r="D979">
        <f t="shared" si="63"/>
        <v>0</v>
      </c>
      <c r="E979">
        <f t="shared" si="64"/>
        <v>3</v>
      </c>
      <c r="F979">
        <v>2004</v>
      </c>
      <c r="G979" t="s">
        <v>5875</v>
      </c>
      <c r="H979">
        <v>0</v>
      </c>
      <c r="I979" s="65">
        <v>0</v>
      </c>
      <c r="J979" t="s">
        <v>5847</v>
      </c>
      <c r="K979" s="35" t="s">
        <v>909</v>
      </c>
      <c r="L979" s="35" t="s">
        <v>5876</v>
      </c>
      <c r="M979" s="39" t="str">
        <f>HYPERLINK("http://dx.doi.org/10.1603/0022-0493-97.5.1675","10.1603/0022-0493-97.5.1675")</f>
        <v>10.1603/0022-0493-97.5.1675</v>
      </c>
      <c r="N979" s="40" t="s">
        <v>749</v>
      </c>
      <c r="O979" s="40" t="s">
        <v>746</v>
      </c>
      <c r="P979" s="40" t="s">
        <v>5877</v>
      </c>
      <c r="Q979" t="s">
        <v>316</v>
      </c>
    </row>
    <row r="980" spans="1:17" x14ac:dyDescent="0.25">
      <c r="A980" s="2" t="str">
        <f>HYPERLINK("https://www.ncbi.nlm.nih.gov/pubmed/15307676","15307676")</f>
        <v>15307676</v>
      </c>
      <c r="B980">
        <f t="shared" si="63"/>
        <v>3</v>
      </c>
      <c r="C980">
        <f t="shared" si="63"/>
        <v>0</v>
      </c>
      <c r="D980">
        <f t="shared" si="63"/>
        <v>0</v>
      </c>
      <c r="E980">
        <f t="shared" si="64"/>
        <v>3</v>
      </c>
      <c r="F980">
        <v>2004</v>
      </c>
      <c r="G980" t="s">
        <v>5916</v>
      </c>
      <c r="H980">
        <v>0</v>
      </c>
      <c r="I980" s="65">
        <v>0</v>
      </c>
      <c r="J980" t="s">
        <v>5918</v>
      </c>
      <c r="K980" s="35" t="s">
        <v>968</v>
      </c>
      <c r="L980" s="35" t="s">
        <v>5917</v>
      </c>
      <c r="M980" s="39" t="str">
        <f>HYPERLINK("http://dx.doi.org/10.1002/ps.869","10.1002/ps.869")</f>
        <v>10.1002/ps.869</v>
      </c>
      <c r="N980" s="40" t="s">
        <v>1655</v>
      </c>
      <c r="O980" s="40" t="s">
        <v>781</v>
      </c>
      <c r="P980" s="40" t="s">
        <v>5919</v>
      </c>
      <c r="Q980" t="s">
        <v>316</v>
      </c>
    </row>
    <row r="981" spans="1:17" x14ac:dyDescent="0.25">
      <c r="A981" s="2" t="str">
        <f>HYPERLINK("https://www.ncbi.nlm.nih.gov/pubmed/15158803","15158803")</f>
        <v>15158803</v>
      </c>
      <c r="B981">
        <f t="shared" si="63"/>
        <v>3</v>
      </c>
      <c r="C981">
        <f t="shared" si="63"/>
        <v>0</v>
      </c>
      <c r="D981">
        <f t="shared" si="63"/>
        <v>0</v>
      </c>
      <c r="E981">
        <f t="shared" si="64"/>
        <v>3</v>
      </c>
      <c r="F981">
        <v>2004</v>
      </c>
      <c r="G981" t="s">
        <v>5940</v>
      </c>
      <c r="H981">
        <v>0</v>
      </c>
      <c r="I981" s="65">
        <v>0</v>
      </c>
      <c r="J981" t="s">
        <v>5941</v>
      </c>
      <c r="K981" s="35" t="s">
        <v>1859</v>
      </c>
      <c r="L981" s="35" t="s">
        <v>7214</v>
      </c>
      <c r="M981" s="39" t="str">
        <f>HYPERLINK("http://dx.doi.org/10.1016/j.bmc.2004.03.069","10.1016/j.bmc.2004.03.069")</f>
        <v>10.1016/j.bmc.2004.03.069</v>
      </c>
      <c r="N981" s="40" t="s">
        <v>915</v>
      </c>
      <c r="O981" s="40" t="s">
        <v>915</v>
      </c>
      <c r="P981" s="40" t="s">
        <v>5942</v>
      </c>
      <c r="Q981" t="s">
        <v>316</v>
      </c>
    </row>
    <row r="982" spans="1:17" x14ac:dyDescent="0.25">
      <c r="A982" s="2" t="str">
        <f>HYPERLINK("https://www.ncbi.nlm.nih.gov/pubmed/14994815","14994815")</f>
        <v>14994815</v>
      </c>
      <c r="B982">
        <f t="shared" si="63"/>
        <v>3</v>
      </c>
      <c r="C982">
        <f t="shared" si="63"/>
        <v>0</v>
      </c>
      <c r="D982">
        <f t="shared" si="63"/>
        <v>0</v>
      </c>
      <c r="E982">
        <f t="shared" si="64"/>
        <v>3</v>
      </c>
      <c r="F982">
        <v>2003</v>
      </c>
      <c r="G982" t="s">
        <v>5973</v>
      </c>
      <c r="H982">
        <v>0</v>
      </c>
      <c r="I982" s="65">
        <v>0</v>
      </c>
      <c r="J982" t="s">
        <v>5975</v>
      </c>
      <c r="K982" s="35" t="s">
        <v>909</v>
      </c>
      <c r="L982" s="35" t="s">
        <v>5974</v>
      </c>
      <c r="M982" s="39" t="str">
        <f>HYPERLINK("http://dx.doi.org/10.1093/jee/96.2.456","10.1093/jee/96.2.456")</f>
        <v>10.1093/jee/96.2.456</v>
      </c>
      <c r="N982" s="40" t="s">
        <v>3165</v>
      </c>
      <c r="O982" s="40" t="s">
        <v>744</v>
      </c>
      <c r="P982" s="40" t="s">
        <v>5976</v>
      </c>
      <c r="Q982" t="s">
        <v>316</v>
      </c>
    </row>
    <row r="983" spans="1:17" x14ac:dyDescent="0.25">
      <c r="A983" s="2" t="str">
        <f>HYPERLINK("https://www.ncbi.nlm.nih.gov/pubmed/14982375","14982375")</f>
        <v>14982375</v>
      </c>
      <c r="B983">
        <f t="shared" si="63"/>
        <v>3</v>
      </c>
      <c r="C983">
        <f t="shared" si="63"/>
        <v>0</v>
      </c>
      <c r="D983">
        <f t="shared" si="63"/>
        <v>0</v>
      </c>
      <c r="E983">
        <f t="shared" si="64"/>
        <v>3</v>
      </c>
      <c r="F983">
        <v>2004</v>
      </c>
      <c r="G983" t="s">
        <v>5977</v>
      </c>
      <c r="H983">
        <v>0</v>
      </c>
      <c r="I983" s="65">
        <v>0</v>
      </c>
      <c r="J983" t="s">
        <v>5978</v>
      </c>
      <c r="K983" s="35" t="s">
        <v>755</v>
      </c>
      <c r="L983" s="35" t="s">
        <v>7218</v>
      </c>
      <c r="M983" s="39" t="str">
        <f>HYPERLINK("http://dx.doi.org/10.1897/03-200","10.1897/03-200")</f>
        <v>10.1897/03-200</v>
      </c>
      <c r="N983" s="40" t="s">
        <v>737</v>
      </c>
      <c r="O983" s="40" t="s">
        <v>744</v>
      </c>
      <c r="P983" s="40" t="s">
        <v>5979</v>
      </c>
      <c r="Q983" t="s">
        <v>316</v>
      </c>
    </row>
    <row r="984" spans="1:17" x14ac:dyDescent="0.25">
      <c r="A984" s="2" t="str">
        <f>HYPERLINK("https://www.ncbi.nlm.nih.gov/pubmed/14535785","14535785")</f>
        <v>14535785</v>
      </c>
      <c r="B984">
        <f t="shared" ref="B984:D1003" si="65">IF(ISBLANK(B$3),0,(LEN($L984) - LEN(SUBSTITUTE(LOWER($L984),LOWER(B$3),"")))/LEN(B$3))</f>
        <v>3</v>
      </c>
      <c r="C984">
        <f t="shared" si="65"/>
        <v>0</v>
      </c>
      <c r="D984">
        <f t="shared" si="65"/>
        <v>0</v>
      </c>
      <c r="E984">
        <f t="shared" si="64"/>
        <v>3</v>
      </c>
      <c r="F984">
        <v>2003</v>
      </c>
      <c r="G984" t="s">
        <v>6014</v>
      </c>
      <c r="H984">
        <v>0</v>
      </c>
      <c r="I984" s="65">
        <v>0</v>
      </c>
      <c r="J984" t="s">
        <v>6016</v>
      </c>
      <c r="K984" s="35" t="s">
        <v>6017</v>
      </c>
      <c r="L984" s="35" t="s">
        <v>6015</v>
      </c>
      <c r="M984" s="39" t="str">
        <f>HYPERLINK("http://dx.doi.org/10.1021/jo034520z","10.1021/jo034520z")</f>
        <v>10.1021/jo034520z</v>
      </c>
      <c r="N984" s="40" t="s">
        <v>1200</v>
      </c>
      <c r="O984" s="40" t="s">
        <v>1364</v>
      </c>
      <c r="P984" s="40" t="s">
        <v>6018</v>
      </c>
      <c r="Q984" t="s">
        <v>316</v>
      </c>
    </row>
    <row r="985" spans="1:17" x14ac:dyDescent="0.25">
      <c r="A985" s="2" t="str">
        <f>HYPERLINK("https://www.ncbi.nlm.nih.gov/pubmed/12852625","12852625")</f>
        <v>12852625</v>
      </c>
      <c r="B985">
        <f t="shared" si="65"/>
        <v>3</v>
      </c>
      <c r="C985">
        <f t="shared" si="65"/>
        <v>0</v>
      </c>
      <c r="D985">
        <f t="shared" si="65"/>
        <v>0</v>
      </c>
      <c r="E985">
        <f t="shared" si="64"/>
        <v>3</v>
      </c>
      <c r="F985">
        <v>2003</v>
      </c>
      <c r="G985" t="s">
        <v>6035</v>
      </c>
      <c r="H985">
        <v>0</v>
      </c>
      <c r="I985" s="65">
        <v>0</v>
      </c>
      <c r="J985" t="s">
        <v>6037</v>
      </c>
      <c r="K985" s="35" t="s">
        <v>909</v>
      </c>
      <c r="L985" s="35" t="s">
        <v>6036</v>
      </c>
      <c r="M985" s="39" t="str">
        <f>HYPERLINK("http://dx.doi.org/10.1093/jee/96.3.844","10.1093/jee/96.3.844")</f>
        <v>10.1093/jee/96.3.844</v>
      </c>
      <c r="N985" s="40" t="s">
        <v>3165</v>
      </c>
      <c r="O985" s="40" t="s">
        <v>750</v>
      </c>
      <c r="P985" s="40" t="s">
        <v>6038</v>
      </c>
      <c r="Q985" t="s">
        <v>316</v>
      </c>
    </row>
    <row r="986" spans="1:17" x14ac:dyDescent="0.25">
      <c r="A986" s="2" t="str">
        <f>HYPERLINK("https://www.ncbi.nlm.nih.gov/pubmed/12770091","12770091")</f>
        <v>12770091</v>
      </c>
      <c r="B986">
        <f t="shared" si="65"/>
        <v>3</v>
      </c>
      <c r="C986">
        <f t="shared" si="65"/>
        <v>0</v>
      </c>
      <c r="D986">
        <f t="shared" si="65"/>
        <v>0</v>
      </c>
      <c r="E986">
        <f t="shared" si="64"/>
        <v>3</v>
      </c>
      <c r="F986">
        <v>2002</v>
      </c>
      <c r="G986" t="s">
        <v>6053</v>
      </c>
      <c r="H986">
        <v>0</v>
      </c>
      <c r="I986" s="65">
        <v>0</v>
      </c>
      <c r="J986" t="s">
        <v>6055</v>
      </c>
      <c r="K986" s="35" t="s">
        <v>2117</v>
      </c>
      <c r="L986" s="35" t="s">
        <v>6054</v>
      </c>
      <c r="M986" s="39" t="str">
        <f>HYPERLINK("http://dx.doi.org/10.1016/s0022-1910(02)00061-6","10.1016/s0022-1910(02)00061-6")</f>
        <v>10.1016/s0022-1910(02)00061-6</v>
      </c>
      <c r="N986" s="40" t="s">
        <v>1450</v>
      </c>
      <c r="O986" s="40" t="s">
        <v>690</v>
      </c>
      <c r="P986" s="40" t="s">
        <v>6056</v>
      </c>
      <c r="Q986" t="s">
        <v>316</v>
      </c>
    </row>
    <row r="987" spans="1:17" x14ac:dyDescent="0.25">
      <c r="A987" s="2" t="str">
        <f>HYPERLINK("https://www.ncbi.nlm.nih.gov/pubmed/11681688","11681688")</f>
        <v>11681688</v>
      </c>
      <c r="B987">
        <f t="shared" si="65"/>
        <v>3</v>
      </c>
      <c r="C987">
        <f t="shared" si="65"/>
        <v>0</v>
      </c>
      <c r="D987">
        <f t="shared" si="65"/>
        <v>0</v>
      </c>
      <c r="E987">
        <f t="shared" si="64"/>
        <v>3</v>
      </c>
      <c r="F987">
        <v>2001</v>
      </c>
      <c r="G987" t="s">
        <v>6206</v>
      </c>
      <c r="H987">
        <v>0</v>
      </c>
      <c r="I987" s="65">
        <v>0</v>
      </c>
      <c r="J987" t="s">
        <v>6207</v>
      </c>
      <c r="K987" s="35" t="s">
        <v>909</v>
      </c>
      <c r="L987" s="35" t="s">
        <v>7241</v>
      </c>
      <c r="M987" s="39" t="str">
        <f>HYPERLINK("http://dx.doi.org/10.1603/0022-0493-94.5.1229","10.1603/0022-0493-94.5.1229")</f>
        <v>10.1603/0022-0493-94.5.1229</v>
      </c>
      <c r="N987" s="40" t="s">
        <v>1562</v>
      </c>
      <c r="O987" s="40" t="s">
        <v>746</v>
      </c>
      <c r="P987" s="40" t="s">
        <v>6208</v>
      </c>
      <c r="Q987" t="s">
        <v>316</v>
      </c>
    </row>
    <row r="988" spans="1:17" x14ac:dyDescent="0.25">
      <c r="A988" s="2" t="str">
        <f>HYPERLINK("https://www.ncbi.nlm.nih.gov/pubmed/11677140","11677140")</f>
        <v>11677140</v>
      </c>
      <c r="B988">
        <f t="shared" si="65"/>
        <v>3</v>
      </c>
      <c r="C988">
        <f t="shared" si="65"/>
        <v>0</v>
      </c>
      <c r="D988">
        <f t="shared" si="65"/>
        <v>0</v>
      </c>
      <c r="E988">
        <f t="shared" si="64"/>
        <v>3</v>
      </c>
      <c r="F988">
        <v>2001</v>
      </c>
      <c r="G988" t="s">
        <v>6216</v>
      </c>
      <c r="H988">
        <v>0</v>
      </c>
      <c r="I988" s="65">
        <v>0</v>
      </c>
      <c r="J988" t="s">
        <v>6218</v>
      </c>
      <c r="K988" s="35" t="s">
        <v>2420</v>
      </c>
      <c r="L988" s="35" t="s">
        <v>6217</v>
      </c>
      <c r="M988" s="39" t="str">
        <f>HYPERLINK("http://dx.doi.org/10.1016/s0960-894x(01)00604-7","10.1016/s0960-894x(01)00604-7")</f>
        <v>10.1016/s0960-894x(01)00604-7</v>
      </c>
      <c r="N988" s="40" t="s">
        <v>678</v>
      </c>
      <c r="O988" s="40" t="s">
        <v>1092</v>
      </c>
      <c r="P988" s="40" t="s">
        <v>6219</v>
      </c>
      <c r="Q988" t="s">
        <v>316</v>
      </c>
    </row>
    <row r="989" spans="1:17" x14ac:dyDescent="0.25">
      <c r="A989" s="2" t="str">
        <f>HYPERLINK("https://www.ncbi.nlm.nih.gov/pubmed/11561837","11561837")</f>
        <v>11561837</v>
      </c>
      <c r="B989">
        <f t="shared" si="65"/>
        <v>3</v>
      </c>
      <c r="C989">
        <f t="shared" si="65"/>
        <v>0</v>
      </c>
      <c r="D989">
        <f t="shared" si="65"/>
        <v>0</v>
      </c>
      <c r="E989">
        <f t="shared" si="64"/>
        <v>3</v>
      </c>
      <c r="F989">
        <v>2001</v>
      </c>
      <c r="G989" t="s">
        <v>6230</v>
      </c>
      <c r="H989">
        <v>0</v>
      </c>
      <c r="I989" s="65">
        <v>0</v>
      </c>
      <c r="J989" t="s">
        <v>6232</v>
      </c>
      <c r="K989" s="35" t="s">
        <v>909</v>
      </c>
      <c r="L989" s="35" t="s">
        <v>6231</v>
      </c>
      <c r="M989" s="39" t="str">
        <f>HYPERLINK("http://dx.doi.org/10.1603/0022-0493-94.4.811","10.1603/0022-0493-94.4.811")</f>
        <v>10.1603/0022-0493-94.4.811</v>
      </c>
      <c r="N989" s="40" t="s">
        <v>1562</v>
      </c>
      <c r="O989" s="40" t="s">
        <v>690</v>
      </c>
      <c r="P989" s="40" t="s">
        <v>6233</v>
      </c>
      <c r="Q989" t="s">
        <v>316</v>
      </c>
    </row>
    <row r="990" spans="1:17" x14ac:dyDescent="0.25">
      <c r="A990" s="2" t="str">
        <f>HYPERLINK("https://www.ncbi.nlm.nih.gov/pubmed/11489356","11489356")</f>
        <v>11489356</v>
      </c>
      <c r="B990">
        <f t="shared" si="65"/>
        <v>3</v>
      </c>
      <c r="C990">
        <f t="shared" si="65"/>
        <v>0</v>
      </c>
      <c r="D990">
        <f t="shared" si="65"/>
        <v>0</v>
      </c>
      <c r="E990">
        <f t="shared" si="64"/>
        <v>3</v>
      </c>
      <c r="F990">
        <v>2001</v>
      </c>
      <c r="G990" t="s">
        <v>6240</v>
      </c>
      <c r="H990">
        <v>0</v>
      </c>
      <c r="I990" s="65">
        <v>0</v>
      </c>
      <c r="J990" t="s">
        <v>6242</v>
      </c>
      <c r="K990" s="35" t="s">
        <v>1936</v>
      </c>
      <c r="L990" s="35" t="s">
        <v>6241</v>
      </c>
      <c r="M990" s="39" t="str">
        <f>HYPERLINK("http://dx.doi.org/10.1016/s0378-4274(01)00366-6","10.1016/s0378-4274(01)00366-6")</f>
        <v>10.1016/s0378-4274(01)00366-6</v>
      </c>
      <c r="N990" s="40" t="s">
        <v>3468</v>
      </c>
      <c r="O990" s="40" t="s">
        <v>750</v>
      </c>
      <c r="P990" s="40" t="s">
        <v>3934</v>
      </c>
      <c r="Q990" t="s">
        <v>316</v>
      </c>
    </row>
    <row r="991" spans="1:17" x14ac:dyDescent="0.25">
      <c r="A991" s="2" t="str">
        <f>HYPERLINK("https://www.ncbi.nlm.nih.gov/pubmed/11129705","11129705")</f>
        <v>11129705</v>
      </c>
      <c r="B991">
        <f t="shared" si="65"/>
        <v>3</v>
      </c>
      <c r="C991">
        <f t="shared" si="65"/>
        <v>0</v>
      </c>
      <c r="D991">
        <f t="shared" si="65"/>
        <v>0</v>
      </c>
      <c r="E991">
        <f t="shared" si="64"/>
        <v>3</v>
      </c>
      <c r="F991">
        <v>2000</v>
      </c>
      <c r="G991" t="s">
        <v>6318</v>
      </c>
      <c r="H991">
        <v>0</v>
      </c>
      <c r="I991" s="65">
        <v>0</v>
      </c>
      <c r="J991" t="s">
        <v>6024</v>
      </c>
      <c r="K991" s="35" t="s">
        <v>1466</v>
      </c>
      <c r="L991" s="35" t="s">
        <v>7254</v>
      </c>
      <c r="M991" s="39" t="str">
        <f>HYPERLINK("http://dx.doi.org/10.1046/j.1365-2915.2000.00259.x","10.1046/j.1365-2915.2000.00259.x")</f>
        <v>10.1046/j.1365-2915.2000.00259.x</v>
      </c>
      <c r="N991" s="40" t="s">
        <v>871</v>
      </c>
      <c r="O991" s="40" t="s">
        <v>690</v>
      </c>
      <c r="P991" s="40" t="s">
        <v>6319</v>
      </c>
      <c r="Q991" t="s">
        <v>316</v>
      </c>
    </row>
    <row r="992" spans="1:17" x14ac:dyDescent="0.25">
      <c r="A992" s="2" t="str">
        <f>HYPERLINK("https://www.ncbi.nlm.nih.gov/pubmed/11052715","11052715")</f>
        <v>11052715</v>
      </c>
      <c r="B992">
        <f t="shared" si="65"/>
        <v>3</v>
      </c>
      <c r="C992">
        <f t="shared" si="65"/>
        <v>0</v>
      </c>
      <c r="D992">
        <f t="shared" si="65"/>
        <v>0</v>
      </c>
      <c r="E992">
        <f t="shared" si="64"/>
        <v>3</v>
      </c>
      <c r="F992">
        <v>2000</v>
      </c>
      <c r="G992" t="s">
        <v>6327</v>
      </c>
      <c r="H992">
        <v>0</v>
      </c>
      <c r="I992" s="65">
        <v>0</v>
      </c>
      <c r="J992" t="s">
        <v>6329</v>
      </c>
      <c r="K992" s="35" t="s">
        <v>770</v>
      </c>
      <c r="L992" s="35" t="s">
        <v>6328</v>
      </c>
      <c r="M992" s="39" t="str">
        <f>HYPERLINK("http://dx.doi.org/10.1021/jf9913007","10.1021/jf9913007")</f>
        <v>10.1021/jf9913007</v>
      </c>
      <c r="N992" s="40" t="s">
        <v>1450</v>
      </c>
      <c r="O992" s="40" t="s">
        <v>802</v>
      </c>
      <c r="P992" s="40" t="s">
        <v>6330</v>
      </c>
      <c r="Q992" t="s">
        <v>316</v>
      </c>
    </row>
    <row r="993" spans="1:17" x14ac:dyDescent="0.25">
      <c r="A993" s="2" t="str">
        <f>HYPERLINK("https://www.ncbi.nlm.nih.gov/pubmed/10985042","10985042")</f>
        <v>10985042</v>
      </c>
      <c r="B993">
        <f t="shared" si="65"/>
        <v>3</v>
      </c>
      <c r="C993">
        <f t="shared" si="65"/>
        <v>0</v>
      </c>
      <c r="D993">
        <f t="shared" si="65"/>
        <v>0</v>
      </c>
      <c r="E993">
        <f t="shared" si="64"/>
        <v>3</v>
      </c>
      <c r="F993">
        <v>2000</v>
      </c>
      <c r="G993" t="s">
        <v>6334</v>
      </c>
      <c r="H993">
        <v>0</v>
      </c>
      <c r="I993" s="65">
        <v>0</v>
      </c>
      <c r="J993" t="s">
        <v>6335</v>
      </c>
      <c r="K993" s="35" t="s">
        <v>909</v>
      </c>
      <c r="L993" s="35" t="s">
        <v>7256</v>
      </c>
      <c r="M993" s="39" t="str">
        <f>HYPERLINK("http://dx.doi.org/10.1603/0022-0493-93.4.1269","10.1603/0022-0493-93.4.1269")</f>
        <v>10.1603/0022-0493-93.4.1269</v>
      </c>
      <c r="N993" s="40" t="s">
        <v>1900</v>
      </c>
      <c r="O993" s="40" t="s">
        <v>690</v>
      </c>
      <c r="P993" s="40" t="s">
        <v>6336</v>
      </c>
      <c r="Q993" t="s">
        <v>316</v>
      </c>
    </row>
    <row r="994" spans="1:17" x14ac:dyDescent="0.25">
      <c r="A994" s="2" t="str">
        <f>HYPERLINK("https://www.ncbi.nlm.nih.gov/pubmed/9877075","9877075")</f>
        <v>9877075</v>
      </c>
      <c r="B994">
        <f t="shared" si="65"/>
        <v>3</v>
      </c>
      <c r="C994">
        <f t="shared" si="65"/>
        <v>0</v>
      </c>
      <c r="D994">
        <f t="shared" si="65"/>
        <v>0</v>
      </c>
      <c r="E994">
        <f t="shared" si="64"/>
        <v>3</v>
      </c>
      <c r="F994">
        <v>1998</v>
      </c>
      <c r="G994" t="s">
        <v>6406</v>
      </c>
      <c r="H994">
        <v>0</v>
      </c>
      <c r="I994" s="65">
        <v>0</v>
      </c>
      <c r="J994" t="s">
        <v>6408</v>
      </c>
      <c r="K994" s="35" t="s">
        <v>1052</v>
      </c>
      <c r="L994" s="35" t="s">
        <v>6407</v>
      </c>
      <c r="M994" s="39" t="str">
        <f>HYPERLINK("http://dx.doi.org/10.1016/s0304-4017(98)00181-2","10.1016/s0304-4017(98)00181-2")</f>
        <v>10.1016/s0304-4017(98)00181-2</v>
      </c>
      <c r="N994" s="40" t="s">
        <v>1586</v>
      </c>
      <c r="O994" s="40" t="s">
        <v>638</v>
      </c>
      <c r="P994" s="40" t="s">
        <v>6409</v>
      </c>
      <c r="Q994" t="s">
        <v>316</v>
      </c>
    </row>
    <row r="995" spans="1:17" x14ac:dyDescent="0.25">
      <c r="A995" s="2" t="str">
        <f>HYPERLINK("https://www.ncbi.nlm.nih.gov/pubmed/9587197","9587197")</f>
        <v>9587197</v>
      </c>
      <c r="B995">
        <f t="shared" si="65"/>
        <v>3</v>
      </c>
      <c r="C995">
        <f t="shared" si="65"/>
        <v>0</v>
      </c>
      <c r="D995">
        <f t="shared" si="65"/>
        <v>0</v>
      </c>
      <c r="E995">
        <f t="shared" si="64"/>
        <v>3</v>
      </c>
      <c r="F995">
        <v>1998</v>
      </c>
      <c r="G995" t="s">
        <v>6427</v>
      </c>
      <c r="H995">
        <v>0</v>
      </c>
      <c r="I995" s="65">
        <v>0</v>
      </c>
      <c r="J995" t="s">
        <v>6429</v>
      </c>
      <c r="K995" s="35" t="s">
        <v>4754</v>
      </c>
      <c r="L995" s="35" t="s">
        <v>6428</v>
      </c>
      <c r="M995" s="39" t="str">
        <f>HYPERLINK("http://dx.doi.org/10.1136/vr.142.14.356","10.1136/vr.142.14.356")</f>
        <v>10.1136/vr.142.14.356</v>
      </c>
      <c r="N995" s="40" t="s">
        <v>2633</v>
      </c>
      <c r="O995" s="40" t="s">
        <v>871</v>
      </c>
      <c r="P995" s="40" t="s">
        <v>6430</v>
      </c>
      <c r="Q995" t="s">
        <v>316</v>
      </c>
    </row>
    <row r="996" spans="1:17" x14ac:dyDescent="0.25">
      <c r="A996" s="2" t="str">
        <f>HYPERLINK("https://www.ncbi.nlm.nih.gov/pubmed/34314433","34314433")</f>
        <v>34314433</v>
      </c>
      <c r="B996">
        <f t="shared" si="65"/>
        <v>2</v>
      </c>
      <c r="C996">
        <f t="shared" si="65"/>
        <v>0</v>
      </c>
      <c r="D996">
        <f t="shared" si="65"/>
        <v>0</v>
      </c>
      <c r="E996">
        <f t="shared" si="64"/>
        <v>2</v>
      </c>
      <c r="F996">
        <v>2021</v>
      </c>
      <c r="G996" t="s">
        <v>826</v>
      </c>
      <c r="H996">
        <v>0</v>
      </c>
      <c r="I996" s="64" t="str">
        <f>HYPERLINK("https://www.ncbi.nlm.nih.gov/research/pubtator/?view=docsum&amp;query=PMC8315510","1")</f>
        <v>1</v>
      </c>
      <c r="J996" t="s">
        <v>827</v>
      </c>
      <c r="K996" s="35" t="s">
        <v>779</v>
      </c>
      <c r="L996" s="35" t="s">
        <v>6533</v>
      </c>
      <c r="M996" s="39" t="str">
        <f>HYPERLINK("http://dx.doi.org/10.1371/journal.pone.0254301","10.1371/journal.pone.0254301")</f>
        <v>10.1371/journal.pone.0254301</v>
      </c>
      <c r="N996" s="40" t="s">
        <v>780</v>
      </c>
      <c r="O996" s="40" t="s">
        <v>748</v>
      </c>
      <c r="P996" s="40" t="s">
        <v>828</v>
      </c>
      <c r="Q996" t="s">
        <v>316</v>
      </c>
    </row>
    <row r="997" spans="1:17" x14ac:dyDescent="0.25">
      <c r="A997" s="2" t="str">
        <f>HYPERLINK("https://www.ncbi.nlm.nih.gov/pubmed/34244942","34244942")</f>
        <v>34244942</v>
      </c>
      <c r="B997">
        <f t="shared" si="65"/>
        <v>2</v>
      </c>
      <c r="C997">
        <f t="shared" si="65"/>
        <v>0</v>
      </c>
      <c r="D997">
        <f t="shared" si="65"/>
        <v>0</v>
      </c>
      <c r="E997">
        <f t="shared" si="64"/>
        <v>2</v>
      </c>
      <c r="F997">
        <v>2021</v>
      </c>
      <c r="G997" t="s">
        <v>847</v>
      </c>
      <c r="H997">
        <v>0</v>
      </c>
      <c r="I997" s="65">
        <v>0</v>
      </c>
      <c r="J997" t="s">
        <v>848</v>
      </c>
      <c r="K997" s="35" t="s">
        <v>810</v>
      </c>
      <c r="L997" s="35" t="s">
        <v>6536</v>
      </c>
      <c r="M997" s="39" t="str">
        <f>HYPERLINK("http://dx.doi.org/10.1007/s11356-021-15308-0","10.1007/s11356-021-15308-0")</f>
        <v>10.1007/s11356-021-15308-0</v>
      </c>
      <c r="N997" s="40" t="s">
        <v>383</v>
      </c>
      <c r="O997" s="40" t="s">
        <v>383</v>
      </c>
      <c r="P997" s="40" t="s">
        <v>383</v>
      </c>
      <c r="Q997" t="s">
        <v>316</v>
      </c>
    </row>
    <row r="998" spans="1:17" x14ac:dyDescent="0.25">
      <c r="A998" s="2" t="str">
        <f>HYPERLINK("https://www.ncbi.nlm.nih.gov/pubmed/34218381","34218381")</f>
        <v>34218381</v>
      </c>
      <c r="B998">
        <f t="shared" si="65"/>
        <v>2</v>
      </c>
      <c r="C998">
        <f t="shared" si="65"/>
        <v>2</v>
      </c>
      <c r="D998">
        <f t="shared" si="65"/>
        <v>0</v>
      </c>
      <c r="E998">
        <f t="shared" si="64"/>
        <v>4</v>
      </c>
      <c r="F998">
        <v>2021</v>
      </c>
      <c r="G998" t="s">
        <v>865</v>
      </c>
      <c r="H998">
        <v>0</v>
      </c>
      <c r="I998" s="65">
        <v>0</v>
      </c>
      <c r="J998" t="s">
        <v>867</v>
      </c>
      <c r="K998" s="35" t="s">
        <v>810</v>
      </c>
      <c r="L998" s="35" t="s">
        <v>866</v>
      </c>
      <c r="M998" s="39" t="str">
        <f>HYPERLINK("http://dx.doi.org/10.1007/s11356-021-15142-4","10.1007/s11356-021-15142-4")</f>
        <v>10.1007/s11356-021-15142-4</v>
      </c>
      <c r="N998" s="40" t="s">
        <v>383</v>
      </c>
      <c r="O998" s="40" t="s">
        <v>383</v>
      </c>
      <c r="P998" s="40" t="s">
        <v>383</v>
      </c>
      <c r="Q998" t="s">
        <v>316</v>
      </c>
    </row>
    <row r="999" spans="1:17" x14ac:dyDescent="0.25">
      <c r="A999" s="2" t="str">
        <f>HYPERLINK("https://www.ncbi.nlm.nih.gov/pubmed/34102575","34102575")</f>
        <v>34102575</v>
      </c>
      <c r="B999">
        <f t="shared" si="65"/>
        <v>2</v>
      </c>
      <c r="C999">
        <f t="shared" si="65"/>
        <v>0</v>
      </c>
      <c r="D999">
        <f t="shared" si="65"/>
        <v>0</v>
      </c>
      <c r="E999">
        <f t="shared" si="64"/>
        <v>2</v>
      </c>
      <c r="F999">
        <v>2021</v>
      </c>
      <c r="G999" t="s">
        <v>912</v>
      </c>
      <c r="H999">
        <v>0</v>
      </c>
      <c r="I999" s="65">
        <v>0</v>
      </c>
      <c r="J999" t="s">
        <v>913</v>
      </c>
      <c r="K999" s="35" t="s">
        <v>914</v>
      </c>
      <c r="L999" s="35" t="s">
        <v>6540</v>
      </c>
      <c r="M999" s="39" t="str">
        <f>HYPERLINK("http://dx.doi.org/10.1016/j.ttbdis.2021.101747","10.1016/j.ttbdis.2021.101747")</f>
        <v>10.1016/j.ttbdis.2021.101747</v>
      </c>
      <c r="N999" s="40" t="s">
        <v>915</v>
      </c>
      <c r="O999" s="40" t="s">
        <v>746</v>
      </c>
      <c r="P999" s="40" t="s">
        <v>916</v>
      </c>
      <c r="Q999" t="s">
        <v>316</v>
      </c>
    </row>
    <row r="1000" spans="1:17" x14ac:dyDescent="0.25">
      <c r="A1000" s="2" t="str">
        <f>HYPERLINK("https://www.ncbi.nlm.nih.gov/pubmed/34073959","34073959")</f>
        <v>34073959</v>
      </c>
      <c r="B1000">
        <f t="shared" si="65"/>
        <v>2</v>
      </c>
      <c r="C1000">
        <f t="shared" si="65"/>
        <v>0</v>
      </c>
      <c r="D1000">
        <f t="shared" si="65"/>
        <v>0</v>
      </c>
      <c r="E1000">
        <f t="shared" si="64"/>
        <v>2</v>
      </c>
      <c r="F1000">
        <v>2021</v>
      </c>
      <c r="G1000" t="s">
        <v>922</v>
      </c>
      <c r="H1000">
        <v>1</v>
      </c>
      <c r="I1000" s="64" t="str">
        <f>HYPERLINK("https://www.ncbi.nlm.nih.gov/research/pubtator/?view=docsum&amp;query=PMC8225145","1")</f>
        <v>1</v>
      </c>
      <c r="J1000" t="s">
        <v>924</v>
      </c>
      <c r="K1000" s="35" t="s">
        <v>925</v>
      </c>
      <c r="L1000" s="35" t="s">
        <v>923</v>
      </c>
      <c r="M1000" s="39" t="str">
        <f>HYPERLINK("http://dx.doi.org/10.3390/insects12060487","10.3390/insects12060487")</f>
        <v>10.3390/insects12060487</v>
      </c>
      <c r="N1000" s="40" t="s">
        <v>915</v>
      </c>
      <c r="O1000" s="40" t="s">
        <v>741</v>
      </c>
      <c r="P1000" s="40" t="s">
        <v>383</v>
      </c>
      <c r="Q1000" t="s">
        <v>316</v>
      </c>
    </row>
    <row r="1001" spans="1:17" x14ac:dyDescent="0.25">
      <c r="A1001" s="2" t="str">
        <f>HYPERLINK("https://www.ncbi.nlm.nih.gov/pubmed/33852699","33852699")</f>
        <v>33852699</v>
      </c>
      <c r="B1001">
        <f t="shared" si="65"/>
        <v>2</v>
      </c>
      <c r="C1001">
        <f t="shared" si="65"/>
        <v>0</v>
      </c>
      <c r="D1001">
        <f t="shared" si="65"/>
        <v>0</v>
      </c>
      <c r="E1001">
        <f t="shared" si="64"/>
        <v>2</v>
      </c>
      <c r="F1001">
        <v>2021</v>
      </c>
      <c r="G1001" t="s">
        <v>1005</v>
      </c>
      <c r="H1001">
        <v>0</v>
      </c>
      <c r="I1001" s="65">
        <v>0</v>
      </c>
      <c r="J1001" t="s">
        <v>1007</v>
      </c>
      <c r="K1001" s="35" t="s">
        <v>1008</v>
      </c>
      <c r="L1001" s="35" t="s">
        <v>1006</v>
      </c>
      <c r="M1001" s="39" t="str">
        <f>HYPERLINK("http://dx.doi.org/10.1590/S1984-29612021016","10.1590/S1984-29612021016")</f>
        <v>10.1590/S1984-29612021016</v>
      </c>
      <c r="N1001" s="40" t="s">
        <v>745</v>
      </c>
      <c r="O1001" s="40" t="s">
        <v>638</v>
      </c>
      <c r="P1001" s="40" t="s">
        <v>1009</v>
      </c>
      <c r="Q1001" t="s">
        <v>316</v>
      </c>
    </row>
    <row r="1002" spans="1:17" x14ac:dyDescent="0.25">
      <c r="A1002" s="2" t="str">
        <f>HYPERLINK("https://www.ncbi.nlm.nih.gov/pubmed/33774234","33774234")</f>
        <v>33774234</v>
      </c>
      <c r="B1002">
        <f t="shared" si="65"/>
        <v>2</v>
      </c>
      <c r="C1002">
        <f t="shared" si="65"/>
        <v>5</v>
      </c>
      <c r="D1002">
        <f t="shared" si="65"/>
        <v>0</v>
      </c>
      <c r="E1002">
        <f t="shared" si="64"/>
        <v>7</v>
      </c>
      <c r="F1002">
        <v>2021</v>
      </c>
      <c r="G1002" t="s">
        <v>1030</v>
      </c>
      <c r="H1002">
        <v>0</v>
      </c>
      <c r="I1002" s="65">
        <v>0</v>
      </c>
      <c r="J1002" t="s">
        <v>1031</v>
      </c>
      <c r="K1002" s="35" t="s">
        <v>822</v>
      </c>
      <c r="L1002" s="35" t="s">
        <v>6553</v>
      </c>
      <c r="M1002" s="39" t="str">
        <f>HYPERLINK("http://dx.doi.org/10.1016/j.chemosphere.2021.130283","10.1016/j.chemosphere.2021.130283")</f>
        <v>10.1016/j.chemosphere.2021.130283</v>
      </c>
      <c r="N1002" s="40" t="s">
        <v>1032</v>
      </c>
      <c r="O1002" s="40" t="s">
        <v>383</v>
      </c>
      <c r="P1002" s="40" t="s">
        <v>1033</v>
      </c>
      <c r="Q1002" t="s">
        <v>316</v>
      </c>
    </row>
    <row r="1003" spans="1:17" x14ac:dyDescent="0.25">
      <c r="A1003" s="2" t="str">
        <f>HYPERLINK("https://www.ncbi.nlm.nih.gov/pubmed/33638071","33638071")</f>
        <v>33638071</v>
      </c>
      <c r="B1003">
        <f t="shared" si="65"/>
        <v>2</v>
      </c>
      <c r="C1003">
        <f t="shared" si="65"/>
        <v>0</v>
      </c>
      <c r="D1003">
        <f t="shared" si="65"/>
        <v>0</v>
      </c>
      <c r="E1003">
        <f t="shared" si="64"/>
        <v>2</v>
      </c>
      <c r="F1003">
        <v>2021</v>
      </c>
      <c r="G1003" t="s">
        <v>1064</v>
      </c>
      <c r="H1003">
        <v>0</v>
      </c>
      <c r="I1003" s="64" t="str">
        <f>HYPERLINK("https://www.ncbi.nlm.nih.gov/research/pubtator/?view=docsum&amp;query=PMC8241664","1")</f>
        <v>1</v>
      </c>
      <c r="J1003" t="s">
        <v>1066</v>
      </c>
      <c r="K1003" s="35" t="s">
        <v>810</v>
      </c>
      <c r="L1003" s="35" t="s">
        <v>1065</v>
      </c>
      <c r="M1003" s="39" t="str">
        <f>HYPERLINK("http://dx.doi.org/10.1007/s11356-021-13091-6","10.1007/s11356-021-13091-6")</f>
        <v>10.1007/s11356-021-13091-6</v>
      </c>
      <c r="N1003" s="40" t="s">
        <v>383</v>
      </c>
      <c r="O1003" s="40" t="s">
        <v>383</v>
      </c>
      <c r="P1003" s="40" t="s">
        <v>383</v>
      </c>
      <c r="Q1003" t="s">
        <v>316</v>
      </c>
    </row>
    <row r="1004" spans="1:17" x14ac:dyDescent="0.25">
      <c r="A1004" s="2" t="str">
        <f>HYPERLINK("https://www.ncbi.nlm.nih.gov/pubmed/33334066","33334066")</f>
        <v>33334066</v>
      </c>
      <c r="B1004">
        <f t="shared" ref="B1004:D1023" si="66">IF(ISBLANK(B$3),0,(LEN($L1004) - LEN(SUBSTITUTE(LOWER($L1004),LOWER(B$3),"")))/LEN(B$3))</f>
        <v>2</v>
      </c>
      <c r="C1004">
        <f t="shared" si="66"/>
        <v>0</v>
      </c>
      <c r="D1004">
        <f t="shared" si="66"/>
        <v>0</v>
      </c>
      <c r="E1004">
        <f t="shared" si="64"/>
        <v>2</v>
      </c>
      <c r="F1004">
        <v>2020</v>
      </c>
      <c r="G1004" t="s">
        <v>1184</v>
      </c>
      <c r="H1004">
        <v>0</v>
      </c>
      <c r="I1004" s="64" t="str">
        <f>HYPERLINK("https://www.ncbi.nlm.nih.gov/research/pubtator/?view=docsum&amp;query=PMC7765549","1")</f>
        <v>1</v>
      </c>
      <c r="J1004" t="s">
        <v>1186</v>
      </c>
      <c r="K1004" s="35" t="s">
        <v>1187</v>
      </c>
      <c r="L1004" s="35" t="s">
        <v>1185</v>
      </c>
      <c r="M1004" s="39" t="str">
        <f>HYPERLINK("http://dx.doi.org/10.3390/ma13245729","10.3390/ma13245729")</f>
        <v>10.3390/ma13245729</v>
      </c>
      <c r="N1004" s="40" t="s">
        <v>742</v>
      </c>
      <c r="O1004" s="40" t="s">
        <v>1188</v>
      </c>
      <c r="P1004" s="40" t="s">
        <v>383</v>
      </c>
      <c r="Q1004" t="s">
        <v>316</v>
      </c>
    </row>
    <row r="1005" spans="1:17" x14ac:dyDescent="0.25">
      <c r="A1005" s="2" t="str">
        <f>HYPERLINK("https://www.ncbi.nlm.nih.gov/pubmed/33194337","33194337")</f>
        <v>33194337</v>
      </c>
      <c r="B1005">
        <f t="shared" si="66"/>
        <v>2</v>
      </c>
      <c r="C1005">
        <f t="shared" si="66"/>
        <v>0</v>
      </c>
      <c r="D1005">
        <f t="shared" si="66"/>
        <v>0</v>
      </c>
      <c r="E1005">
        <f t="shared" si="64"/>
        <v>2</v>
      </c>
      <c r="F1005">
        <v>2020</v>
      </c>
      <c r="G1005" t="s">
        <v>1221</v>
      </c>
      <c r="H1005">
        <v>0</v>
      </c>
      <c r="I1005" s="64" t="str">
        <f>HYPERLINK("https://www.ncbi.nlm.nih.gov/research/pubtator/?view=docsum&amp;query=PMC7394062","1")</f>
        <v>1</v>
      </c>
      <c r="J1005" t="s">
        <v>1223</v>
      </c>
      <c r="K1005" s="35" t="s">
        <v>1224</v>
      </c>
      <c r="L1005" s="35" t="s">
        <v>1222</v>
      </c>
      <c r="M1005" s="39" t="str">
        <f>HYPERLINK("http://dx.doi.org/10.7717/peerj.9615","10.7717/peerj.9615")</f>
        <v>10.7717/peerj.9615</v>
      </c>
      <c r="N1005" s="40" t="s">
        <v>781</v>
      </c>
      <c r="O1005" s="40" t="s">
        <v>383</v>
      </c>
      <c r="P1005" s="40" t="s">
        <v>1225</v>
      </c>
      <c r="Q1005" t="s">
        <v>316</v>
      </c>
    </row>
    <row r="1006" spans="1:17" x14ac:dyDescent="0.25">
      <c r="A1006" s="2" t="str">
        <f>HYPERLINK("https://www.ncbi.nlm.nih.gov/pubmed/33107216","33107216")</f>
        <v>33107216</v>
      </c>
      <c r="B1006">
        <f t="shared" si="66"/>
        <v>2</v>
      </c>
      <c r="C1006">
        <f t="shared" si="66"/>
        <v>0</v>
      </c>
      <c r="D1006">
        <f t="shared" si="66"/>
        <v>0</v>
      </c>
      <c r="E1006">
        <f t="shared" si="64"/>
        <v>2</v>
      </c>
      <c r="F1006">
        <v>2021</v>
      </c>
      <c r="G1006" t="s">
        <v>1265</v>
      </c>
      <c r="H1006">
        <v>0</v>
      </c>
      <c r="I1006" s="64" t="str">
        <f>HYPERLINK("https://www.ncbi.nlm.nih.gov/research/pubtator/?view=docsum&amp;query=PMC8025640","1")</f>
        <v>1</v>
      </c>
      <c r="J1006" t="s">
        <v>1267</v>
      </c>
      <c r="K1006" s="35" t="s">
        <v>1268</v>
      </c>
      <c r="L1006" s="35" t="s">
        <v>1266</v>
      </c>
      <c r="M1006" s="39" t="str">
        <f>HYPERLINK("http://dx.doi.org/10.1002/vms3.385","10.1002/vms3.385")</f>
        <v>10.1002/vms3.385</v>
      </c>
      <c r="N1006" s="40" t="s">
        <v>748</v>
      </c>
      <c r="O1006" s="40" t="s">
        <v>744</v>
      </c>
      <c r="P1006" s="40" t="s">
        <v>1269</v>
      </c>
      <c r="Q1006" t="s">
        <v>316</v>
      </c>
    </row>
    <row r="1007" spans="1:17" x14ac:dyDescent="0.25">
      <c r="A1007" s="2" t="str">
        <f>HYPERLINK("https://www.ncbi.nlm.nih.gov/pubmed/33106221","33106221")</f>
        <v>33106221</v>
      </c>
      <c r="B1007">
        <f t="shared" si="66"/>
        <v>2</v>
      </c>
      <c r="C1007">
        <f t="shared" si="66"/>
        <v>0</v>
      </c>
      <c r="D1007">
        <f t="shared" si="66"/>
        <v>0</v>
      </c>
      <c r="E1007">
        <f t="shared" si="64"/>
        <v>2</v>
      </c>
      <c r="F1007">
        <v>2020</v>
      </c>
      <c r="G1007" t="s">
        <v>1270</v>
      </c>
      <c r="H1007">
        <v>0</v>
      </c>
      <c r="I1007" s="65">
        <v>0</v>
      </c>
      <c r="J1007" t="s">
        <v>1272</v>
      </c>
      <c r="K1007" s="35" t="s">
        <v>1273</v>
      </c>
      <c r="L1007" s="35" t="s">
        <v>1271</v>
      </c>
      <c r="M1007" s="39" t="str">
        <f>HYPERLINK("http://dx.doi.org/10.3967/bes2020.097","10.3967/bes2020.097")</f>
        <v>10.3967/bes2020.097</v>
      </c>
      <c r="N1007" s="40" t="s">
        <v>877</v>
      </c>
      <c r="O1007" s="40" t="s">
        <v>660</v>
      </c>
      <c r="P1007" s="40" t="s">
        <v>1274</v>
      </c>
      <c r="Q1007" t="s">
        <v>316</v>
      </c>
    </row>
    <row r="1008" spans="1:17" x14ac:dyDescent="0.25">
      <c r="A1008" s="2" t="str">
        <f>HYPERLINK("https://www.ncbi.nlm.nih.gov/pubmed/33094509","33094509")</f>
        <v>33094509</v>
      </c>
      <c r="B1008">
        <f t="shared" si="66"/>
        <v>2</v>
      </c>
      <c r="C1008">
        <f t="shared" si="66"/>
        <v>0</v>
      </c>
      <c r="D1008">
        <f t="shared" si="66"/>
        <v>0</v>
      </c>
      <c r="E1008">
        <f t="shared" si="64"/>
        <v>2</v>
      </c>
      <c r="F1008">
        <v>2021</v>
      </c>
      <c r="G1008" t="s">
        <v>1280</v>
      </c>
      <c r="H1008">
        <v>0</v>
      </c>
      <c r="I1008" s="65">
        <v>0</v>
      </c>
      <c r="J1008" t="s">
        <v>1281</v>
      </c>
      <c r="K1008" s="35" t="s">
        <v>968</v>
      </c>
      <c r="L1008" s="35" t="s">
        <v>6583</v>
      </c>
      <c r="M1008" s="39" t="str">
        <f>HYPERLINK("http://dx.doi.org/10.1002/ps.6148","10.1002/ps.6148")</f>
        <v>10.1002/ps.6148</v>
      </c>
      <c r="N1008" s="40" t="s">
        <v>1074</v>
      </c>
      <c r="O1008" s="40" t="s">
        <v>750</v>
      </c>
      <c r="P1008" s="40" t="s">
        <v>1282</v>
      </c>
      <c r="Q1008" t="s">
        <v>316</v>
      </c>
    </row>
    <row r="1009" spans="1:17" x14ac:dyDescent="0.25">
      <c r="A1009" s="2" t="str">
        <f>HYPERLINK("https://www.ncbi.nlm.nih.gov/pubmed/33083781","33083781")</f>
        <v>33083781</v>
      </c>
      <c r="B1009">
        <f t="shared" si="66"/>
        <v>2</v>
      </c>
      <c r="C1009">
        <f t="shared" si="66"/>
        <v>0</v>
      </c>
      <c r="D1009">
        <f t="shared" si="66"/>
        <v>0</v>
      </c>
      <c r="E1009">
        <f t="shared" si="64"/>
        <v>2</v>
      </c>
      <c r="F1009">
        <v>2020</v>
      </c>
      <c r="G1009" t="s">
        <v>1283</v>
      </c>
      <c r="H1009">
        <v>0</v>
      </c>
      <c r="I1009" s="64" t="str">
        <f>HYPERLINK("https://www.ncbi.nlm.nih.gov/research/pubtator/?view=docsum&amp;query=PMC7554208","1")</f>
        <v>1</v>
      </c>
      <c r="J1009" t="s">
        <v>1284</v>
      </c>
      <c r="K1009" s="35" t="s">
        <v>1285</v>
      </c>
      <c r="L1009" s="35" t="s">
        <v>6584</v>
      </c>
      <c r="M1009" s="39" t="str">
        <f>HYPERLINK("http://dx.doi.org/10.1016/j.vpoa.2020.100032","10.1016/j.vpoa.2020.100032")</f>
        <v>10.1016/j.vpoa.2020.100032</v>
      </c>
      <c r="N1009" s="40" t="s">
        <v>690</v>
      </c>
      <c r="O1009" s="40" t="s">
        <v>383</v>
      </c>
      <c r="P1009" s="40" t="s">
        <v>1286</v>
      </c>
      <c r="Q1009" t="s">
        <v>316</v>
      </c>
    </row>
    <row r="1010" spans="1:17" x14ac:dyDescent="0.25">
      <c r="A1010" s="2" t="str">
        <f>HYPERLINK("https://www.ncbi.nlm.nih.gov/pubmed/32930306","32930306")</f>
        <v>32930306</v>
      </c>
      <c r="B1010">
        <f t="shared" si="66"/>
        <v>2</v>
      </c>
      <c r="C1010">
        <f t="shared" si="66"/>
        <v>0</v>
      </c>
      <c r="D1010">
        <f t="shared" si="66"/>
        <v>0</v>
      </c>
      <c r="E1010">
        <f t="shared" si="64"/>
        <v>2</v>
      </c>
      <c r="F1010">
        <v>2020</v>
      </c>
      <c r="G1010" t="s">
        <v>1361</v>
      </c>
      <c r="H1010">
        <v>0</v>
      </c>
      <c r="I1010" s="65">
        <v>0</v>
      </c>
      <c r="J1010" t="s">
        <v>1363</v>
      </c>
      <c r="K1010" s="35" t="s">
        <v>857</v>
      </c>
      <c r="L1010" s="35" t="s">
        <v>1362</v>
      </c>
      <c r="M1010" s="39" t="str">
        <f>HYPERLINK("http://dx.doi.org/10.1039/d0ay00288g","10.1039/d0ay00288g")</f>
        <v>10.1039/d0ay00288g</v>
      </c>
      <c r="N1010" s="40" t="s">
        <v>915</v>
      </c>
      <c r="O1010" s="40" t="s">
        <v>1364</v>
      </c>
      <c r="P1010" s="40" t="s">
        <v>1365</v>
      </c>
      <c r="Q1010" t="s">
        <v>316</v>
      </c>
    </row>
    <row r="1011" spans="1:17" x14ac:dyDescent="0.25">
      <c r="A1011" s="2" t="str">
        <f>HYPERLINK("https://www.ncbi.nlm.nih.gov/pubmed/32904766","32904766")</f>
        <v>32904766</v>
      </c>
      <c r="B1011">
        <f t="shared" si="66"/>
        <v>2</v>
      </c>
      <c r="C1011">
        <f t="shared" si="66"/>
        <v>0</v>
      </c>
      <c r="D1011">
        <f t="shared" si="66"/>
        <v>0</v>
      </c>
      <c r="E1011">
        <f t="shared" si="64"/>
        <v>2</v>
      </c>
      <c r="F1011">
        <v>2020</v>
      </c>
      <c r="G1011" t="s">
        <v>1371</v>
      </c>
      <c r="H1011">
        <v>0</v>
      </c>
      <c r="I1011" s="64" t="str">
        <f>HYPERLINK("https://www.ncbi.nlm.nih.gov/research/pubtator/?view=docsum&amp;query=PMC7458379","1")</f>
        <v>1</v>
      </c>
      <c r="J1011" t="s">
        <v>1372</v>
      </c>
      <c r="K1011" s="35" t="s">
        <v>1285</v>
      </c>
      <c r="L1011" s="35" t="s">
        <v>6597</v>
      </c>
      <c r="M1011" s="39" t="str">
        <f>HYPERLINK("http://dx.doi.org/10.1016/j.vpoa.2020.100026","10.1016/j.vpoa.2020.100026")</f>
        <v>10.1016/j.vpoa.2020.100026</v>
      </c>
      <c r="N1011" s="40" t="s">
        <v>750</v>
      </c>
      <c r="O1011" s="40" t="s">
        <v>383</v>
      </c>
      <c r="P1011" s="40" t="s">
        <v>1373</v>
      </c>
      <c r="Q1011" t="s">
        <v>316</v>
      </c>
    </row>
    <row r="1012" spans="1:17" x14ac:dyDescent="0.25">
      <c r="A1012" s="2" t="str">
        <f>HYPERLINK("https://www.ncbi.nlm.nih.gov/pubmed/32904740","32904740")</f>
        <v>32904740</v>
      </c>
      <c r="B1012">
        <f t="shared" si="66"/>
        <v>2</v>
      </c>
      <c r="C1012">
        <f t="shared" si="66"/>
        <v>0</v>
      </c>
      <c r="D1012">
        <f t="shared" si="66"/>
        <v>0</v>
      </c>
      <c r="E1012">
        <f t="shared" si="64"/>
        <v>2</v>
      </c>
      <c r="F1012">
        <v>2020</v>
      </c>
      <c r="G1012" t="s">
        <v>1374</v>
      </c>
      <c r="H1012">
        <v>0</v>
      </c>
      <c r="I1012" s="64" t="str">
        <f>HYPERLINK("https://www.ncbi.nlm.nih.gov/research/pubtator/?view=docsum&amp;query=PMC7458367","1")</f>
        <v>1</v>
      </c>
      <c r="J1012" t="s">
        <v>1376</v>
      </c>
      <c r="K1012" s="35" t="s">
        <v>1285</v>
      </c>
      <c r="L1012" s="35" t="s">
        <v>1375</v>
      </c>
      <c r="M1012" s="39" t="str">
        <f>HYPERLINK("http://dx.doi.org/10.1016/j.vpoa.2020.100025","10.1016/j.vpoa.2020.100025")</f>
        <v>10.1016/j.vpoa.2020.100025</v>
      </c>
      <c r="N1012" s="40" t="s">
        <v>750</v>
      </c>
      <c r="O1012" s="40" t="s">
        <v>383</v>
      </c>
      <c r="P1012" s="40" t="s">
        <v>1377</v>
      </c>
      <c r="Q1012" t="s">
        <v>316</v>
      </c>
    </row>
    <row r="1013" spans="1:17" x14ac:dyDescent="0.25">
      <c r="A1013" s="2" t="str">
        <f>HYPERLINK("https://www.ncbi.nlm.nih.gov/pubmed/32569399","32569399")</f>
        <v>32569399</v>
      </c>
      <c r="B1013">
        <f t="shared" si="66"/>
        <v>2</v>
      </c>
      <c r="C1013">
        <f t="shared" si="66"/>
        <v>0</v>
      </c>
      <c r="D1013">
        <f t="shared" si="66"/>
        <v>0</v>
      </c>
      <c r="E1013">
        <f t="shared" si="64"/>
        <v>2</v>
      </c>
      <c r="F1013">
        <v>2020</v>
      </c>
      <c r="G1013" t="s">
        <v>1483</v>
      </c>
      <c r="H1013">
        <v>0</v>
      </c>
      <c r="I1013" s="65">
        <v>0</v>
      </c>
      <c r="J1013" t="s">
        <v>1484</v>
      </c>
      <c r="K1013" s="35" t="s">
        <v>968</v>
      </c>
      <c r="L1013" s="35" t="s">
        <v>6616</v>
      </c>
      <c r="M1013" s="39" t="str">
        <f>HYPERLINK("http://dx.doi.org/10.1002/ps.5972","10.1002/ps.5972")</f>
        <v>10.1002/ps.5972</v>
      </c>
      <c r="N1013" s="40" t="s">
        <v>1485</v>
      </c>
      <c r="O1013" s="40" t="s">
        <v>915</v>
      </c>
      <c r="P1013" s="40" t="s">
        <v>1486</v>
      </c>
      <c r="Q1013" t="s">
        <v>316</v>
      </c>
    </row>
    <row r="1014" spans="1:17" x14ac:dyDescent="0.25">
      <c r="A1014" s="2" t="str">
        <f>HYPERLINK("https://www.ncbi.nlm.nih.gov/pubmed/32361138","32361138")</f>
        <v>32361138</v>
      </c>
      <c r="B1014">
        <f t="shared" si="66"/>
        <v>2</v>
      </c>
      <c r="C1014">
        <f t="shared" si="66"/>
        <v>0</v>
      </c>
      <c r="D1014">
        <f t="shared" si="66"/>
        <v>0</v>
      </c>
      <c r="E1014">
        <f t="shared" si="64"/>
        <v>2</v>
      </c>
      <c r="F1014">
        <v>2020</v>
      </c>
      <c r="G1014" t="s">
        <v>1532</v>
      </c>
      <c r="H1014">
        <v>0</v>
      </c>
      <c r="I1014" s="64" t="str">
        <f>HYPERLINK("https://www.ncbi.nlm.nih.gov/research/pubtator/?view=docsum&amp;query=PMC7472880","1")</f>
        <v>1</v>
      </c>
      <c r="J1014" t="s">
        <v>1534</v>
      </c>
      <c r="K1014" s="35" t="s">
        <v>768</v>
      </c>
      <c r="L1014" s="35" t="s">
        <v>1533</v>
      </c>
      <c r="M1014" s="39" t="str">
        <f>HYPERLINK("http://dx.doi.org/10.1016/j.jhazmat.2020.122743","10.1016/j.jhazmat.2020.122743")</f>
        <v>10.1016/j.jhazmat.2020.122743</v>
      </c>
      <c r="N1014" s="40" t="s">
        <v>1535</v>
      </c>
      <c r="O1014" s="40" t="s">
        <v>383</v>
      </c>
      <c r="P1014" s="40" t="s">
        <v>1536</v>
      </c>
      <c r="Q1014" t="s">
        <v>316</v>
      </c>
    </row>
    <row r="1015" spans="1:17" x14ac:dyDescent="0.25">
      <c r="A1015" s="2" t="str">
        <f>HYPERLINK("https://www.ncbi.nlm.nih.gov/pubmed/32346330","32346330")</f>
        <v>32346330</v>
      </c>
      <c r="B1015">
        <f t="shared" si="66"/>
        <v>2</v>
      </c>
      <c r="C1015">
        <f t="shared" si="66"/>
        <v>0</v>
      </c>
      <c r="D1015">
        <f t="shared" si="66"/>
        <v>0</v>
      </c>
      <c r="E1015">
        <f t="shared" si="64"/>
        <v>2</v>
      </c>
      <c r="F1015">
        <v>2020</v>
      </c>
      <c r="G1015" t="s">
        <v>1537</v>
      </c>
      <c r="H1015">
        <v>0</v>
      </c>
      <c r="I1015" s="64" t="str">
        <f>HYPERLINK("https://www.ncbi.nlm.nih.gov/research/pubtator/?view=docsum&amp;query=PMC7182991","1")</f>
        <v>1</v>
      </c>
      <c r="J1015" t="s">
        <v>1539</v>
      </c>
      <c r="K1015" s="35" t="s">
        <v>1540</v>
      </c>
      <c r="L1015" s="35" t="s">
        <v>1538</v>
      </c>
      <c r="M1015" s="39" t="str">
        <f>HYPERLINK("http://dx.doi.org/10.1016/j.sjbs.2020.02.006","10.1016/j.sjbs.2020.02.006")</f>
        <v>10.1016/j.sjbs.2020.02.006</v>
      </c>
      <c r="N1015" s="40" t="s">
        <v>1116</v>
      </c>
      <c r="O1015" s="40" t="s">
        <v>746</v>
      </c>
      <c r="P1015" s="40" t="s">
        <v>1541</v>
      </c>
      <c r="Q1015" t="s">
        <v>316</v>
      </c>
    </row>
    <row r="1016" spans="1:17" x14ac:dyDescent="0.25">
      <c r="A1016" s="2" t="str">
        <f>HYPERLINK("https://www.ncbi.nlm.nih.gov/pubmed/32203813","32203813")</f>
        <v>32203813</v>
      </c>
      <c r="B1016">
        <f t="shared" si="66"/>
        <v>2</v>
      </c>
      <c r="C1016">
        <f t="shared" si="66"/>
        <v>9</v>
      </c>
      <c r="D1016">
        <f t="shared" si="66"/>
        <v>0</v>
      </c>
      <c r="E1016">
        <f t="shared" si="64"/>
        <v>11</v>
      </c>
      <c r="F1016">
        <v>2020</v>
      </c>
      <c r="G1016" t="s">
        <v>1579</v>
      </c>
      <c r="H1016">
        <v>0</v>
      </c>
      <c r="I1016" s="65">
        <v>0</v>
      </c>
      <c r="J1016" t="s">
        <v>1580</v>
      </c>
      <c r="K1016" s="35" t="s">
        <v>1581</v>
      </c>
      <c r="L1016" s="35" t="s">
        <v>6630</v>
      </c>
      <c r="M1016" s="39" t="str">
        <f>HYPERLINK("http://dx.doi.org/10.1016/j.prevetmed.2020.104950","10.1016/j.prevetmed.2020.104950")</f>
        <v>10.1016/j.prevetmed.2020.104950</v>
      </c>
      <c r="N1016" s="40" t="s">
        <v>832</v>
      </c>
      <c r="O1016" s="40" t="s">
        <v>383</v>
      </c>
      <c r="P1016" s="40" t="s">
        <v>1582</v>
      </c>
      <c r="Q1016" t="s">
        <v>316</v>
      </c>
    </row>
    <row r="1017" spans="1:17" x14ac:dyDescent="0.25">
      <c r="A1017" s="2" t="str">
        <f>HYPERLINK("https://www.ncbi.nlm.nih.gov/pubmed/32156066","32156066")</f>
        <v>32156066</v>
      </c>
      <c r="B1017">
        <f t="shared" si="66"/>
        <v>2</v>
      </c>
      <c r="C1017">
        <f t="shared" si="66"/>
        <v>0</v>
      </c>
      <c r="D1017">
        <f t="shared" si="66"/>
        <v>0</v>
      </c>
      <c r="E1017">
        <f t="shared" si="64"/>
        <v>2</v>
      </c>
      <c r="F1017">
        <v>2020</v>
      </c>
      <c r="G1017" t="s">
        <v>1599</v>
      </c>
      <c r="H1017">
        <v>0</v>
      </c>
      <c r="I1017" s="64" t="str">
        <f>HYPERLINK("https://www.ncbi.nlm.nih.gov/research/pubtator/?view=docsum&amp;query=PMC7142507","1")</f>
        <v>1</v>
      </c>
      <c r="J1017" t="s">
        <v>1601</v>
      </c>
      <c r="K1017" s="35" t="s">
        <v>925</v>
      </c>
      <c r="L1017" s="35" t="s">
        <v>1600</v>
      </c>
      <c r="M1017" s="39" t="str">
        <f>HYPERLINK("http://dx.doi.org/10.3390/insects11030170","10.3390/insects11030170")</f>
        <v>10.3390/insects11030170</v>
      </c>
      <c r="N1017" s="40" t="s">
        <v>678</v>
      </c>
      <c r="O1017" s="40" t="s">
        <v>750</v>
      </c>
      <c r="P1017" s="40" t="s">
        <v>383</v>
      </c>
      <c r="Q1017" t="s">
        <v>316</v>
      </c>
    </row>
    <row r="1018" spans="1:17" x14ac:dyDescent="0.25">
      <c r="A1018" s="2" t="str">
        <f>HYPERLINK("https://www.ncbi.nlm.nih.gov/pubmed/32043247","32043247")</f>
        <v>32043247</v>
      </c>
      <c r="B1018">
        <f t="shared" si="66"/>
        <v>2</v>
      </c>
      <c r="C1018">
        <f t="shared" si="66"/>
        <v>0</v>
      </c>
      <c r="D1018">
        <f t="shared" si="66"/>
        <v>0</v>
      </c>
      <c r="E1018">
        <f t="shared" si="64"/>
        <v>2</v>
      </c>
      <c r="F1018">
        <v>2020</v>
      </c>
      <c r="G1018" t="s">
        <v>1631</v>
      </c>
      <c r="H1018">
        <v>0</v>
      </c>
      <c r="I1018" s="65">
        <v>0</v>
      </c>
      <c r="J1018" t="s">
        <v>1633</v>
      </c>
      <c r="K1018" s="35" t="s">
        <v>810</v>
      </c>
      <c r="L1018" s="35" t="s">
        <v>1632</v>
      </c>
      <c r="M1018" s="39" t="str">
        <f>HYPERLINK("http://dx.doi.org/10.1007/s11356-020-07994-z","10.1007/s11356-020-07994-z")</f>
        <v>10.1007/s11356-020-07994-z</v>
      </c>
      <c r="N1018" s="40" t="s">
        <v>1116</v>
      </c>
      <c r="O1018" s="40" t="s">
        <v>915</v>
      </c>
      <c r="P1018" s="40" t="s">
        <v>1634</v>
      </c>
      <c r="Q1018" t="s">
        <v>316</v>
      </c>
    </row>
    <row r="1019" spans="1:17" x14ac:dyDescent="0.25">
      <c r="A1019" s="2" t="str">
        <f>HYPERLINK("https://www.ncbi.nlm.nih.gov/pubmed/31930837","31930837")</f>
        <v>31930837</v>
      </c>
      <c r="B1019">
        <f t="shared" si="66"/>
        <v>2</v>
      </c>
      <c r="C1019">
        <f t="shared" si="66"/>
        <v>0</v>
      </c>
      <c r="D1019">
        <f t="shared" si="66"/>
        <v>0</v>
      </c>
      <c r="E1019">
        <f t="shared" si="64"/>
        <v>2</v>
      </c>
      <c r="F1019">
        <v>2019</v>
      </c>
      <c r="G1019" t="s">
        <v>1657</v>
      </c>
      <c r="H1019">
        <v>0</v>
      </c>
      <c r="I1019" s="65">
        <v>0</v>
      </c>
      <c r="J1019" t="s">
        <v>1659</v>
      </c>
      <c r="K1019" s="35" t="s">
        <v>1660</v>
      </c>
      <c r="L1019" s="35" t="s">
        <v>1658</v>
      </c>
      <c r="M1019" s="39" t="str">
        <f>HYPERLINK("http://dx.doi.org/10.3923/pjbs.2019.477.485","10.3923/pjbs.2019.477.485")</f>
        <v>10.3923/pjbs.2019.477.485</v>
      </c>
      <c r="N1019" s="40" t="s">
        <v>1092</v>
      </c>
      <c r="O1019" s="40" t="s">
        <v>802</v>
      </c>
      <c r="P1019" s="40" t="s">
        <v>1661</v>
      </c>
      <c r="Q1019" t="s">
        <v>316</v>
      </c>
    </row>
    <row r="1020" spans="1:17" x14ac:dyDescent="0.25">
      <c r="A1020" s="2" t="str">
        <f>HYPERLINK("https://www.ncbi.nlm.nih.gov/pubmed/31902971","31902971")</f>
        <v>31902971</v>
      </c>
      <c r="B1020">
        <f t="shared" si="66"/>
        <v>2</v>
      </c>
      <c r="C1020">
        <f t="shared" si="66"/>
        <v>0</v>
      </c>
      <c r="D1020">
        <f t="shared" si="66"/>
        <v>0</v>
      </c>
      <c r="E1020">
        <f t="shared" si="64"/>
        <v>2</v>
      </c>
      <c r="F1020">
        <v>2020</v>
      </c>
      <c r="G1020" t="s">
        <v>1662</v>
      </c>
      <c r="H1020">
        <v>0</v>
      </c>
      <c r="I1020" s="64" t="str">
        <f>HYPERLINK("https://www.ncbi.nlm.nih.gov/research/pubtator/?view=docsum&amp;query=PMC6894310","1")</f>
        <v>1</v>
      </c>
      <c r="J1020" t="s">
        <v>1663</v>
      </c>
      <c r="K1020" s="35" t="s">
        <v>1664</v>
      </c>
      <c r="L1020" s="35" t="s">
        <v>6637</v>
      </c>
      <c r="M1020" s="39" t="str">
        <f>HYPERLINK("http://dx.doi.org/10.1016/j.cropro.2019.104963","10.1016/j.cropro.2019.104963")</f>
        <v>10.1016/j.cropro.2019.104963</v>
      </c>
      <c r="N1020" s="40" t="s">
        <v>1063</v>
      </c>
      <c r="O1020" s="40" t="s">
        <v>383</v>
      </c>
      <c r="P1020" s="40" t="s">
        <v>1665</v>
      </c>
      <c r="Q1020" t="s">
        <v>316</v>
      </c>
    </row>
    <row r="1021" spans="1:17" x14ac:dyDescent="0.25">
      <c r="A1021" s="2" t="str">
        <f>HYPERLINK("https://www.ncbi.nlm.nih.gov/pubmed/34392953","34392953")</f>
        <v>34392953</v>
      </c>
      <c r="B1021">
        <f t="shared" si="66"/>
        <v>2</v>
      </c>
      <c r="C1021">
        <f t="shared" si="66"/>
        <v>0</v>
      </c>
      <c r="D1021">
        <f t="shared" si="66"/>
        <v>0</v>
      </c>
      <c r="E1021">
        <f t="shared" si="64"/>
        <v>2</v>
      </c>
      <c r="F1021">
        <v>2020</v>
      </c>
      <c r="G1021" t="s">
        <v>1371</v>
      </c>
      <c r="H1021">
        <v>0</v>
      </c>
      <c r="I1021" s="65">
        <v>0</v>
      </c>
      <c r="J1021" t="s">
        <v>1372</v>
      </c>
      <c r="K1021" s="35" t="s">
        <v>1052</v>
      </c>
      <c r="L1021" s="35" t="s">
        <v>6639</v>
      </c>
      <c r="M1021" s="39" t="str">
        <f>HYPERLINK("http://dx.doi.org/10.1016/j.vpoa.2020.100026","10.1016/j.vpoa.2020.100026")</f>
        <v>10.1016/j.vpoa.2020.100026</v>
      </c>
      <c r="N1021" s="40" t="s">
        <v>1673</v>
      </c>
      <c r="O1021" s="40" t="s">
        <v>383</v>
      </c>
      <c r="P1021" s="40" t="s">
        <v>1373</v>
      </c>
      <c r="Q1021" t="s">
        <v>316</v>
      </c>
    </row>
    <row r="1022" spans="1:17" x14ac:dyDescent="0.25">
      <c r="A1022" s="2" t="str">
        <f>HYPERLINK("https://www.ncbi.nlm.nih.gov/pubmed/34392950","34392950")</f>
        <v>34392950</v>
      </c>
      <c r="B1022">
        <f t="shared" si="66"/>
        <v>2</v>
      </c>
      <c r="C1022">
        <f t="shared" si="66"/>
        <v>0</v>
      </c>
      <c r="D1022">
        <f t="shared" si="66"/>
        <v>0</v>
      </c>
      <c r="E1022">
        <f t="shared" si="64"/>
        <v>2</v>
      </c>
      <c r="F1022">
        <v>2020</v>
      </c>
      <c r="G1022" t="s">
        <v>1374</v>
      </c>
      <c r="H1022">
        <v>0</v>
      </c>
      <c r="I1022" s="65">
        <v>0</v>
      </c>
      <c r="J1022" t="s">
        <v>1376</v>
      </c>
      <c r="K1022" s="35" t="s">
        <v>1052</v>
      </c>
      <c r="L1022" s="35" t="s">
        <v>1674</v>
      </c>
      <c r="M1022" s="39" t="str">
        <f>HYPERLINK("http://dx.doi.org/10.1016/j.vpoa.2020.100025","10.1016/j.vpoa.2020.100025")</f>
        <v>10.1016/j.vpoa.2020.100025</v>
      </c>
      <c r="N1022" s="40" t="s">
        <v>1673</v>
      </c>
      <c r="O1022" s="40" t="s">
        <v>383</v>
      </c>
      <c r="P1022" s="40" t="s">
        <v>1377</v>
      </c>
      <c r="Q1022" t="s">
        <v>316</v>
      </c>
    </row>
    <row r="1023" spans="1:17" x14ac:dyDescent="0.25">
      <c r="A1023" s="2" t="str">
        <f>HYPERLINK("https://www.ncbi.nlm.nih.gov/pubmed/34392943","34392943")</f>
        <v>34392943</v>
      </c>
      <c r="B1023">
        <f t="shared" si="66"/>
        <v>2</v>
      </c>
      <c r="C1023">
        <f t="shared" si="66"/>
        <v>0</v>
      </c>
      <c r="D1023">
        <f t="shared" si="66"/>
        <v>0</v>
      </c>
      <c r="E1023">
        <f t="shared" si="64"/>
        <v>2</v>
      </c>
      <c r="F1023">
        <v>2020</v>
      </c>
      <c r="G1023" t="s">
        <v>1283</v>
      </c>
      <c r="H1023">
        <v>0</v>
      </c>
      <c r="I1023" s="65">
        <v>0</v>
      </c>
      <c r="J1023" t="s">
        <v>1284</v>
      </c>
      <c r="K1023" s="35" t="s">
        <v>1052</v>
      </c>
      <c r="L1023" s="35" t="s">
        <v>6640</v>
      </c>
      <c r="M1023" s="39" t="str">
        <f>HYPERLINK("http://dx.doi.org/10.1016/j.vpoa.2020.100032","10.1016/j.vpoa.2020.100032")</f>
        <v>10.1016/j.vpoa.2020.100032</v>
      </c>
      <c r="N1023" s="40" t="s">
        <v>1673</v>
      </c>
      <c r="O1023" s="40" t="s">
        <v>383</v>
      </c>
      <c r="P1023" s="40" t="s">
        <v>1286</v>
      </c>
      <c r="Q1023" t="s">
        <v>316</v>
      </c>
    </row>
    <row r="1024" spans="1:17" x14ac:dyDescent="0.25">
      <c r="A1024" s="2" t="str">
        <f>HYPERLINK("https://www.ncbi.nlm.nih.gov/pubmed/31785528","31785528")</f>
        <v>31785528</v>
      </c>
      <c r="B1024">
        <f t="shared" ref="B1024:D1043" si="67">IF(ISBLANK(B$3),0,(LEN($L1024) - LEN(SUBSTITUTE(LOWER($L1024),LOWER(B$3),"")))/LEN(B$3))</f>
        <v>2</v>
      </c>
      <c r="C1024">
        <f t="shared" si="67"/>
        <v>0</v>
      </c>
      <c r="D1024">
        <f t="shared" si="67"/>
        <v>0</v>
      </c>
      <c r="E1024">
        <f t="shared" si="64"/>
        <v>2</v>
      </c>
      <c r="F1024">
        <v>2020</v>
      </c>
      <c r="G1024" t="s">
        <v>1732</v>
      </c>
      <c r="H1024">
        <v>0</v>
      </c>
      <c r="I1024" s="65">
        <v>0</v>
      </c>
      <c r="J1024" t="s">
        <v>1733</v>
      </c>
      <c r="K1024" s="35" t="s">
        <v>1734</v>
      </c>
      <c r="L1024" s="35" t="s">
        <v>6649</v>
      </c>
      <c r="M1024" s="39" t="str">
        <f>HYPERLINK("http://dx.doi.org/10.1016/j.envint.2019.105332","10.1016/j.envint.2019.105332")</f>
        <v>10.1016/j.envint.2019.105332</v>
      </c>
      <c r="N1024" s="40" t="s">
        <v>1735</v>
      </c>
      <c r="O1024" s="40" t="s">
        <v>383</v>
      </c>
      <c r="P1024" s="40" t="s">
        <v>1736</v>
      </c>
      <c r="Q1024" t="s">
        <v>316</v>
      </c>
    </row>
    <row r="1025" spans="1:17" x14ac:dyDescent="0.25">
      <c r="A1025" s="2" t="str">
        <f>HYPERLINK("https://www.ncbi.nlm.nih.gov/pubmed/31767298","31767298")</f>
        <v>31767298</v>
      </c>
      <c r="B1025">
        <f t="shared" si="67"/>
        <v>2</v>
      </c>
      <c r="C1025">
        <f t="shared" si="67"/>
        <v>0</v>
      </c>
      <c r="D1025">
        <f t="shared" si="67"/>
        <v>0</v>
      </c>
      <c r="E1025">
        <f t="shared" si="64"/>
        <v>2</v>
      </c>
      <c r="F1025">
        <v>2020</v>
      </c>
      <c r="G1025" t="s">
        <v>1747</v>
      </c>
      <c r="H1025">
        <v>0</v>
      </c>
      <c r="I1025" s="65">
        <v>0</v>
      </c>
      <c r="J1025" t="s">
        <v>1749</v>
      </c>
      <c r="K1025" s="35" t="s">
        <v>670</v>
      </c>
      <c r="L1025" s="35" t="s">
        <v>1748</v>
      </c>
      <c r="M1025" s="39" t="str">
        <f>HYPERLINK("http://dx.doi.org/10.1016/j.scitotenv.2019.134499","10.1016/j.scitotenv.2019.134499")</f>
        <v>10.1016/j.scitotenv.2019.134499</v>
      </c>
      <c r="N1025" s="40" t="s">
        <v>1750</v>
      </c>
      <c r="O1025" s="40" t="s">
        <v>383</v>
      </c>
      <c r="P1025" s="40" t="s">
        <v>1751</v>
      </c>
      <c r="Q1025" t="s">
        <v>316</v>
      </c>
    </row>
    <row r="1026" spans="1:17" x14ac:dyDescent="0.25">
      <c r="A1026" s="2" t="str">
        <f>HYPERLINK("https://www.ncbi.nlm.nih.gov/pubmed/31708466","31708466")</f>
        <v>31708466</v>
      </c>
      <c r="B1026">
        <f t="shared" si="67"/>
        <v>2</v>
      </c>
      <c r="C1026">
        <f t="shared" si="67"/>
        <v>0</v>
      </c>
      <c r="D1026">
        <f t="shared" si="67"/>
        <v>0</v>
      </c>
      <c r="E1026">
        <f t="shared" si="64"/>
        <v>2</v>
      </c>
      <c r="F1026">
        <v>2020</v>
      </c>
      <c r="G1026" t="s">
        <v>1790</v>
      </c>
      <c r="H1026">
        <v>0</v>
      </c>
      <c r="I1026" s="65">
        <v>0</v>
      </c>
      <c r="J1026" t="s">
        <v>1791</v>
      </c>
      <c r="K1026" s="35" t="s">
        <v>1792</v>
      </c>
      <c r="L1026" s="35" t="s">
        <v>6654</v>
      </c>
      <c r="M1026" s="39" t="str">
        <f>HYPERLINK("http://dx.doi.org/10.1016/j.ijheh.2019.10.010","10.1016/j.ijheh.2019.10.010")</f>
        <v>10.1016/j.ijheh.2019.10.010</v>
      </c>
      <c r="N1026" s="40" t="s">
        <v>1793</v>
      </c>
      <c r="O1026" s="40" t="s">
        <v>638</v>
      </c>
      <c r="P1026" s="40" t="s">
        <v>1794</v>
      </c>
      <c r="Q1026" t="s">
        <v>316</v>
      </c>
    </row>
    <row r="1027" spans="1:17" x14ac:dyDescent="0.25">
      <c r="A1027" s="2" t="str">
        <f>HYPERLINK("https://www.ncbi.nlm.nih.gov/pubmed/31685196","31685196")</f>
        <v>31685196</v>
      </c>
      <c r="B1027">
        <f t="shared" si="67"/>
        <v>2</v>
      </c>
      <c r="C1027">
        <f t="shared" si="67"/>
        <v>2</v>
      </c>
      <c r="D1027">
        <f t="shared" si="67"/>
        <v>0</v>
      </c>
      <c r="E1027">
        <f t="shared" si="64"/>
        <v>4</v>
      </c>
      <c r="F1027">
        <v>2019</v>
      </c>
      <c r="G1027" t="s">
        <v>1799</v>
      </c>
      <c r="H1027">
        <v>0</v>
      </c>
      <c r="I1027" s="65">
        <v>0</v>
      </c>
      <c r="J1027" t="s">
        <v>1800</v>
      </c>
      <c r="K1027" s="35" t="s">
        <v>831</v>
      </c>
      <c r="L1027" s="35" t="s">
        <v>6655</v>
      </c>
      <c r="M1027" s="39" t="str">
        <f>HYPERLINK("http://dx.doi.org/10.1016/j.pestbp.2019.06.012","10.1016/j.pestbp.2019.06.012")</f>
        <v>10.1016/j.pestbp.2019.06.012</v>
      </c>
      <c r="N1027" s="40" t="s">
        <v>1801</v>
      </c>
      <c r="O1027" s="40" t="s">
        <v>383</v>
      </c>
      <c r="P1027" s="40" t="s">
        <v>1802</v>
      </c>
      <c r="Q1027" t="s">
        <v>316</v>
      </c>
    </row>
    <row r="1028" spans="1:17" x14ac:dyDescent="0.25">
      <c r="A1028" s="2" t="str">
        <f>HYPERLINK("https://www.ncbi.nlm.nih.gov/pubmed/31660829","31660829")</f>
        <v>31660829</v>
      </c>
      <c r="B1028">
        <f t="shared" si="67"/>
        <v>2</v>
      </c>
      <c r="C1028">
        <f t="shared" si="67"/>
        <v>0</v>
      </c>
      <c r="D1028">
        <f t="shared" si="67"/>
        <v>0</v>
      </c>
      <c r="E1028">
        <f t="shared" ref="E1028:E1091" si="68">SUM(B1028:D1028)</f>
        <v>2</v>
      </c>
      <c r="F1028">
        <v>2019</v>
      </c>
      <c r="G1028" t="s">
        <v>1818</v>
      </c>
      <c r="H1028">
        <v>0</v>
      </c>
      <c r="I1028" s="65">
        <v>0</v>
      </c>
      <c r="J1028" t="s">
        <v>1820</v>
      </c>
      <c r="K1028" s="35" t="s">
        <v>1821</v>
      </c>
      <c r="L1028" s="35" t="s">
        <v>1819</v>
      </c>
      <c r="M1028" s="39" t="str">
        <f>HYPERLINK("http://dx.doi.org/10.2174/1567205016666191010114744","10.2174/1567205016666191010114744")</f>
        <v>10.2174/1567205016666191010114744</v>
      </c>
      <c r="N1028" s="40" t="s">
        <v>780</v>
      </c>
      <c r="O1028" s="40" t="s">
        <v>678</v>
      </c>
      <c r="P1028" s="40" t="s">
        <v>1822</v>
      </c>
      <c r="Q1028" t="s">
        <v>316</v>
      </c>
    </row>
    <row r="1029" spans="1:17" x14ac:dyDescent="0.25">
      <c r="A1029" s="2" t="str">
        <f>HYPERLINK("https://www.ncbi.nlm.nih.gov/pubmed/31655648","31655648")</f>
        <v>31655648</v>
      </c>
      <c r="B1029">
        <f t="shared" si="67"/>
        <v>2</v>
      </c>
      <c r="C1029">
        <f t="shared" si="67"/>
        <v>0</v>
      </c>
      <c r="D1029">
        <f t="shared" si="67"/>
        <v>0</v>
      </c>
      <c r="E1029">
        <f t="shared" si="68"/>
        <v>2</v>
      </c>
      <c r="F1029">
        <v>2019</v>
      </c>
      <c r="G1029" t="s">
        <v>1823</v>
      </c>
      <c r="H1029">
        <v>0</v>
      </c>
      <c r="I1029" s="65">
        <v>0</v>
      </c>
      <c r="J1029" t="s">
        <v>1824</v>
      </c>
      <c r="K1029" s="35" t="s">
        <v>1825</v>
      </c>
      <c r="L1029" s="35" t="s">
        <v>6656</v>
      </c>
      <c r="M1029" s="39" t="str">
        <f>HYPERLINK("http://dx.doi.org/10.1016/j.aca.2019.09.011","10.1016/j.aca.2019.09.011")</f>
        <v>10.1016/j.aca.2019.09.011</v>
      </c>
      <c r="N1029" s="40" t="s">
        <v>1826</v>
      </c>
      <c r="O1029" s="40" t="s">
        <v>383</v>
      </c>
      <c r="P1029" s="40" t="s">
        <v>1827</v>
      </c>
      <c r="Q1029" t="s">
        <v>316</v>
      </c>
    </row>
    <row r="1030" spans="1:17" x14ac:dyDescent="0.25">
      <c r="A1030" s="2" t="str">
        <f>HYPERLINK("https://www.ncbi.nlm.nih.gov/pubmed/31610464","31610464")</f>
        <v>31610464</v>
      </c>
      <c r="B1030">
        <f t="shared" si="67"/>
        <v>2</v>
      </c>
      <c r="C1030">
        <f t="shared" si="67"/>
        <v>0</v>
      </c>
      <c r="D1030">
        <f t="shared" si="67"/>
        <v>0</v>
      </c>
      <c r="E1030">
        <f t="shared" si="68"/>
        <v>2</v>
      </c>
      <c r="F1030">
        <v>2020</v>
      </c>
      <c r="G1030" t="s">
        <v>1833</v>
      </c>
      <c r="H1030">
        <v>0</v>
      </c>
      <c r="I1030" s="65">
        <v>0</v>
      </c>
      <c r="J1030" t="s">
        <v>1834</v>
      </c>
      <c r="K1030" s="35" t="s">
        <v>822</v>
      </c>
      <c r="L1030" s="35" t="s">
        <v>6657</v>
      </c>
      <c r="M1030" s="39" t="str">
        <f>HYPERLINK("http://dx.doi.org/10.1016/j.chemosphere.2019.125056","10.1016/j.chemosphere.2019.125056")</f>
        <v>10.1016/j.chemosphere.2019.125056</v>
      </c>
      <c r="N1030" s="40" t="s">
        <v>1835</v>
      </c>
      <c r="O1030" s="40" t="s">
        <v>383</v>
      </c>
      <c r="P1030" s="40" t="s">
        <v>1836</v>
      </c>
      <c r="Q1030" t="s">
        <v>316</v>
      </c>
    </row>
    <row r="1031" spans="1:17" x14ac:dyDescent="0.25">
      <c r="A1031" s="2" t="str">
        <f>HYPERLINK("https://www.ncbi.nlm.nih.gov/pubmed/31606579","31606579")</f>
        <v>31606579</v>
      </c>
      <c r="B1031">
        <f t="shared" si="67"/>
        <v>2</v>
      </c>
      <c r="C1031">
        <f t="shared" si="67"/>
        <v>0</v>
      </c>
      <c r="D1031">
        <f t="shared" si="67"/>
        <v>0</v>
      </c>
      <c r="E1031">
        <f t="shared" si="68"/>
        <v>2</v>
      </c>
      <c r="F1031">
        <v>2020</v>
      </c>
      <c r="G1031" t="s">
        <v>1837</v>
      </c>
      <c r="H1031">
        <v>0</v>
      </c>
      <c r="I1031" s="65">
        <v>0</v>
      </c>
      <c r="J1031" t="s">
        <v>1838</v>
      </c>
      <c r="K1031" s="35" t="s">
        <v>822</v>
      </c>
      <c r="L1031" s="35" t="s">
        <v>6658</v>
      </c>
      <c r="M1031" s="39" t="str">
        <f>HYPERLINK("http://dx.doi.org/10.1016/j.chemosphere.2019.124981","10.1016/j.chemosphere.2019.124981")</f>
        <v>10.1016/j.chemosphere.2019.124981</v>
      </c>
      <c r="N1031" s="40" t="s">
        <v>1835</v>
      </c>
      <c r="O1031" s="40" t="s">
        <v>383</v>
      </c>
      <c r="P1031" s="40" t="s">
        <v>1839</v>
      </c>
      <c r="Q1031" t="s">
        <v>316</v>
      </c>
    </row>
    <row r="1032" spans="1:17" x14ac:dyDescent="0.25">
      <c r="A1032" s="2" t="str">
        <f>HYPERLINK("https://www.ncbi.nlm.nih.gov/pubmed/31479507","31479507")</f>
        <v>31479507</v>
      </c>
      <c r="B1032">
        <f t="shared" si="67"/>
        <v>2</v>
      </c>
      <c r="C1032">
        <f t="shared" si="67"/>
        <v>0</v>
      </c>
      <c r="D1032">
        <f t="shared" si="67"/>
        <v>0</v>
      </c>
      <c r="E1032">
        <f t="shared" si="68"/>
        <v>2</v>
      </c>
      <c r="F1032">
        <v>2020</v>
      </c>
      <c r="G1032" t="s">
        <v>1871</v>
      </c>
      <c r="H1032">
        <v>0</v>
      </c>
      <c r="I1032" s="64" t="str">
        <f>HYPERLINK("https://www.ncbi.nlm.nih.gov/research/pubtator/?view=docsum&amp;query=PMC6976876","1")</f>
        <v>1</v>
      </c>
      <c r="J1032" t="s">
        <v>1872</v>
      </c>
      <c r="K1032" s="35" t="s">
        <v>1873</v>
      </c>
      <c r="L1032" s="35" t="s">
        <v>6664</v>
      </c>
      <c r="M1032" s="39" t="str">
        <f>HYPERLINK("http://dx.doi.org/10.1111/bph.14855","10.1111/bph.14855")</f>
        <v>10.1111/bph.14855</v>
      </c>
      <c r="N1032" s="40" t="s">
        <v>832</v>
      </c>
      <c r="O1032" s="40" t="s">
        <v>638</v>
      </c>
      <c r="P1032" s="40" t="s">
        <v>1874</v>
      </c>
      <c r="Q1032" t="s">
        <v>316</v>
      </c>
    </row>
    <row r="1033" spans="1:17" x14ac:dyDescent="0.25">
      <c r="A1033" s="2" t="str">
        <f>HYPERLINK("https://www.ncbi.nlm.nih.gov/pubmed/31421535","31421535")</f>
        <v>31421535</v>
      </c>
      <c r="B1033">
        <f t="shared" si="67"/>
        <v>2</v>
      </c>
      <c r="C1033">
        <f t="shared" si="67"/>
        <v>1</v>
      </c>
      <c r="D1033">
        <f t="shared" si="67"/>
        <v>0</v>
      </c>
      <c r="E1033">
        <f t="shared" si="68"/>
        <v>3</v>
      </c>
      <c r="F1033">
        <v>2019</v>
      </c>
      <c r="G1033" t="s">
        <v>1902</v>
      </c>
      <c r="H1033">
        <v>0</v>
      </c>
      <c r="I1033" s="65">
        <v>0</v>
      </c>
      <c r="J1033" t="s">
        <v>1903</v>
      </c>
      <c r="K1033" s="35" t="s">
        <v>714</v>
      </c>
      <c r="L1033" s="35" t="s">
        <v>6668</v>
      </c>
      <c r="M1033" s="39" t="str">
        <f>HYPERLINK("http://dx.doi.org/10.1016/j.ecoenv.2019.109513","10.1016/j.ecoenv.2019.109513")</f>
        <v>10.1016/j.ecoenv.2019.109513</v>
      </c>
      <c r="N1033" s="40" t="s">
        <v>1904</v>
      </c>
      <c r="O1033" s="40" t="s">
        <v>383</v>
      </c>
      <c r="P1033" s="40" t="s">
        <v>1905</v>
      </c>
      <c r="Q1033" t="s">
        <v>316</v>
      </c>
    </row>
    <row r="1034" spans="1:17" x14ac:dyDescent="0.25">
      <c r="A1034" s="2" t="str">
        <f>HYPERLINK("https://www.ncbi.nlm.nih.gov/pubmed/31378758","31378758")</f>
        <v>31378758</v>
      </c>
      <c r="B1034">
        <f t="shared" si="67"/>
        <v>2</v>
      </c>
      <c r="C1034">
        <f t="shared" si="67"/>
        <v>0</v>
      </c>
      <c r="D1034">
        <f t="shared" si="67"/>
        <v>0</v>
      </c>
      <c r="E1034">
        <f t="shared" si="68"/>
        <v>2</v>
      </c>
      <c r="F1034">
        <v>2019</v>
      </c>
      <c r="G1034" t="s">
        <v>1910</v>
      </c>
      <c r="H1034">
        <v>0</v>
      </c>
      <c r="I1034" s="64" t="str">
        <f>HYPERLINK("https://www.ncbi.nlm.nih.gov/research/pubtator/?view=docsum&amp;query=PMC6759349","1")</f>
        <v>1</v>
      </c>
      <c r="J1034" t="s">
        <v>1912</v>
      </c>
      <c r="K1034" s="35" t="s">
        <v>1913</v>
      </c>
      <c r="L1034" s="35" t="s">
        <v>1911</v>
      </c>
      <c r="M1034" s="39" t="str">
        <f>HYPERLINK("http://dx.doi.org/10.1264/jsme2.ME18169","10.1264/jsme2.ME18169")</f>
        <v>10.1264/jsme2.ME18169</v>
      </c>
      <c r="N1034" s="40" t="s">
        <v>1467</v>
      </c>
      <c r="O1034" s="40" t="s">
        <v>750</v>
      </c>
      <c r="P1034" s="40" t="s">
        <v>1914</v>
      </c>
      <c r="Q1034" t="s">
        <v>316</v>
      </c>
    </row>
    <row r="1035" spans="1:17" x14ac:dyDescent="0.25">
      <c r="A1035" s="2" t="str">
        <f>HYPERLINK("https://www.ncbi.nlm.nih.gov/pubmed/31378358","31378358")</f>
        <v>31378358</v>
      </c>
      <c r="B1035">
        <f t="shared" si="67"/>
        <v>2</v>
      </c>
      <c r="C1035">
        <f t="shared" si="67"/>
        <v>0</v>
      </c>
      <c r="D1035">
        <f t="shared" si="67"/>
        <v>0</v>
      </c>
      <c r="E1035">
        <f t="shared" si="68"/>
        <v>2</v>
      </c>
      <c r="F1035">
        <v>2019</v>
      </c>
      <c r="G1035" t="s">
        <v>1915</v>
      </c>
      <c r="H1035">
        <v>0</v>
      </c>
      <c r="I1035" s="65">
        <v>0</v>
      </c>
      <c r="J1035" t="s">
        <v>1917</v>
      </c>
      <c r="K1035" s="35" t="s">
        <v>831</v>
      </c>
      <c r="L1035" s="35" t="s">
        <v>1916</v>
      </c>
      <c r="M1035" s="39" t="str">
        <f>HYPERLINK("http://dx.doi.org/10.1016/j.pestbp.2019.04.005","10.1016/j.pestbp.2019.04.005")</f>
        <v>10.1016/j.pestbp.2019.04.005</v>
      </c>
      <c r="N1035" s="40" t="s">
        <v>1918</v>
      </c>
      <c r="O1035" s="40" t="s">
        <v>383</v>
      </c>
      <c r="P1035" s="40" t="s">
        <v>1919</v>
      </c>
      <c r="Q1035" t="s">
        <v>316</v>
      </c>
    </row>
    <row r="1036" spans="1:17" x14ac:dyDescent="0.25">
      <c r="A1036" s="2" t="str">
        <f>HYPERLINK("https://www.ncbi.nlm.nih.gov/pubmed/31260955","31260955")</f>
        <v>31260955</v>
      </c>
      <c r="B1036">
        <f t="shared" si="67"/>
        <v>2</v>
      </c>
      <c r="C1036">
        <f t="shared" si="67"/>
        <v>0</v>
      </c>
      <c r="D1036">
        <f t="shared" si="67"/>
        <v>0</v>
      </c>
      <c r="E1036">
        <f t="shared" si="68"/>
        <v>2</v>
      </c>
      <c r="F1036">
        <v>2019</v>
      </c>
      <c r="G1036" t="s">
        <v>1939</v>
      </c>
      <c r="H1036">
        <v>0</v>
      </c>
      <c r="I1036" s="65">
        <v>0</v>
      </c>
      <c r="J1036" t="s">
        <v>1941</v>
      </c>
      <c r="K1036" s="35" t="s">
        <v>786</v>
      </c>
      <c r="L1036" s="35" t="s">
        <v>1940</v>
      </c>
      <c r="M1036" s="39" t="str">
        <f>HYPERLINK("http://dx.doi.org/10.1016/j.foodchem.2019.125050","10.1016/j.foodchem.2019.125050")</f>
        <v>10.1016/j.foodchem.2019.125050</v>
      </c>
      <c r="N1036" s="40" t="s">
        <v>1942</v>
      </c>
      <c r="O1036" s="40" t="s">
        <v>383</v>
      </c>
      <c r="P1036" s="40" t="s">
        <v>1943</v>
      </c>
      <c r="Q1036" t="s">
        <v>316</v>
      </c>
    </row>
    <row r="1037" spans="1:17" x14ac:dyDescent="0.25">
      <c r="A1037" s="2" t="str">
        <f>HYPERLINK("https://www.ncbi.nlm.nih.gov/pubmed/31249144","31249144")</f>
        <v>31249144</v>
      </c>
      <c r="B1037">
        <f t="shared" si="67"/>
        <v>2</v>
      </c>
      <c r="C1037">
        <f t="shared" si="67"/>
        <v>0</v>
      </c>
      <c r="D1037">
        <f t="shared" si="67"/>
        <v>0</v>
      </c>
      <c r="E1037">
        <f t="shared" si="68"/>
        <v>2</v>
      </c>
      <c r="F1037">
        <v>2019</v>
      </c>
      <c r="G1037" t="s">
        <v>1944</v>
      </c>
      <c r="H1037">
        <v>0</v>
      </c>
      <c r="I1037" s="64" t="str">
        <f>HYPERLINK("https://www.ncbi.nlm.nih.gov/research/pubtator/?view=docsum&amp;query=PMC6681719","1")</f>
        <v>1</v>
      </c>
      <c r="J1037" t="s">
        <v>1946</v>
      </c>
      <c r="K1037" s="35" t="s">
        <v>1947</v>
      </c>
      <c r="L1037" s="35" t="s">
        <v>1945</v>
      </c>
      <c r="M1037" s="39" t="str">
        <f>HYPERLINK("http://dx.doi.org/10.1073/pnas.1902789116","10.1073/pnas.1902789116")</f>
        <v>10.1073/pnas.1902789116</v>
      </c>
      <c r="N1037" s="40" t="s">
        <v>1948</v>
      </c>
      <c r="O1037" s="40" t="s">
        <v>753</v>
      </c>
      <c r="P1037" s="40" t="s">
        <v>1949</v>
      </c>
      <c r="Q1037" t="s">
        <v>316</v>
      </c>
    </row>
    <row r="1038" spans="1:17" x14ac:dyDescent="0.25">
      <c r="A1038" s="2" t="str">
        <f>HYPERLINK("https://www.ncbi.nlm.nih.gov/pubmed/31153475","31153475")</f>
        <v>31153475</v>
      </c>
      <c r="B1038">
        <f t="shared" si="67"/>
        <v>2</v>
      </c>
      <c r="C1038">
        <f t="shared" si="67"/>
        <v>1</v>
      </c>
      <c r="D1038">
        <f t="shared" si="67"/>
        <v>0</v>
      </c>
      <c r="E1038">
        <f t="shared" si="68"/>
        <v>3</v>
      </c>
      <c r="F1038">
        <v>2019</v>
      </c>
      <c r="G1038" t="s">
        <v>1984</v>
      </c>
      <c r="H1038">
        <v>0</v>
      </c>
      <c r="I1038" s="65">
        <v>0</v>
      </c>
      <c r="J1038" t="s">
        <v>1985</v>
      </c>
      <c r="K1038" s="35" t="s">
        <v>831</v>
      </c>
      <c r="L1038" s="35" t="s">
        <v>6678</v>
      </c>
      <c r="M1038" s="39" t="str">
        <f>HYPERLINK("http://dx.doi.org/10.1016/j.pestbp.2019.03.006","10.1016/j.pestbp.2019.03.006")</f>
        <v>10.1016/j.pestbp.2019.03.006</v>
      </c>
      <c r="N1038" s="40" t="s">
        <v>1986</v>
      </c>
      <c r="O1038" s="40" t="s">
        <v>383</v>
      </c>
      <c r="P1038" s="40" t="s">
        <v>1987</v>
      </c>
      <c r="Q1038" t="s">
        <v>316</v>
      </c>
    </row>
    <row r="1039" spans="1:17" x14ac:dyDescent="0.25">
      <c r="A1039" s="2" t="str">
        <f>HYPERLINK("https://www.ncbi.nlm.nih.gov/pubmed/30847031","30847031")</f>
        <v>30847031</v>
      </c>
      <c r="B1039">
        <f t="shared" si="67"/>
        <v>2</v>
      </c>
      <c r="C1039">
        <f t="shared" si="67"/>
        <v>0</v>
      </c>
      <c r="D1039">
        <f t="shared" si="67"/>
        <v>0</v>
      </c>
      <c r="E1039">
        <f t="shared" si="68"/>
        <v>2</v>
      </c>
      <c r="F1039">
        <v>2019</v>
      </c>
      <c r="G1039" t="s">
        <v>2124</v>
      </c>
      <c r="H1039">
        <v>0</v>
      </c>
      <c r="I1039" s="64" t="str">
        <f>HYPERLINK("https://www.ncbi.nlm.nih.gov/research/pubtator/?view=docsum&amp;query=PMC6396895","1")</f>
        <v>1</v>
      </c>
      <c r="J1039" t="s">
        <v>2126</v>
      </c>
      <c r="K1039" s="35" t="s">
        <v>2127</v>
      </c>
      <c r="L1039" s="35" t="s">
        <v>2125</v>
      </c>
      <c r="M1039" s="39" t="str">
        <f>HYPERLINK("http://dx.doi.org/10.21315/tlsr2019.30.1.2","10.21315/tlsr2019.30.1.2")</f>
        <v>10.21315/tlsr2019.30.1.2</v>
      </c>
      <c r="N1039" s="40" t="s">
        <v>745</v>
      </c>
      <c r="O1039" s="40" t="s">
        <v>638</v>
      </c>
      <c r="P1039" s="40" t="s">
        <v>2128</v>
      </c>
      <c r="Q1039" t="s">
        <v>316</v>
      </c>
    </row>
    <row r="1040" spans="1:17" x14ac:dyDescent="0.25">
      <c r="A1040" s="2" t="str">
        <f>HYPERLINK("https://www.ncbi.nlm.nih.gov/pubmed/30763870","30763870")</f>
        <v>30763870</v>
      </c>
      <c r="B1040">
        <f t="shared" si="67"/>
        <v>2</v>
      </c>
      <c r="C1040">
        <f t="shared" si="67"/>
        <v>1</v>
      </c>
      <c r="D1040">
        <f t="shared" si="67"/>
        <v>0</v>
      </c>
      <c r="E1040">
        <f t="shared" si="68"/>
        <v>3</v>
      </c>
      <c r="F1040">
        <v>2019</v>
      </c>
      <c r="G1040" t="s">
        <v>2140</v>
      </c>
      <c r="H1040">
        <v>0</v>
      </c>
      <c r="I1040" s="65">
        <v>0</v>
      </c>
      <c r="J1040" t="s">
        <v>2141</v>
      </c>
      <c r="K1040" s="35" t="s">
        <v>1289</v>
      </c>
      <c r="L1040" s="35" t="s">
        <v>6700</v>
      </c>
      <c r="M1040" s="39" t="str">
        <f>HYPERLINK("http://dx.doi.org/10.1016/j.watres.2019.01.040","10.1016/j.watres.2019.01.040")</f>
        <v>10.1016/j.watres.2019.01.040</v>
      </c>
      <c r="N1040" s="40" t="s">
        <v>757</v>
      </c>
      <c r="O1040" s="40" t="s">
        <v>383</v>
      </c>
      <c r="P1040" s="40" t="s">
        <v>897</v>
      </c>
      <c r="Q1040" t="s">
        <v>316</v>
      </c>
    </row>
    <row r="1041" spans="1:17" x14ac:dyDescent="0.25">
      <c r="A1041" s="2" t="str">
        <f>HYPERLINK("https://www.ncbi.nlm.nih.gov/pubmed/30709343","30709343")</f>
        <v>30709343</v>
      </c>
      <c r="B1041">
        <f t="shared" si="67"/>
        <v>2</v>
      </c>
      <c r="C1041">
        <f t="shared" si="67"/>
        <v>0</v>
      </c>
      <c r="D1041">
        <f t="shared" si="67"/>
        <v>0</v>
      </c>
      <c r="E1041">
        <f t="shared" si="68"/>
        <v>2</v>
      </c>
      <c r="F1041">
        <v>2019</v>
      </c>
      <c r="G1041" t="s">
        <v>2157</v>
      </c>
      <c r="H1041">
        <v>0</v>
      </c>
      <c r="I1041" s="64" t="str">
        <f>HYPERLINK("https://www.ncbi.nlm.nih.gov/research/pubtator/?view=docsum&amp;query=PMC6359862","1")</f>
        <v>1</v>
      </c>
      <c r="J1041" t="s">
        <v>2159</v>
      </c>
      <c r="K1041" s="35" t="s">
        <v>2160</v>
      </c>
      <c r="L1041" s="35" t="s">
        <v>2158</v>
      </c>
      <c r="M1041" s="39" t="str">
        <f>HYPERLINK("http://dx.doi.org/10.1186/s12931-019-0986-1","10.1186/s12931-019-0986-1")</f>
        <v>10.1186/s12931-019-0986-1</v>
      </c>
      <c r="N1041" s="40" t="s">
        <v>1109</v>
      </c>
      <c r="O1041" s="40" t="s">
        <v>638</v>
      </c>
      <c r="P1041" s="40" t="s">
        <v>1188</v>
      </c>
      <c r="Q1041" t="s">
        <v>316</v>
      </c>
    </row>
    <row r="1042" spans="1:17" x14ac:dyDescent="0.25">
      <c r="A1042" s="2" t="str">
        <f>HYPERLINK("https://www.ncbi.nlm.nih.gov/pubmed/30671993","30671993")</f>
        <v>30671993</v>
      </c>
      <c r="B1042">
        <f t="shared" si="67"/>
        <v>2</v>
      </c>
      <c r="C1042">
        <f t="shared" si="67"/>
        <v>0</v>
      </c>
      <c r="D1042">
        <f t="shared" si="67"/>
        <v>0</v>
      </c>
      <c r="E1042">
        <f t="shared" si="68"/>
        <v>2</v>
      </c>
      <c r="F1042">
        <v>2019</v>
      </c>
      <c r="G1042" t="s">
        <v>2172</v>
      </c>
      <c r="H1042">
        <v>0</v>
      </c>
      <c r="I1042" s="65">
        <v>0</v>
      </c>
      <c r="J1042" t="s">
        <v>2174</v>
      </c>
      <c r="K1042" s="35" t="s">
        <v>1466</v>
      </c>
      <c r="L1042" s="35" t="s">
        <v>2173</v>
      </c>
      <c r="M1042" s="39" t="str">
        <f>HYPERLINK("http://dx.doi.org/10.1111/mve.12359","10.1111/mve.12359")</f>
        <v>10.1111/mve.12359</v>
      </c>
      <c r="N1042" s="40" t="s">
        <v>877</v>
      </c>
      <c r="O1042" s="40" t="s">
        <v>744</v>
      </c>
      <c r="P1042" s="40" t="s">
        <v>2175</v>
      </c>
      <c r="Q1042" t="s">
        <v>316</v>
      </c>
    </row>
    <row r="1043" spans="1:17" x14ac:dyDescent="0.25">
      <c r="A1043" s="2" t="str">
        <f>HYPERLINK("https://www.ncbi.nlm.nih.gov/pubmed/30388679","30388679")</f>
        <v>30388679</v>
      </c>
      <c r="B1043">
        <f t="shared" si="67"/>
        <v>2</v>
      </c>
      <c r="C1043">
        <f t="shared" si="67"/>
        <v>0</v>
      </c>
      <c r="D1043">
        <f t="shared" si="67"/>
        <v>0</v>
      </c>
      <c r="E1043">
        <f t="shared" si="68"/>
        <v>2</v>
      </c>
      <c r="F1043">
        <v>2019</v>
      </c>
      <c r="G1043" t="s">
        <v>2245</v>
      </c>
      <c r="H1043">
        <v>0</v>
      </c>
      <c r="I1043" s="65">
        <v>0</v>
      </c>
      <c r="J1043" t="s">
        <v>2246</v>
      </c>
      <c r="K1043" s="35" t="s">
        <v>707</v>
      </c>
      <c r="L1043" s="35" t="s">
        <v>6717</v>
      </c>
      <c r="M1043" s="39" t="str">
        <f>HYPERLINK("http://dx.doi.org/10.1016/j.envpol.2018.10.056","10.1016/j.envpol.2018.10.056")</f>
        <v>10.1016/j.envpol.2018.10.056</v>
      </c>
      <c r="N1043" s="40" t="s">
        <v>2132</v>
      </c>
      <c r="O1043" s="40" t="s">
        <v>383</v>
      </c>
      <c r="P1043" s="40" t="s">
        <v>2247</v>
      </c>
      <c r="Q1043" t="s">
        <v>316</v>
      </c>
    </row>
    <row r="1044" spans="1:17" x14ac:dyDescent="0.25">
      <c r="A1044" s="2" t="str">
        <f>HYPERLINK("https://www.ncbi.nlm.nih.gov/pubmed/30380470","30380470")</f>
        <v>30380470</v>
      </c>
      <c r="B1044">
        <f t="shared" ref="B1044:D1063" si="69">IF(ISBLANK(B$3),0,(LEN($L1044) - LEN(SUBSTITUTE(LOWER($L1044),LOWER(B$3),"")))/LEN(B$3))</f>
        <v>2</v>
      </c>
      <c r="C1044">
        <f t="shared" si="69"/>
        <v>0</v>
      </c>
      <c r="D1044">
        <f t="shared" si="69"/>
        <v>0</v>
      </c>
      <c r="E1044">
        <f t="shared" si="68"/>
        <v>2</v>
      </c>
      <c r="F1044">
        <v>2019</v>
      </c>
      <c r="G1044" t="s">
        <v>2258</v>
      </c>
      <c r="H1044">
        <v>0</v>
      </c>
      <c r="I1044" s="64" t="str">
        <f>HYPERLINK("https://www.ncbi.nlm.nih.gov/research/pubtator/?view=docsum&amp;query=PMC6309742","1")</f>
        <v>1</v>
      </c>
      <c r="J1044" t="s">
        <v>2259</v>
      </c>
      <c r="K1044" s="35" t="s">
        <v>670</v>
      </c>
      <c r="L1044" s="35" t="s">
        <v>6720</v>
      </c>
      <c r="M1044" s="39" t="str">
        <f>HYPERLINK("http://dx.doi.org/10.1016/j.scitotenv.2018.10.276","10.1016/j.scitotenv.2018.10.276")</f>
        <v>10.1016/j.scitotenv.2018.10.276</v>
      </c>
      <c r="N1044" s="40" t="s">
        <v>2260</v>
      </c>
      <c r="O1044" s="40" t="s">
        <v>383</v>
      </c>
      <c r="P1044" s="40" t="s">
        <v>2261</v>
      </c>
      <c r="Q1044" t="s">
        <v>316</v>
      </c>
    </row>
    <row r="1045" spans="1:17" x14ac:dyDescent="0.25">
      <c r="A1045" s="2" t="str">
        <f>HYPERLINK("https://www.ncbi.nlm.nih.gov/pubmed/30363141","30363141")</f>
        <v>30363141</v>
      </c>
      <c r="B1045">
        <f t="shared" si="69"/>
        <v>2</v>
      </c>
      <c r="C1045">
        <f t="shared" si="69"/>
        <v>0</v>
      </c>
      <c r="D1045">
        <f t="shared" si="69"/>
        <v>0</v>
      </c>
      <c r="E1045">
        <f t="shared" si="68"/>
        <v>2</v>
      </c>
      <c r="F1045">
        <v>2018</v>
      </c>
      <c r="G1045" t="s">
        <v>2269</v>
      </c>
      <c r="H1045">
        <v>0</v>
      </c>
      <c r="I1045" s="64" t="str">
        <f>HYPERLINK("https://www.ncbi.nlm.nih.gov/research/pubtator/?view=docsum&amp;query=PMC6140689","1")</f>
        <v>1</v>
      </c>
      <c r="J1045" t="s">
        <v>2271</v>
      </c>
      <c r="K1045" s="35" t="s">
        <v>1196</v>
      </c>
      <c r="L1045" s="35" t="s">
        <v>2270</v>
      </c>
      <c r="M1045" s="39" t="str">
        <f>HYPERLINK("http://dx.doi.org/10.1584/jpestics.D17-083","10.1584/jpestics.D17-083")</f>
        <v>10.1584/jpestics.D17-083</v>
      </c>
      <c r="N1045" s="40" t="s">
        <v>1279</v>
      </c>
      <c r="O1045" s="40" t="s">
        <v>744</v>
      </c>
      <c r="P1045" s="40" t="s">
        <v>2272</v>
      </c>
      <c r="Q1045" t="s">
        <v>316</v>
      </c>
    </row>
    <row r="1046" spans="1:17" x14ac:dyDescent="0.25">
      <c r="A1046" s="2" t="str">
        <f>HYPERLINK("https://www.ncbi.nlm.nih.gov/pubmed/30296754","30296754")</f>
        <v>30296754</v>
      </c>
      <c r="B1046">
        <f t="shared" si="69"/>
        <v>2</v>
      </c>
      <c r="C1046">
        <f t="shared" si="69"/>
        <v>0</v>
      </c>
      <c r="D1046">
        <f t="shared" si="69"/>
        <v>0</v>
      </c>
      <c r="E1046">
        <f t="shared" si="68"/>
        <v>2</v>
      </c>
      <c r="F1046">
        <v>2018</v>
      </c>
      <c r="G1046" t="s">
        <v>2286</v>
      </c>
      <c r="H1046">
        <v>1</v>
      </c>
      <c r="I1046" s="65">
        <v>0</v>
      </c>
      <c r="J1046" t="s">
        <v>2287</v>
      </c>
      <c r="K1046" s="35" t="s">
        <v>707</v>
      </c>
      <c r="L1046" s="35" t="s">
        <v>6724</v>
      </c>
      <c r="M1046" s="39" t="str">
        <f>HYPERLINK("http://dx.doi.org/10.1016/j.envpol.2018.09.117","10.1016/j.envpol.2018.09.117")</f>
        <v>10.1016/j.envpol.2018.09.117</v>
      </c>
      <c r="N1046" s="40" t="s">
        <v>2288</v>
      </c>
      <c r="O1046" s="40" t="s">
        <v>769</v>
      </c>
      <c r="P1046" s="40" t="s">
        <v>2289</v>
      </c>
      <c r="Q1046" t="s">
        <v>316</v>
      </c>
    </row>
    <row r="1047" spans="1:17" x14ac:dyDescent="0.25">
      <c r="A1047" s="2" t="str">
        <f>HYPERLINK("https://www.ncbi.nlm.nih.gov/pubmed/30289955","30289955")</f>
        <v>30289955</v>
      </c>
      <c r="B1047">
        <f t="shared" si="69"/>
        <v>2</v>
      </c>
      <c r="C1047">
        <f t="shared" si="69"/>
        <v>0</v>
      </c>
      <c r="D1047">
        <f t="shared" si="69"/>
        <v>0</v>
      </c>
      <c r="E1047">
        <f t="shared" si="68"/>
        <v>2</v>
      </c>
      <c r="F1047">
        <v>2018</v>
      </c>
      <c r="G1047" t="s">
        <v>2295</v>
      </c>
      <c r="H1047">
        <v>0</v>
      </c>
      <c r="I1047" s="64" t="str">
        <f>HYPERLINK("https://www.ncbi.nlm.nih.gov/research/pubtator/?view=docsum&amp;query=PMC6173402","1")</f>
        <v>1</v>
      </c>
      <c r="J1047" t="s">
        <v>2296</v>
      </c>
      <c r="K1047" s="35" t="s">
        <v>779</v>
      </c>
      <c r="L1047" s="35" t="s">
        <v>6726</v>
      </c>
      <c r="M1047" s="39" t="str">
        <f>HYPERLINK("http://dx.doi.org/10.1371/journal.pone.0204962","10.1371/journal.pone.0204962")</f>
        <v>10.1371/journal.pone.0204962</v>
      </c>
      <c r="N1047" s="40" t="s">
        <v>742</v>
      </c>
      <c r="O1047" s="40" t="s">
        <v>802</v>
      </c>
      <c r="P1047" s="40" t="s">
        <v>2297</v>
      </c>
      <c r="Q1047" t="s">
        <v>316</v>
      </c>
    </row>
    <row r="1048" spans="1:17" x14ac:dyDescent="0.25">
      <c r="A1048" s="2" t="str">
        <f>HYPERLINK("https://www.ncbi.nlm.nih.gov/pubmed/30004436","30004436")</f>
        <v>30004436</v>
      </c>
      <c r="B1048">
        <f t="shared" si="69"/>
        <v>2</v>
      </c>
      <c r="C1048">
        <f t="shared" si="69"/>
        <v>0</v>
      </c>
      <c r="D1048">
        <f t="shared" si="69"/>
        <v>0</v>
      </c>
      <c r="E1048">
        <f t="shared" si="68"/>
        <v>2</v>
      </c>
      <c r="F1048">
        <v>2018</v>
      </c>
      <c r="G1048" t="s">
        <v>2397</v>
      </c>
      <c r="H1048">
        <v>0</v>
      </c>
      <c r="I1048" s="64" t="str">
        <f>HYPERLINK("https://www.ncbi.nlm.nih.gov/research/pubtator/?view=docsum&amp;query=PMC6100053","1")</f>
        <v>1</v>
      </c>
      <c r="J1048" t="s">
        <v>2398</v>
      </c>
      <c r="K1048" s="35" t="s">
        <v>736</v>
      </c>
      <c r="L1048" s="35" t="s">
        <v>6742</v>
      </c>
      <c r="M1048" s="39" t="str">
        <f>HYPERLINK("http://dx.doi.org/10.3390/molecules23071607","10.3390/molecules23071607")</f>
        <v>10.3390/molecules23071607</v>
      </c>
      <c r="N1048" s="40" t="s">
        <v>737</v>
      </c>
      <c r="O1048" s="40" t="s">
        <v>748</v>
      </c>
      <c r="P1048" s="40" t="s">
        <v>383</v>
      </c>
      <c r="Q1048" t="s">
        <v>316</v>
      </c>
    </row>
    <row r="1049" spans="1:17" x14ac:dyDescent="0.25">
      <c r="A1049" s="2" t="str">
        <f>HYPERLINK("https://www.ncbi.nlm.nih.gov/pubmed/29911954","29911954")</f>
        <v>29911954</v>
      </c>
      <c r="B1049">
        <f t="shared" si="69"/>
        <v>2</v>
      </c>
      <c r="C1049">
        <f t="shared" si="69"/>
        <v>0</v>
      </c>
      <c r="D1049">
        <f t="shared" si="69"/>
        <v>0</v>
      </c>
      <c r="E1049">
        <f t="shared" si="68"/>
        <v>2</v>
      </c>
      <c r="F1049">
        <v>2018</v>
      </c>
      <c r="G1049" t="s">
        <v>2430</v>
      </c>
      <c r="H1049">
        <v>0</v>
      </c>
      <c r="I1049" s="65">
        <v>0</v>
      </c>
      <c r="J1049" t="s">
        <v>2432</v>
      </c>
      <c r="K1049" s="35" t="s">
        <v>1649</v>
      </c>
      <c r="L1049" s="35" t="s">
        <v>2431</v>
      </c>
      <c r="M1049" s="39" t="str">
        <f>HYPERLINK("http://dx.doi.org/10.2460/javma.253.1.57","10.2460/javma.253.1.57")</f>
        <v>10.2460/javma.253.1.57</v>
      </c>
      <c r="N1049" s="40" t="s">
        <v>2433</v>
      </c>
      <c r="O1049" s="40" t="s">
        <v>638</v>
      </c>
      <c r="P1049" s="40" t="s">
        <v>2434</v>
      </c>
      <c r="Q1049" t="s">
        <v>316</v>
      </c>
    </row>
    <row r="1050" spans="1:17" x14ac:dyDescent="0.25">
      <c r="A1050" s="2" t="str">
        <f>HYPERLINK("https://www.ncbi.nlm.nih.gov/pubmed/29850868","29850868")</f>
        <v>29850868</v>
      </c>
      <c r="B1050">
        <f t="shared" si="69"/>
        <v>2</v>
      </c>
      <c r="C1050">
        <f t="shared" si="69"/>
        <v>0</v>
      </c>
      <c r="D1050">
        <f t="shared" si="69"/>
        <v>0</v>
      </c>
      <c r="E1050">
        <f t="shared" si="68"/>
        <v>2</v>
      </c>
      <c r="F1050">
        <v>2018</v>
      </c>
      <c r="G1050" t="s">
        <v>2453</v>
      </c>
      <c r="H1050">
        <v>0</v>
      </c>
      <c r="I1050" s="65">
        <v>0</v>
      </c>
      <c r="J1050" t="s">
        <v>2455</v>
      </c>
      <c r="K1050" s="35" t="s">
        <v>909</v>
      </c>
      <c r="L1050" s="35" t="s">
        <v>2454</v>
      </c>
      <c r="M1050" s="39" t="str">
        <f>HYPERLINK("http://dx.doi.org/10.1093/jee/toy139","10.1093/jee/toy139")</f>
        <v>10.1093/jee/toy139</v>
      </c>
      <c r="N1050" s="40" t="s">
        <v>2301</v>
      </c>
      <c r="O1050" s="40" t="s">
        <v>690</v>
      </c>
      <c r="P1050" s="40" t="s">
        <v>2456</v>
      </c>
      <c r="Q1050" t="s">
        <v>316</v>
      </c>
    </row>
    <row r="1051" spans="1:17" x14ac:dyDescent="0.25">
      <c r="A1051" s="2" t="str">
        <f>HYPERLINK("https://www.ncbi.nlm.nih.gov/pubmed/29778941","29778941")</f>
        <v>29778941</v>
      </c>
      <c r="B1051">
        <f t="shared" si="69"/>
        <v>2</v>
      </c>
      <c r="C1051">
        <f t="shared" si="69"/>
        <v>0</v>
      </c>
      <c r="D1051">
        <f t="shared" si="69"/>
        <v>0</v>
      </c>
      <c r="E1051">
        <f t="shared" si="68"/>
        <v>2</v>
      </c>
      <c r="F1051">
        <v>2018</v>
      </c>
      <c r="G1051" t="s">
        <v>2461</v>
      </c>
      <c r="H1051">
        <v>0</v>
      </c>
      <c r="I1051" s="65">
        <v>0</v>
      </c>
      <c r="J1051" t="s">
        <v>2463</v>
      </c>
      <c r="K1051" s="35" t="s">
        <v>822</v>
      </c>
      <c r="L1051" s="35" t="s">
        <v>2462</v>
      </c>
      <c r="M1051" s="39" t="str">
        <f>HYPERLINK("http://dx.doi.org/10.1016/j.chemosphere.2018.04.153","10.1016/j.chemosphere.2018.04.153")</f>
        <v>10.1016/j.chemosphere.2018.04.153</v>
      </c>
      <c r="N1051" s="40" t="s">
        <v>1384</v>
      </c>
      <c r="O1051" s="40" t="s">
        <v>383</v>
      </c>
      <c r="P1051" s="40" t="s">
        <v>2464</v>
      </c>
      <c r="Q1051" t="s">
        <v>316</v>
      </c>
    </row>
    <row r="1052" spans="1:17" x14ac:dyDescent="0.25">
      <c r="A1052" s="2" t="str">
        <f>HYPERLINK("https://www.ncbi.nlm.nih.gov/pubmed/29699910","29699910")</f>
        <v>29699910</v>
      </c>
      <c r="B1052">
        <f t="shared" si="69"/>
        <v>2</v>
      </c>
      <c r="C1052">
        <f t="shared" si="69"/>
        <v>0</v>
      </c>
      <c r="D1052">
        <f t="shared" si="69"/>
        <v>0</v>
      </c>
      <c r="E1052">
        <f t="shared" si="68"/>
        <v>2</v>
      </c>
      <c r="F1052">
        <v>2018</v>
      </c>
      <c r="G1052" t="s">
        <v>2481</v>
      </c>
      <c r="H1052">
        <v>0</v>
      </c>
      <c r="I1052" s="65">
        <v>0</v>
      </c>
      <c r="J1052" t="s">
        <v>2482</v>
      </c>
      <c r="K1052" s="35" t="s">
        <v>1859</v>
      </c>
      <c r="L1052" s="35" t="s">
        <v>6755</v>
      </c>
      <c r="M1052" s="39" t="str">
        <f>HYPERLINK("http://dx.doi.org/10.1016/j.bmc.2018.03.010","10.1016/j.bmc.2018.03.010")</f>
        <v>10.1016/j.bmc.2018.03.010</v>
      </c>
      <c r="N1052" s="40" t="s">
        <v>752</v>
      </c>
      <c r="O1052" s="40" t="s">
        <v>660</v>
      </c>
      <c r="P1052" s="40" t="s">
        <v>2483</v>
      </c>
      <c r="Q1052" t="s">
        <v>316</v>
      </c>
    </row>
    <row r="1053" spans="1:17" x14ac:dyDescent="0.25">
      <c r="A1053" s="2" t="str">
        <f>HYPERLINK("https://www.ncbi.nlm.nih.gov/pubmed/29579285","29579285")</f>
        <v>29579285</v>
      </c>
      <c r="B1053">
        <f t="shared" si="69"/>
        <v>2</v>
      </c>
      <c r="C1053">
        <f t="shared" si="69"/>
        <v>0</v>
      </c>
      <c r="D1053">
        <f t="shared" si="69"/>
        <v>0</v>
      </c>
      <c r="E1053">
        <f t="shared" si="68"/>
        <v>2</v>
      </c>
      <c r="F1053">
        <v>2018</v>
      </c>
      <c r="G1053" t="s">
        <v>2516</v>
      </c>
      <c r="H1053">
        <v>0</v>
      </c>
      <c r="I1053" s="65">
        <v>0</v>
      </c>
      <c r="J1053" t="s">
        <v>2517</v>
      </c>
      <c r="K1053" s="35" t="s">
        <v>909</v>
      </c>
      <c r="L1053" s="35" t="s">
        <v>6760</v>
      </c>
      <c r="M1053" s="39" t="str">
        <f>HYPERLINK("http://dx.doi.org/10.1093/jee/toy069","10.1093/jee/toy069")</f>
        <v>10.1093/jee/toy069</v>
      </c>
      <c r="N1053" s="40" t="s">
        <v>2301</v>
      </c>
      <c r="O1053" s="40" t="s">
        <v>750</v>
      </c>
      <c r="P1053" s="40" t="s">
        <v>2518</v>
      </c>
      <c r="Q1053" t="s">
        <v>316</v>
      </c>
    </row>
    <row r="1054" spans="1:17" x14ac:dyDescent="0.25">
      <c r="A1054" s="2" t="str">
        <f>HYPERLINK("https://www.ncbi.nlm.nih.gov/pubmed/29478160","29478160")</f>
        <v>29478160</v>
      </c>
      <c r="B1054">
        <f t="shared" si="69"/>
        <v>2</v>
      </c>
      <c r="C1054">
        <f t="shared" si="69"/>
        <v>0</v>
      </c>
      <c r="D1054">
        <f t="shared" si="69"/>
        <v>0</v>
      </c>
      <c r="E1054">
        <f t="shared" si="68"/>
        <v>2</v>
      </c>
      <c r="F1054">
        <v>2021</v>
      </c>
      <c r="G1054" t="s">
        <v>2535</v>
      </c>
      <c r="H1054">
        <v>0</v>
      </c>
      <c r="I1054" s="64" t="str">
        <f>HYPERLINK("https://www.ncbi.nlm.nih.gov/research/pubtator/?view=docsum&amp;query=PMC7921064","1")</f>
        <v>1</v>
      </c>
      <c r="J1054" t="s">
        <v>2537</v>
      </c>
      <c r="K1054" s="35" t="s">
        <v>810</v>
      </c>
      <c r="L1054" s="35" t="s">
        <v>2536</v>
      </c>
      <c r="M1054" s="39" t="str">
        <f>HYPERLINK("http://dx.doi.org/10.1007/s11356-017-1052-5","10.1007/s11356-017-1052-5")</f>
        <v>10.1007/s11356-017-1052-5</v>
      </c>
      <c r="N1054" s="40" t="s">
        <v>731</v>
      </c>
      <c r="O1054" s="40" t="s">
        <v>802</v>
      </c>
      <c r="P1054" s="40" t="s">
        <v>2538</v>
      </c>
      <c r="Q1054" t="s">
        <v>316</v>
      </c>
    </row>
    <row r="1055" spans="1:17" x14ac:dyDescent="0.25">
      <c r="A1055" s="2" t="str">
        <f>HYPERLINK("https://www.ncbi.nlm.nih.gov/pubmed/29408355","29408355")</f>
        <v>29408355</v>
      </c>
      <c r="B1055">
        <f t="shared" si="69"/>
        <v>2</v>
      </c>
      <c r="C1055">
        <f t="shared" si="69"/>
        <v>0</v>
      </c>
      <c r="D1055">
        <f t="shared" si="69"/>
        <v>0</v>
      </c>
      <c r="E1055">
        <f t="shared" si="68"/>
        <v>2</v>
      </c>
      <c r="F1055">
        <v>2018</v>
      </c>
      <c r="G1055" t="s">
        <v>2546</v>
      </c>
      <c r="H1055">
        <v>0</v>
      </c>
      <c r="I1055" s="65">
        <v>0</v>
      </c>
      <c r="J1055" t="s">
        <v>2547</v>
      </c>
      <c r="K1055" s="35" t="s">
        <v>2206</v>
      </c>
      <c r="L1055" s="35" t="s">
        <v>6766</v>
      </c>
      <c r="M1055" s="39" t="str">
        <f>HYPERLINK("http://dx.doi.org/10.1016/j.ibmb.2018.01.003","10.1016/j.ibmb.2018.01.003")</f>
        <v>10.1016/j.ibmb.2018.01.003</v>
      </c>
      <c r="N1055" s="40" t="s">
        <v>1562</v>
      </c>
      <c r="O1055" s="40" t="s">
        <v>383</v>
      </c>
      <c r="P1055" s="40" t="s">
        <v>2548</v>
      </c>
      <c r="Q1055" t="s">
        <v>316</v>
      </c>
    </row>
    <row r="1056" spans="1:17" x14ac:dyDescent="0.25">
      <c r="A1056" s="2" t="str">
        <f>HYPERLINK("https://www.ncbi.nlm.nih.gov/pubmed/29250360","29250360")</f>
        <v>29250360</v>
      </c>
      <c r="B1056">
        <f t="shared" si="69"/>
        <v>2</v>
      </c>
      <c r="C1056">
        <f t="shared" si="69"/>
        <v>0</v>
      </c>
      <c r="D1056">
        <f t="shared" si="69"/>
        <v>0</v>
      </c>
      <c r="E1056">
        <f t="shared" si="68"/>
        <v>2</v>
      </c>
      <c r="F1056">
        <v>2017</v>
      </c>
      <c r="G1056" t="s">
        <v>2595</v>
      </c>
      <c r="H1056">
        <v>0</v>
      </c>
      <c r="I1056" s="64" t="str">
        <f>HYPERLINK("https://www.ncbi.nlm.nih.gov/research/pubtator/?view=docsum&amp;query=PMC5730297","1")</f>
        <v>1</v>
      </c>
      <c r="J1056" t="s">
        <v>2597</v>
      </c>
      <c r="K1056" s="35" t="s">
        <v>2598</v>
      </c>
      <c r="L1056" s="35" t="s">
        <v>2596</v>
      </c>
      <c r="M1056" s="39" t="str">
        <f>HYPERLINK("http://dx.doi.org/10.1107/S205698901701310X","10.1107/S205698901701310X")</f>
        <v>10.1107/S205698901701310X</v>
      </c>
      <c r="N1056" s="40" t="s">
        <v>2599</v>
      </c>
      <c r="O1056" s="40" t="s">
        <v>2600</v>
      </c>
      <c r="P1056" s="40" t="s">
        <v>2601</v>
      </c>
      <c r="Q1056" t="s">
        <v>316</v>
      </c>
    </row>
    <row r="1057" spans="1:17" x14ac:dyDescent="0.25">
      <c r="A1057" s="2" t="str">
        <f>HYPERLINK("https://www.ncbi.nlm.nih.gov/pubmed/29223796","29223796")</f>
        <v>29223796</v>
      </c>
      <c r="B1057">
        <f t="shared" si="69"/>
        <v>2</v>
      </c>
      <c r="C1057">
        <f t="shared" si="69"/>
        <v>0</v>
      </c>
      <c r="D1057">
        <f t="shared" si="69"/>
        <v>0</v>
      </c>
      <c r="E1057">
        <f t="shared" si="68"/>
        <v>2</v>
      </c>
      <c r="F1057">
        <v>2018</v>
      </c>
      <c r="G1057" t="s">
        <v>2602</v>
      </c>
      <c r="H1057">
        <v>0</v>
      </c>
      <c r="I1057" s="65">
        <v>0</v>
      </c>
      <c r="J1057" t="s">
        <v>2603</v>
      </c>
      <c r="K1057" s="35" t="s">
        <v>2206</v>
      </c>
      <c r="L1057" s="35" t="s">
        <v>6771</v>
      </c>
      <c r="M1057" s="39" t="str">
        <f>HYPERLINK("http://dx.doi.org/10.1016/j.ibmb.2017.12.001","10.1016/j.ibmb.2017.12.001")</f>
        <v>10.1016/j.ibmb.2017.12.001</v>
      </c>
      <c r="N1057" s="40" t="s">
        <v>1900</v>
      </c>
      <c r="O1057" s="40" t="s">
        <v>383</v>
      </c>
      <c r="P1057" s="40" t="s">
        <v>897</v>
      </c>
      <c r="Q1057" t="s">
        <v>316</v>
      </c>
    </row>
    <row r="1058" spans="1:17" x14ac:dyDescent="0.25">
      <c r="A1058" s="2" t="str">
        <f>HYPERLINK("https://www.ncbi.nlm.nih.gov/pubmed/29183375","29183375")</f>
        <v>29183375</v>
      </c>
      <c r="B1058">
        <f t="shared" si="69"/>
        <v>2</v>
      </c>
      <c r="C1058">
        <f t="shared" si="69"/>
        <v>0</v>
      </c>
      <c r="D1058">
        <f t="shared" si="69"/>
        <v>0</v>
      </c>
      <c r="E1058">
        <f t="shared" si="68"/>
        <v>2</v>
      </c>
      <c r="F1058">
        <v>2017</v>
      </c>
      <c r="G1058" t="s">
        <v>2615</v>
      </c>
      <c r="H1058">
        <v>0</v>
      </c>
      <c r="I1058" s="64" t="str">
        <f>HYPERLINK("https://www.ncbi.nlm.nih.gov/research/pubtator/?view=docsum&amp;query=PMC5704519","1")</f>
        <v>1</v>
      </c>
      <c r="J1058" t="s">
        <v>2616</v>
      </c>
      <c r="K1058" s="35" t="s">
        <v>1881</v>
      </c>
      <c r="L1058" s="35" t="s">
        <v>6775</v>
      </c>
      <c r="M1058" s="39" t="str">
        <f>HYPERLINK("http://dx.doi.org/10.1186/s12936-017-2133-0","10.1186/s12936-017-2133-0")</f>
        <v>10.1186/s12936-017-2133-0</v>
      </c>
      <c r="N1058" s="40" t="s">
        <v>780</v>
      </c>
      <c r="O1058" s="40" t="s">
        <v>638</v>
      </c>
      <c r="P1058" s="40" t="s">
        <v>2617</v>
      </c>
      <c r="Q1058" t="s">
        <v>316</v>
      </c>
    </row>
    <row r="1059" spans="1:17" x14ac:dyDescent="0.25">
      <c r="A1059" s="2" t="str">
        <f>HYPERLINK("https://www.ncbi.nlm.nih.gov/pubmed/29089058","29089058")</f>
        <v>29089058</v>
      </c>
      <c r="B1059">
        <f t="shared" si="69"/>
        <v>2</v>
      </c>
      <c r="C1059">
        <f t="shared" si="69"/>
        <v>0</v>
      </c>
      <c r="D1059">
        <f t="shared" si="69"/>
        <v>0</v>
      </c>
      <c r="E1059">
        <f t="shared" si="68"/>
        <v>2</v>
      </c>
      <c r="F1059">
        <v>2017</v>
      </c>
      <c r="G1059" t="s">
        <v>2645</v>
      </c>
      <c r="H1059">
        <v>0</v>
      </c>
      <c r="I1059" s="64" t="str">
        <f>HYPERLINK("https://www.ncbi.nlm.nih.gov/research/pubtator/?view=docsum&amp;query=PMC5664821","1")</f>
        <v>1</v>
      </c>
      <c r="J1059" t="s">
        <v>2643</v>
      </c>
      <c r="K1059" s="35" t="s">
        <v>870</v>
      </c>
      <c r="L1059" s="35" t="s">
        <v>6782</v>
      </c>
      <c r="M1059" s="39" t="str">
        <f>HYPERLINK("http://dx.doi.org/10.1186/s13071-017-2478-9","10.1186/s13071-017-2478-9")</f>
        <v>10.1186/s13071-017-2478-9</v>
      </c>
      <c r="N1059" s="40" t="s">
        <v>802</v>
      </c>
      <c r="O1059" s="40" t="s">
        <v>638</v>
      </c>
      <c r="P1059" s="40" t="s">
        <v>2646</v>
      </c>
      <c r="Q1059" t="s">
        <v>316</v>
      </c>
    </row>
    <row r="1060" spans="1:17" x14ac:dyDescent="0.25">
      <c r="A1060" s="2" t="str">
        <f>HYPERLINK("https://www.ncbi.nlm.nih.gov/pubmed/28991419","28991419")</f>
        <v>28991419</v>
      </c>
      <c r="B1060">
        <f t="shared" si="69"/>
        <v>2</v>
      </c>
      <c r="C1060">
        <f t="shared" si="69"/>
        <v>0</v>
      </c>
      <c r="D1060">
        <f t="shared" si="69"/>
        <v>0</v>
      </c>
      <c r="E1060">
        <f t="shared" si="68"/>
        <v>2</v>
      </c>
      <c r="F1060">
        <v>2018</v>
      </c>
      <c r="G1060" t="s">
        <v>2662</v>
      </c>
      <c r="H1060">
        <v>0</v>
      </c>
      <c r="I1060" s="65">
        <v>0</v>
      </c>
      <c r="J1060" t="s">
        <v>2663</v>
      </c>
      <c r="K1060" s="35" t="s">
        <v>968</v>
      </c>
      <c r="L1060" s="35" t="s">
        <v>6787</v>
      </c>
      <c r="M1060" s="39" t="str">
        <f>HYPERLINK("http://dx.doi.org/10.1002/ps.4756","10.1002/ps.4756")</f>
        <v>10.1002/ps.4756</v>
      </c>
      <c r="N1060" s="40" t="s">
        <v>2474</v>
      </c>
      <c r="O1060" s="40" t="s">
        <v>750</v>
      </c>
      <c r="P1060" s="40" t="s">
        <v>2664</v>
      </c>
      <c r="Q1060" t="s">
        <v>316</v>
      </c>
    </row>
    <row r="1061" spans="1:17" x14ac:dyDescent="0.25">
      <c r="A1061" s="2" t="str">
        <f>HYPERLINK("https://www.ncbi.nlm.nih.gov/pubmed/28973484","28973484")</f>
        <v>28973484</v>
      </c>
      <c r="B1061">
        <f t="shared" si="69"/>
        <v>2</v>
      </c>
      <c r="C1061">
        <f t="shared" si="69"/>
        <v>0</v>
      </c>
      <c r="D1061">
        <f t="shared" si="69"/>
        <v>0</v>
      </c>
      <c r="E1061">
        <f t="shared" si="68"/>
        <v>2</v>
      </c>
      <c r="F1061">
        <v>2017</v>
      </c>
      <c r="G1061" t="s">
        <v>2670</v>
      </c>
      <c r="H1061">
        <v>0</v>
      </c>
      <c r="I1061" s="64" t="str">
        <f>HYPERLINK("https://www.ncbi.nlm.nih.gov/research/pubtator/?view=docsum&amp;query=PMC5496735","1")</f>
        <v>1</v>
      </c>
      <c r="J1061" t="s">
        <v>2671</v>
      </c>
      <c r="K1061" s="35" t="s">
        <v>2672</v>
      </c>
      <c r="L1061" s="35" t="s">
        <v>6790</v>
      </c>
      <c r="M1061" s="39" t="str">
        <f>HYPERLINK("http://dx.doi.org/10.1093/jisesa/iex061","10.1093/jisesa/iex061")</f>
        <v>10.1093/jisesa/iex061</v>
      </c>
      <c r="N1061" s="40" t="s">
        <v>1088</v>
      </c>
      <c r="O1061" s="40" t="s">
        <v>690</v>
      </c>
      <c r="P1061" s="40" t="s">
        <v>383</v>
      </c>
      <c r="Q1061" t="s">
        <v>316</v>
      </c>
    </row>
    <row r="1062" spans="1:17" x14ac:dyDescent="0.25">
      <c r="A1062" s="2" t="str">
        <f>HYPERLINK("https://www.ncbi.nlm.nih.gov/pubmed/28898522","28898522")</f>
        <v>28898522</v>
      </c>
      <c r="B1062">
        <f t="shared" si="69"/>
        <v>2</v>
      </c>
      <c r="C1062">
        <f t="shared" si="69"/>
        <v>0</v>
      </c>
      <c r="D1062">
        <f t="shared" si="69"/>
        <v>0</v>
      </c>
      <c r="E1062">
        <f t="shared" si="68"/>
        <v>2</v>
      </c>
      <c r="F1062">
        <v>2018</v>
      </c>
      <c r="G1062" t="s">
        <v>2686</v>
      </c>
      <c r="H1062">
        <v>0</v>
      </c>
      <c r="I1062" s="65">
        <v>0</v>
      </c>
      <c r="J1062" t="s">
        <v>2688</v>
      </c>
      <c r="K1062" s="35" t="s">
        <v>968</v>
      </c>
      <c r="L1062" s="35" t="s">
        <v>2687</v>
      </c>
      <c r="M1062" s="39" t="str">
        <f>HYPERLINK("http://dx.doi.org/10.1002/ps.4729","10.1002/ps.4729")</f>
        <v>10.1002/ps.4729</v>
      </c>
      <c r="N1062" s="40" t="s">
        <v>2474</v>
      </c>
      <c r="O1062" s="40" t="s">
        <v>744</v>
      </c>
      <c r="P1062" s="40" t="s">
        <v>2689</v>
      </c>
      <c r="Q1062" t="s">
        <v>316</v>
      </c>
    </row>
    <row r="1063" spans="1:17" x14ac:dyDescent="0.25">
      <c r="A1063" s="2" t="str">
        <f>HYPERLINK("https://www.ncbi.nlm.nih.gov/pubmed/28633115","28633115")</f>
        <v>28633115</v>
      </c>
      <c r="B1063">
        <f t="shared" si="69"/>
        <v>2</v>
      </c>
      <c r="C1063">
        <f t="shared" si="69"/>
        <v>0</v>
      </c>
      <c r="D1063">
        <f t="shared" si="69"/>
        <v>0</v>
      </c>
      <c r="E1063">
        <f t="shared" si="68"/>
        <v>2</v>
      </c>
      <c r="F1063">
        <v>2017</v>
      </c>
      <c r="G1063" t="s">
        <v>2758</v>
      </c>
      <c r="H1063">
        <v>0</v>
      </c>
      <c r="I1063" s="65">
        <v>0</v>
      </c>
      <c r="J1063" t="s">
        <v>2759</v>
      </c>
      <c r="K1063" s="35" t="s">
        <v>670</v>
      </c>
      <c r="L1063" s="35" t="s">
        <v>6803</v>
      </c>
      <c r="M1063" s="39" t="str">
        <f>HYPERLINK("http://dx.doi.org/10.1016/j.scitotenv.2017.06.096","10.1016/j.scitotenv.2017.06.096")</f>
        <v>10.1016/j.scitotenv.2017.06.096</v>
      </c>
      <c r="N1063" s="40" t="s">
        <v>2760</v>
      </c>
      <c r="O1063" s="40" t="s">
        <v>383</v>
      </c>
      <c r="P1063" s="40" t="s">
        <v>2761</v>
      </c>
      <c r="Q1063" t="s">
        <v>316</v>
      </c>
    </row>
    <row r="1064" spans="1:17" x14ac:dyDescent="0.25">
      <c r="A1064" s="2" t="str">
        <f>HYPERLINK("https://www.ncbi.nlm.nih.gov/pubmed/28493680","28493680")</f>
        <v>28493680</v>
      </c>
      <c r="B1064">
        <f t="shared" ref="B1064:D1083" si="70">IF(ISBLANK(B$3),0,(LEN($L1064) - LEN(SUBSTITUTE(LOWER($L1064),LOWER(B$3),"")))/LEN(B$3))</f>
        <v>2</v>
      </c>
      <c r="C1064">
        <f t="shared" si="70"/>
        <v>0</v>
      </c>
      <c r="D1064">
        <f t="shared" si="70"/>
        <v>0</v>
      </c>
      <c r="E1064">
        <f t="shared" si="68"/>
        <v>2</v>
      </c>
      <c r="F1064">
        <v>2017</v>
      </c>
      <c r="G1064" t="s">
        <v>2804</v>
      </c>
      <c r="H1064">
        <v>0</v>
      </c>
      <c r="I1064" s="65">
        <v>0</v>
      </c>
      <c r="J1064" t="s">
        <v>2806</v>
      </c>
      <c r="K1064" s="35" t="s">
        <v>770</v>
      </c>
      <c r="L1064" s="35" t="s">
        <v>2805</v>
      </c>
      <c r="M1064" s="39" t="str">
        <f>HYPERLINK("http://dx.doi.org/10.1021/acs.jafc.7b00620","10.1021/acs.jafc.7b00620")</f>
        <v>10.1021/acs.jafc.7b00620</v>
      </c>
      <c r="N1064" s="40" t="s">
        <v>2738</v>
      </c>
      <c r="O1064" s="40" t="s">
        <v>1364</v>
      </c>
      <c r="P1064" s="40" t="s">
        <v>2807</v>
      </c>
      <c r="Q1064" t="s">
        <v>316</v>
      </c>
    </row>
    <row r="1065" spans="1:17" x14ac:dyDescent="0.25">
      <c r="A1065" s="2" t="str">
        <f>HYPERLINK("https://www.ncbi.nlm.nih.gov/pubmed/28334270","28334270")</f>
        <v>28334270</v>
      </c>
      <c r="B1065">
        <f t="shared" si="70"/>
        <v>2</v>
      </c>
      <c r="C1065">
        <f t="shared" si="70"/>
        <v>0</v>
      </c>
      <c r="D1065">
        <f t="shared" si="70"/>
        <v>0</v>
      </c>
      <c r="E1065">
        <f t="shared" si="68"/>
        <v>2</v>
      </c>
      <c r="F1065">
        <v>2017</v>
      </c>
      <c r="G1065" t="s">
        <v>2845</v>
      </c>
      <c r="H1065">
        <v>0</v>
      </c>
      <c r="I1065" s="64" t="str">
        <f>HYPERLINK("https://www.ncbi.nlm.nih.gov/research/pubtator/?view=docsum&amp;query=PMC5444675","1")</f>
        <v>1</v>
      </c>
      <c r="J1065" t="s">
        <v>2846</v>
      </c>
      <c r="K1065" s="35" t="s">
        <v>909</v>
      </c>
      <c r="L1065" s="35" t="s">
        <v>6820</v>
      </c>
      <c r="M1065" s="39" t="str">
        <f>HYPERLINK("http://dx.doi.org/10.1093/jee/tox076","10.1093/jee/tox076")</f>
        <v>10.1093/jee/tox076</v>
      </c>
      <c r="N1065" s="40" t="s">
        <v>766</v>
      </c>
      <c r="O1065" s="40" t="s">
        <v>750</v>
      </c>
      <c r="P1065" s="40" t="s">
        <v>2847</v>
      </c>
      <c r="Q1065" t="s">
        <v>316</v>
      </c>
    </row>
    <row r="1066" spans="1:17" x14ac:dyDescent="0.25">
      <c r="A1066" s="2" t="str">
        <f>HYPERLINK("https://www.ncbi.nlm.nih.gov/pubmed/28334064","28334064")</f>
        <v>28334064</v>
      </c>
      <c r="B1066">
        <f t="shared" si="70"/>
        <v>2</v>
      </c>
      <c r="C1066">
        <f t="shared" si="70"/>
        <v>0</v>
      </c>
      <c r="D1066">
        <f t="shared" si="70"/>
        <v>0</v>
      </c>
      <c r="E1066">
        <f t="shared" si="68"/>
        <v>2</v>
      </c>
      <c r="F1066">
        <v>2017</v>
      </c>
      <c r="G1066" t="s">
        <v>2848</v>
      </c>
      <c r="H1066">
        <v>0</v>
      </c>
      <c r="I1066" s="65">
        <v>0</v>
      </c>
      <c r="J1066" t="s">
        <v>2850</v>
      </c>
      <c r="K1066" s="35" t="s">
        <v>909</v>
      </c>
      <c r="L1066" s="35" t="s">
        <v>2849</v>
      </c>
      <c r="M1066" s="39" t="str">
        <f>HYPERLINK("http://dx.doi.org/10.1093/jee/tox032","10.1093/jee/tox032")</f>
        <v>10.1093/jee/tox032</v>
      </c>
      <c r="N1066" s="40" t="s">
        <v>766</v>
      </c>
      <c r="O1066" s="40" t="s">
        <v>744</v>
      </c>
      <c r="P1066" s="40" t="s">
        <v>2851</v>
      </c>
      <c r="Q1066" t="s">
        <v>316</v>
      </c>
    </row>
    <row r="1067" spans="1:17" x14ac:dyDescent="0.25">
      <c r="A1067" s="2" t="str">
        <f>HYPERLINK("https://www.ncbi.nlm.nih.gov/pubmed/28148275","28148275")</f>
        <v>28148275</v>
      </c>
      <c r="B1067">
        <f t="shared" si="70"/>
        <v>2</v>
      </c>
      <c r="C1067">
        <f t="shared" si="70"/>
        <v>0</v>
      </c>
      <c r="D1067">
        <f t="shared" si="70"/>
        <v>0</v>
      </c>
      <c r="E1067">
        <f t="shared" si="68"/>
        <v>2</v>
      </c>
      <c r="F1067">
        <v>2017</v>
      </c>
      <c r="G1067" t="s">
        <v>2883</v>
      </c>
      <c r="H1067">
        <v>0</v>
      </c>
      <c r="I1067" s="64" t="str">
        <f>HYPERLINK("https://www.ncbi.nlm.nih.gov/research/pubtator/?view=docsum&amp;query=PMC5288883","1")</f>
        <v>1</v>
      </c>
      <c r="J1067" t="s">
        <v>2884</v>
      </c>
      <c r="K1067" s="35" t="s">
        <v>870</v>
      </c>
      <c r="L1067" s="35" t="s">
        <v>6826</v>
      </c>
      <c r="M1067" s="39" t="str">
        <f>HYPERLINK("http://dx.doi.org/10.1186/s13071-017-1996-9","10.1186/s13071-017-1996-9")</f>
        <v>10.1186/s13071-017-1996-9</v>
      </c>
      <c r="N1067" s="40" t="s">
        <v>802</v>
      </c>
      <c r="O1067" s="40" t="s">
        <v>638</v>
      </c>
      <c r="P1067" s="40" t="s">
        <v>2885</v>
      </c>
      <c r="Q1067" t="s">
        <v>316</v>
      </c>
    </row>
    <row r="1068" spans="1:17" x14ac:dyDescent="0.25">
      <c r="A1068" s="2" t="str">
        <f>HYPERLINK("https://www.ncbi.nlm.nih.gov/pubmed/28103945","28103945")</f>
        <v>28103945</v>
      </c>
      <c r="B1068">
        <f t="shared" si="70"/>
        <v>2</v>
      </c>
      <c r="C1068">
        <f t="shared" si="70"/>
        <v>0</v>
      </c>
      <c r="D1068">
        <f t="shared" si="70"/>
        <v>0</v>
      </c>
      <c r="E1068">
        <f t="shared" si="68"/>
        <v>2</v>
      </c>
      <c r="F1068">
        <v>2017</v>
      </c>
      <c r="G1068" t="s">
        <v>2895</v>
      </c>
      <c r="H1068">
        <v>0</v>
      </c>
      <c r="I1068" s="64" t="str">
        <f>HYPERLINK("https://www.ncbi.nlm.nih.gov/research/pubtator/?view=docsum&amp;query=PMC5248447","1")</f>
        <v>1</v>
      </c>
      <c r="J1068" t="s">
        <v>2896</v>
      </c>
      <c r="K1068" s="35" t="s">
        <v>870</v>
      </c>
      <c r="L1068" s="35" t="s">
        <v>6830</v>
      </c>
      <c r="M1068" s="39" t="str">
        <f>HYPERLINK("http://dx.doi.org/10.1186/s13071-017-1971-5","10.1186/s13071-017-1971-5")</f>
        <v>10.1186/s13071-017-1971-5</v>
      </c>
      <c r="N1068" s="40" t="s">
        <v>802</v>
      </c>
      <c r="O1068" s="40" t="s">
        <v>638</v>
      </c>
      <c r="P1068" s="40" t="s">
        <v>639</v>
      </c>
      <c r="Q1068" t="s">
        <v>316</v>
      </c>
    </row>
    <row r="1069" spans="1:17" x14ac:dyDescent="0.25">
      <c r="A1069" s="2" t="str">
        <f>HYPERLINK("https://www.ncbi.nlm.nih.gov/pubmed/28002720","28002720")</f>
        <v>28002720</v>
      </c>
      <c r="B1069">
        <f t="shared" si="70"/>
        <v>2</v>
      </c>
      <c r="C1069">
        <f t="shared" si="70"/>
        <v>2</v>
      </c>
      <c r="D1069">
        <f t="shared" si="70"/>
        <v>0</v>
      </c>
      <c r="E1069">
        <f t="shared" si="68"/>
        <v>4</v>
      </c>
      <c r="F1069">
        <v>2017</v>
      </c>
      <c r="G1069" t="s">
        <v>2912</v>
      </c>
      <c r="H1069">
        <v>0</v>
      </c>
      <c r="I1069" s="65">
        <v>0</v>
      </c>
      <c r="J1069" t="s">
        <v>2913</v>
      </c>
      <c r="K1069" s="35" t="s">
        <v>1289</v>
      </c>
      <c r="L1069" s="35" t="s">
        <v>6835</v>
      </c>
      <c r="M1069" s="39" t="str">
        <f>HYPERLINK("http://dx.doi.org/10.1016/j.watres.2016.12.017","10.1016/j.watres.2016.12.017")</f>
        <v>10.1016/j.watres.2016.12.017</v>
      </c>
      <c r="N1069" s="40" t="s">
        <v>766</v>
      </c>
      <c r="O1069" s="40" t="s">
        <v>383</v>
      </c>
      <c r="P1069" s="40" t="s">
        <v>2914</v>
      </c>
      <c r="Q1069" t="s">
        <v>316</v>
      </c>
    </row>
    <row r="1070" spans="1:17" x14ac:dyDescent="0.25">
      <c r="A1070" s="2" t="str">
        <f>HYPERLINK("https://www.ncbi.nlm.nih.gov/pubmed/27914544","27914544")</f>
        <v>27914544</v>
      </c>
      <c r="B1070">
        <f t="shared" si="70"/>
        <v>2</v>
      </c>
      <c r="C1070">
        <f t="shared" si="70"/>
        <v>0</v>
      </c>
      <c r="D1070">
        <f t="shared" si="70"/>
        <v>0</v>
      </c>
      <c r="E1070">
        <f t="shared" si="68"/>
        <v>2</v>
      </c>
      <c r="F1070">
        <v>2016</v>
      </c>
      <c r="G1070" t="s">
        <v>2933</v>
      </c>
      <c r="H1070">
        <v>0</v>
      </c>
      <c r="I1070" s="65">
        <v>0</v>
      </c>
      <c r="J1070" t="s">
        <v>2934</v>
      </c>
      <c r="K1070" s="35" t="s">
        <v>831</v>
      </c>
      <c r="L1070" s="35" t="s">
        <v>6838</v>
      </c>
      <c r="M1070" s="39" t="str">
        <f>HYPERLINK("http://dx.doi.org/10.1016/j.pestbp.2016.05.004","10.1016/j.pestbp.2016.05.004")</f>
        <v>10.1016/j.pestbp.2016.05.004</v>
      </c>
      <c r="N1070" s="40" t="s">
        <v>1735</v>
      </c>
      <c r="O1070" s="40" t="s">
        <v>383</v>
      </c>
      <c r="P1070" s="40" t="s">
        <v>2935</v>
      </c>
      <c r="Q1070" t="s">
        <v>316</v>
      </c>
    </row>
    <row r="1071" spans="1:17" x14ac:dyDescent="0.25">
      <c r="A1071" s="2" t="str">
        <f>HYPERLINK("https://www.ncbi.nlm.nih.gov/pubmed/27816694","27816694")</f>
        <v>27816694</v>
      </c>
      <c r="B1071">
        <f t="shared" si="70"/>
        <v>2</v>
      </c>
      <c r="C1071">
        <f t="shared" si="70"/>
        <v>0</v>
      </c>
      <c r="D1071">
        <f t="shared" si="70"/>
        <v>0</v>
      </c>
      <c r="E1071">
        <f t="shared" si="68"/>
        <v>2</v>
      </c>
      <c r="F1071">
        <v>2016</v>
      </c>
      <c r="G1071" t="s">
        <v>2943</v>
      </c>
      <c r="H1071">
        <v>0</v>
      </c>
      <c r="I1071" s="64" t="str">
        <f>HYPERLINK("https://www.ncbi.nlm.nih.gov/research/pubtator/?view=docsum&amp;query=PMC5137195","1")</f>
        <v>1</v>
      </c>
      <c r="J1071" t="s">
        <v>2944</v>
      </c>
      <c r="K1071" s="35" t="s">
        <v>2351</v>
      </c>
      <c r="L1071" s="35" t="s">
        <v>6841</v>
      </c>
      <c r="M1071" s="39" t="str">
        <f>HYPERLINK("http://dx.doi.org/10.1016/j.tox.2016.10.015","10.1016/j.tox.2016.10.015")</f>
        <v>10.1016/j.tox.2016.10.015</v>
      </c>
      <c r="N1071" s="40" t="s">
        <v>2945</v>
      </c>
      <c r="O1071" s="40" t="s">
        <v>383</v>
      </c>
      <c r="P1071" s="40" t="s">
        <v>2946</v>
      </c>
      <c r="Q1071" t="s">
        <v>316</v>
      </c>
    </row>
    <row r="1072" spans="1:17" x14ac:dyDescent="0.25">
      <c r="A1072" s="2" t="str">
        <f>HYPERLINK("https://www.ncbi.nlm.nih.gov/pubmed/27607021","27607021")</f>
        <v>27607021</v>
      </c>
      <c r="B1072">
        <f t="shared" si="70"/>
        <v>2</v>
      </c>
      <c r="C1072">
        <f t="shared" si="70"/>
        <v>0</v>
      </c>
      <c r="D1072">
        <f t="shared" si="70"/>
        <v>0</v>
      </c>
      <c r="E1072">
        <f t="shared" si="68"/>
        <v>2</v>
      </c>
      <c r="F1072">
        <v>2017</v>
      </c>
      <c r="G1072" t="s">
        <v>2962</v>
      </c>
      <c r="H1072">
        <v>0</v>
      </c>
      <c r="I1072" s="65">
        <v>0</v>
      </c>
      <c r="J1072" t="s">
        <v>2964</v>
      </c>
      <c r="K1072" s="35" t="s">
        <v>968</v>
      </c>
      <c r="L1072" s="35" t="s">
        <v>2963</v>
      </c>
      <c r="M1072" s="39" t="str">
        <f>HYPERLINK("http://dx.doi.org/10.1002/ps.4428","10.1002/ps.4428")</f>
        <v>10.1002/ps.4428</v>
      </c>
      <c r="N1072" s="40" t="s">
        <v>2599</v>
      </c>
      <c r="O1072" s="40" t="s">
        <v>741</v>
      </c>
      <c r="P1072" s="40" t="s">
        <v>2965</v>
      </c>
      <c r="Q1072" t="s">
        <v>316</v>
      </c>
    </row>
    <row r="1073" spans="1:17" x14ac:dyDescent="0.25">
      <c r="A1073" s="2" t="str">
        <f>HYPERLINK("https://www.ncbi.nlm.nih.gov/pubmed/27769466","27769466")</f>
        <v>27769466</v>
      </c>
      <c r="B1073">
        <f t="shared" si="70"/>
        <v>2</v>
      </c>
      <c r="C1073">
        <f t="shared" si="70"/>
        <v>0</v>
      </c>
      <c r="D1073">
        <f t="shared" si="70"/>
        <v>0</v>
      </c>
      <c r="E1073">
        <f t="shared" si="68"/>
        <v>2</v>
      </c>
      <c r="F1073">
        <v>2016</v>
      </c>
      <c r="G1073" t="s">
        <v>2966</v>
      </c>
      <c r="H1073">
        <v>0</v>
      </c>
      <c r="I1073" s="65">
        <v>0</v>
      </c>
      <c r="J1073" t="s">
        <v>2967</v>
      </c>
      <c r="K1073" s="35" t="s">
        <v>1162</v>
      </c>
      <c r="L1073" s="35" t="s">
        <v>6845</v>
      </c>
      <c r="M1073" s="39" t="str">
        <f>HYPERLINK("http://dx.doi.org/10.1016/j.talanta.2016.09.035","10.1016/j.talanta.2016.09.035")</f>
        <v>10.1016/j.talanta.2016.09.035</v>
      </c>
      <c r="N1073" s="40" t="s">
        <v>1801</v>
      </c>
      <c r="O1073" s="40" t="s">
        <v>383</v>
      </c>
      <c r="P1073" s="40" t="s">
        <v>2968</v>
      </c>
      <c r="Q1073" t="s">
        <v>316</v>
      </c>
    </row>
    <row r="1074" spans="1:17" x14ac:dyDescent="0.25">
      <c r="A1074" s="2" t="str">
        <f>HYPERLINK("https://www.ncbi.nlm.nih.gov/pubmed/27717758","27717758")</f>
        <v>27717758</v>
      </c>
      <c r="B1074">
        <f t="shared" si="70"/>
        <v>2</v>
      </c>
      <c r="C1074">
        <f t="shared" si="70"/>
        <v>0</v>
      </c>
      <c r="D1074">
        <f t="shared" si="70"/>
        <v>0</v>
      </c>
      <c r="E1074">
        <f t="shared" si="68"/>
        <v>2</v>
      </c>
      <c r="F1074">
        <v>2017</v>
      </c>
      <c r="G1074" t="s">
        <v>2991</v>
      </c>
      <c r="H1074">
        <v>0</v>
      </c>
      <c r="I1074" s="65">
        <v>0</v>
      </c>
      <c r="J1074" t="s">
        <v>2992</v>
      </c>
      <c r="K1074" s="35" t="s">
        <v>914</v>
      </c>
      <c r="L1074" s="35" t="s">
        <v>6849</v>
      </c>
      <c r="M1074" s="39" t="str">
        <f>HYPERLINK("http://dx.doi.org/10.1016/j.ttbdis.2016.09.019","10.1016/j.ttbdis.2016.09.019")</f>
        <v>10.1016/j.ttbdis.2016.09.019</v>
      </c>
      <c r="N1074" s="40" t="s">
        <v>781</v>
      </c>
      <c r="O1074" s="40" t="s">
        <v>638</v>
      </c>
      <c r="P1074" s="40" t="s">
        <v>1299</v>
      </c>
      <c r="Q1074" t="s">
        <v>316</v>
      </c>
    </row>
    <row r="1075" spans="1:17" x14ac:dyDescent="0.25">
      <c r="A1075" s="2" t="str">
        <f>HYPERLINK("https://www.ncbi.nlm.nih.gov/pubmed/27192386","27192386")</f>
        <v>27192386</v>
      </c>
      <c r="B1075">
        <f t="shared" si="70"/>
        <v>2</v>
      </c>
      <c r="C1075">
        <f t="shared" si="70"/>
        <v>0</v>
      </c>
      <c r="D1075">
        <f t="shared" si="70"/>
        <v>0</v>
      </c>
      <c r="E1075">
        <f t="shared" si="68"/>
        <v>2</v>
      </c>
      <c r="F1075">
        <v>2016</v>
      </c>
      <c r="G1075" t="s">
        <v>3102</v>
      </c>
      <c r="H1075">
        <v>0</v>
      </c>
      <c r="I1075" s="65">
        <v>0</v>
      </c>
      <c r="J1075" t="s">
        <v>3103</v>
      </c>
      <c r="K1075" s="35" t="s">
        <v>1407</v>
      </c>
      <c r="L1075" s="35" t="s">
        <v>6862</v>
      </c>
      <c r="M1075" s="39" t="str">
        <f>HYPERLINK("http://dx.doi.org/10.1016/j.jenvman.2016.05.011","10.1016/j.jenvman.2016.05.011")</f>
        <v>10.1016/j.jenvman.2016.05.011</v>
      </c>
      <c r="N1075" s="40" t="s">
        <v>3104</v>
      </c>
      <c r="O1075" s="40" t="s">
        <v>383</v>
      </c>
      <c r="P1075" s="40" t="s">
        <v>3105</v>
      </c>
      <c r="Q1075" t="s">
        <v>316</v>
      </c>
    </row>
    <row r="1076" spans="1:17" x14ac:dyDescent="0.25">
      <c r="A1076" s="2" t="str">
        <f>HYPERLINK("https://www.ncbi.nlm.nih.gov/pubmed/27170357","27170357")</f>
        <v>27170357</v>
      </c>
      <c r="B1076">
        <f t="shared" si="70"/>
        <v>2</v>
      </c>
      <c r="C1076">
        <f t="shared" si="70"/>
        <v>0</v>
      </c>
      <c r="D1076">
        <f t="shared" si="70"/>
        <v>0</v>
      </c>
      <c r="E1076">
        <f t="shared" si="68"/>
        <v>2</v>
      </c>
      <c r="F1076">
        <v>2016</v>
      </c>
      <c r="G1076" t="s">
        <v>3113</v>
      </c>
      <c r="H1076">
        <v>0</v>
      </c>
      <c r="I1076" s="64" t="str">
        <f>HYPERLINK("https://www.ncbi.nlm.nih.gov/research/pubtator/?view=docsum&amp;query=PMC4869748","1")</f>
        <v>1</v>
      </c>
      <c r="J1076" t="s">
        <v>3114</v>
      </c>
      <c r="K1076" s="35" t="s">
        <v>1013</v>
      </c>
      <c r="L1076" s="35" t="s">
        <v>6864</v>
      </c>
      <c r="M1076" s="39" t="str">
        <f>HYPERLINK("http://dx.doi.org/10.1007/s10661-016-5215-5","10.1007/s10661-016-5215-5")</f>
        <v>10.1007/s10661-016-5215-5</v>
      </c>
      <c r="N1076" s="40" t="s">
        <v>1290</v>
      </c>
      <c r="O1076" s="40" t="s">
        <v>741</v>
      </c>
      <c r="P1076" s="40" t="s">
        <v>3115</v>
      </c>
      <c r="Q1076" t="s">
        <v>316</v>
      </c>
    </row>
    <row r="1077" spans="1:17" x14ac:dyDescent="0.25">
      <c r="A1077" s="2" t="str">
        <f>HYPERLINK("https://www.ncbi.nlm.nih.gov/pubmed/27145488","27145488")</f>
        <v>27145488</v>
      </c>
      <c r="B1077">
        <f t="shared" si="70"/>
        <v>2</v>
      </c>
      <c r="C1077">
        <f t="shared" si="70"/>
        <v>0</v>
      </c>
      <c r="D1077">
        <f t="shared" si="70"/>
        <v>0</v>
      </c>
      <c r="E1077">
        <f t="shared" si="68"/>
        <v>2</v>
      </c>
      <c r="F1077">
        <v>2016</v>
      </c>
      <c r="G1077" t="s">
        <v>3123</v>
      </c>
      <c r="H1077">
        <v>0</v>
      </c>
      <c r="I1077" s="65">
        <v>0</v>
      </c>
      <c r="J1077" t="s">
        <v>3124</v>
      </c>
      <c r="K1077" s="35" t="s">
        <v>755</v>
      </c>
      <c r="L1077" s="35" t="s">
        <v>6867</v>
      </c>
      <c r="M1077" s="39" t="str">
        <f>HYPERLINK("http://dx.doi.org/10.1002/etc.3472","10.1002/etc.3472")</f>
        <v>10.1002/etc.3472</v>
      </c>
      <c r="N1077" s="40" t="s">
        <v>2274</v>
      </c>
      <c r="O1077" s="40" t="s">
        <v>915</v>
      </c>
      <c r="P1077" s="40" t="s">
        <v>3125</v>
      </c>
      <c r="Q1077" t="s">
        <v>316</v>
      </c>
    </row>
    <row r="1078" spans="1:17" x14ac:dyDescent="0.25">
      <c r="A1078" s="2" t="str">
        <f>HYPERLINK("https://www.ncbi.nlm.nih.gov/pubmed/27142308","27142308")</f>
        <v>27142308</v>
      </c>
      <c r="B1078">
        <f t="shared" si="70"/>
        <v>2</v>
      </c>
      <c r="C1078">
        <f t="shared" si="70"/>
        <v>0</v>
      </c>
      <c r="D1078">
        <f t="shared" si="70"/>
        <v>0</v>
      </c>
      <c r="E1078">
        <f t="shared" si="68"/>
        <v>2</v>
      </c>
      <c r="F1078">
        <v>2016</v>
      </c>
      <c r="G1078" t="s">
        <v>3126</v>
      </c>
      <c r="H1078">
        <v>0</v>
      </c>
      <c r="I1078" s="64" t="str">
        <f>HYPERLINK("https://www.ncbi.nlm.nih.gov/research/pubtator/?view=docsum&amp;query=PMC4864582","1")</f>
        <v>1</v>
      </c>
      <c r="J1078" t="s">
        <v>3127</v>
      </c>
      <c r="K1078" s="35" t="s">
        <v>2672</v>
      </c>
      <c r="L1078" s="35" t="s">
        <v>6868</v>
      </c>
      <c r="M1078" s="39" t="str">
        <f>HYPERLINK("http://dx.doi.org/10.1093/jisesa/iew014","10.1093/jisesa/iew014")</f>
        <v>10.1093/jisesa/iew014</v>
      </c>
      <c r="N1078" s="40" t="s">
        <v>780</v>
      </c>
      <c r="O1078" s="40" t="s">
        <v>383</v>
      </c>
      <c r="P1078" s="40" t="s">
        <v>383</v>
      </c>
      <c r="Q1078" t="s">
        <v>316</v>
      </c>
    </row>
    <row r="1079" spans="1:17" x14ac:dyDescent="0.25">
      <c r="A1079" s="2" t="str">
        <f>HYPERLINK("https://www.ncbi.nlm.nih.gov/pubmed/27098995","27098995")</f>
        <v>27098995</v>
      </c>
      <c r="B1079">
        <f t="shared" si="70"/>
        <v>2</v>
      </c>
      <c r="C1079">
        <f t="shared" si="70"/>
        <v>0</v>
      </c>
      <c r="D1079">
        <f t="shared" si="70"/>
        <v>0</v>
      </c>
      <c r="E1079">
        <f t="shared" si="68"/>
        <v>2</v>
      </c>
      <c r="F1079">
        <v>2017</v>
      </c>
      <c r="G1079" t="s">
        <v>3152</v>
      </c>
      <c r="H1079">
        <v>0</v>
      </c>
      <c r="I1079" s="65">
        <v>0</v>
      </c>
      <c r="J1079" t="s">
        <v>3153</v>
      </c>
      <c r="K1079" s="35" t="s">
        <v>968</v>
      </c>
      <c r="L1079" s="35" t="s">
        <v>6873</v>
      </c>
      <c r="M1079" s="39" t="str">
        <f>HYPERLINK("http://dx.doi.org/10.1002/ps.4296","10.1002/ps.4296")</f>
        <v>10.1002/ps.4296</v>
      </c>
      <c r="N1079" s="40" t="s">
        <v>2599</v>
      </c>
      <c r="O1079" s="40" t="s">
        <v>638</v>
      </c>
      <c r="P1079" s="40" t="s">
        <v>3154</v>
      </c>
      <c r="Q1079" t="s">
        <v>316</v>
      </c>
    </row>
    <row r="1080" spans="1:17" x14ac:dyDescent="0.25">
      <c r="A1080" s="2" t="str">
        <f>HYPERLINK("https://www.ncbi.nlm.nih.gov/pubmed/26914248","26914248")</f>
        <v>26914248</v>
      </c>
      <c r="B1080">
        <f t="shared" si="70"/>
        <v>2</v>
      </c>
      <c r="C1080">
        <f t="shared" si="70"/>
        <v>0</v>
      </c>
      <c r="D1080">
        <f t="shared" si="70"/>
        <v>0</v>
      </c>
      <c r="E1080">
        <f t="shared" si="68"/>
        <v>2</v>
      </c>
      <c r="F1080">
        <v>2016</v>
      </c>
      <c r="G1080" t="s">
        <v>3230</v>
      </c>
      <c r="H1080">
        <v>0</v>
      </c>
      <c r="I1080" s="65">
        <v>0</v>
      </c>
      <c r="J1080" t="s">
        <v>3231</v>
      </c>
      <c r="K1080" s="35" t="s">
        <v>3169</v>
      </c>
      <c r="L1080" s="35" t="s">
        <v>6887</v>
      </c>
      <c r="M1080" s="39" t="str">
        <f>HYPERLINK("http://dx.doi.org/10.1080/15287394.2016.1138923","10.1080/15287394.2016.1138923")</f>
        <v>10.1080/15287394.2016.1138923</v>
      </c>
      <c r="N1080" s="40" t="s">
        <v>1396</v>
      </c>
      <c r="O1080" s="40" t="s">
        <v>690</v>
      </c>
      <c r="P1080" s="40" t="s">
        <v>3232</v>
      </c>
      <c r="Q1080" t="s">
        <v>316</v>
      </c>
    </row>
    <row r="1081" spans="1:17" x14ac:dyDescent="0.25">
      <c r="A1081" s="2" t="str">
        <f>HYPERLINK("https://www.ncbi.nlm.nih.gov/pubmed/26795064","26795064")</f>
        <v>26795064</v>
      </c>
      <c r="B1081">
        <f t="shared" si="70"/>
        <v>2</v>
      </c>
      <c r="C1081">
        <f t="shared" si="70"/>
        <v>0</v>
      </c>
      <c r="D1081">
        <f t="shared" si="70"/>
        <v>0</v>
      </c>
      <c r="E1081">
        <f t="shared" si="68"/>
        <v>2</v>
      </c>
      <c r="F1081">
        <v>2016</v>
      </c>
      <c r="G1081" t="s">
        <v>3272</v>
      </c>
      <c r="H1081">
        <v>0</v>
      </c>
      <c r="I1081" s="64" t="str">
        <f>HYPERLINK("https://www.ncbi.nlm.nih.gov/research/pubtator/?view=docsum&amp;query=PMC4722230","1")</f>
        <v>1</v>
      </c>
      <c r="J1081" t="s">
        <v>3274</v>
      </c>
      <c r="K1081" s="35" t="s">
        <v>2925</v>
      </c>
      <c r="L1081" s="35" t="s">
        <v>3273</v>
      </c>
      <c r="M1081" s="39" t="str">
        <f>HYPERLINK("http://dx.doi.org/10.1051/parasite/2016002","10.1051/parasite/2016002")</f>
        <v>10.1051/parasite/2016002</v>
      </c>
      <c r="N1081" s="40" t="s">
        <v>737</v>
      </c>
      <c r="O1081" s="40" t="s">
        <v>383</v>
      </c>
      <c r="P1081" s="40" t="s">
        <v>744</v>
      </c>
      <c r="Q1081" t="s">
        <v>316</v>
      </c>
    </row>
    <row r="1082" spans="1:17" x14ac:dyDescent="0.25">
      <c r="A1082" s="2" t="str">
        <f>HYPERLINK("https://www.ncbi.nlm.nih.gov/pubmed/26748657","26748657")</f>
        <v>26748657</v>
      </c>
      <c r="B1082">
        <f t="shared" si="70"/>
        <v>2</v>
      </c>
      <c r="C1082">
        <f t="shared" si="70"/>
        <v>0</v>
      </c>
      <c r="D1082">
        <f t="shared" si="70"/>
        <v>0</v>
      </c>
      <c r="E1082">
        <f t="shared" si="68"/>
        <v>2</v>
      </c>
      <c r="F1082">
        <v>2016</v>
      </c>
      <c r="G1082" t="s">
        <v>3295</v>
      </c>
      <c r="H1082">
        <v>0</v>
      </c>
      <c r="I1082" s="65">
        <v>0</v>
      </c>
      <c r="J1082" t="s">
        <v>3296</v>
      </c>
      <c r="K1082" s="35" t="s">
        <v>755</v>
      </c>
      <c r="L1082" s="35" t="s">
        <v>6892</v>
      </c>
      <c r="M1082" s="39" t="str">
        <f>HYPERLINK("http://dx.doi.org/10.1002/etc.3348","10.1002/etc.3348")</f>
        <v>10.1002/etc.3348</v>
      </c>
      <c r="N1082" s="40" t="s">
        <v>2274</v>
      </c>
      <c r="O1082" s="40" t="s">
        <v>781</v>
      </c>
      <c r="P1082" s="40" t="s">
        <v>3297</v>
      </c>
      <c r="Q1082" t="s">
        <v>316</v>
      </c>
    </row>
    <row r="1083" spans="1:17" x14ac:dyDescent="0.25">
      <c r="A1083" s="2" t="str">
        <f>HYPERLINK("https://www.ncbi.nlm.nih.gov/pubmed/26714872","26714872")</f>
        <v>26714872</v>
      </c>
      <c r="B1083">
        <f t="shared" si="70"/>
        <v>2</v>
      </c>
      <c r="C1083">
        <f t="shared" si="70"/>
        <v>0</v>
      </c>
      <c r="D1083">
        <f t="shared" si="70"/>
        <v>0</v>
      </c>
      <c r="E1083">
        <f t="shared" si="68"/>
        <v>2</v>
      </c>
      <c r="F1083">
        <v>2016</v>
      </c>
      <c r="G1083" t="s">
        <v>3301</v>
      </c>
      <c r="H1083">
        <v>0</v>
      </c>
      <c r="I1083" s="65">
        <v>0</v>
      </c>
      <c r="J1083" t="s">
        <v>3302</v>
      </c>
      <c r="K1083" s="35" t="s">
        <v>3303</v>
      </c>
      <c r="L1083" s="35" t="s">
        <v>6893</v>
      </c>
      <c r="M1083" s="39" t="str">
        <f>HYPERLINK("http://dx.doi.org/10.1177/0748730415622710","10.1177/0748730415622710")</f>
        <v>10.1177/0748730415622710</v>
      </c>
      <c r="N1083" s="40" t="s">
        <v>753</v>
      </c>
      <c r="O1083" s="40" t="s">
        <v>744</v>
      </c>
      <c r="P1083" s="40" t="s">
        <v>3304</v>
      </c>
      <c r="Q1083" t="s">
        <v>316</v>
      </c>
    </row>
    <row r="1084" spans="1:17" x14ac:dyDescent="0.25">
      <c r="A1084" s="2" t="str">
        <f>HYPERLINK("https://www.ncbi.nlm.nih.gov/pubmed/26668351","26668351")</f>
        <v>26668351</v>
      </c>
      <c r="B1084">
        <f t="shared" ref="B1084:D1103" si="71">IF(ISBLANK(B$3),0,(LEN($L1084) - LEN(SUBSTITUTE(LOWER($L1084),LOWER(B$3),"")))/LEN(B$3))</f>
        <v>2</v>
      </c>
      <c r="C1084">
        <f t="shared" si="71"/>
        <v>0</v>
      </c>
      <c r="D1084">
        <f t="shared" si="71"/>
        <v>0</v>
      </c>
      <c r="E1084">
        <f t="shared" si="68"/>
        <v>2</v>
      </c>
      <c r="F1084">
        <v>2016</v>
      </c>
      <c r="G1084" t="s">
        <v>3312</v>
      </c>
      <c r="H1084">
        <v>0</v>
      </c>
      <c r="I1084" s="65">
        <v>0</v>
      </c>
      <c r="J1084" t="s">
        <v>3314</v>
      </c>
      <c r="K1084" s="35" t="s">
        <v>909</v>
      </c>
      <c r="L1084" s="35" t="s">
        <v>3313</v>
      </c>
      <c r="M1084" s="39" t="str">
        <f>HYPERLINK("http://dx.doi.org/10.1093/jee/tov349","10.1093/jee/tov349")</f>
        <v>10.1093/jee/tov349</v>
      </c>
      <c r="N1084" s="40" t="s">
        <v>3143</v>
      </c>
      <c r="O1084" s="40" t="s">
        <v>744</v>
      </c>
      <c r="P1084" s="40" t="s">
        <v>3315</v>
      </c>
      <c r="Q1084" t="s">
        <v>316</v>
      </c>
    </row>
    <row r="1085" spans="1:17" x14ac:dyDescent="0.25">
      <c r="A1085" s="2" t="str">
        <f>HYPERLINK("https://www.ncbi.nlm.nih.gov/pubmed/26361738","26361738")</f>
        <v>26361738</v>
      </c>
      <c r="B1085">
        <f t="shared" si="71"/>
        <v>2</v>
      </c>
      <c r="C1085">
        <f t="shared" si="71"/>
        <v>0</v>
      </c>
      <c r="D1085">
        <f t="shared" si="71"/>
        <v>0</v>
      </c>
      <c r="E1085">
        <f t="shared" si="68"/>
        <v>2</v>
      </c>
      <c r="F1085">
        <v>2016</v>
      </c>
      <c r="G1085" t="s">
        <v>3395</v>
      </c>
      <c r="H1085">
        <v>0</v>
      </c>
      <c r="I1085" s="65">
        <v>0</v>
      </c>
      <c r="J1085" t="s">
        <v>1326</v>
      </c>
      <c r="K1085" s="35" t="s">
        <v>1859</v>
      </c>
      <c r="L1085" s="35" t="s">
        <v>3396</v>
      </c>
      <c r="M1085" s="39" t="str">
        <f>HYPERLINK("http://dx.doi.org/10.1016/j.bmc.2015.08.008","10.1016/j.bmc.2015.08.008")</f>
        <v>10.1016/j.bmc.2015.08.008</v>
      </c>
      <c r="N1085" s="40" t="s">
        <v>1188</v>
      </c>
      <c r="O1085" s="40" t="s">
        <v>750</v>
      </c>
      <c r="P1085" s="40" t="s">
        <v>3397</v>
      </c>
      <c r="Q1085" t="s">
        <v>316</v>
      </c>
    </row>
    <row r="1086" spans="1:17" x14ac:dyDescent="0.25">
      <c r="A1086" s="2" t="str">
        <f>HYPERLINK("https://www.ncbi.nlm.nih.gov/pubmed/26309315","26309315")</f>
        <v>26309315</v>
      </c>
      <c r="B1086">
        <f t="shared" si="71"/>
        <v>2</v>
      </c>
      <c r="C1086">
        <f t="shared" si="71"/>
        <v>0</v>
      </c>
      <c r="D1086">
        <f t="shared" si="71"/>
        <v>0</v>
      </c>
      <c r="E1086">
        <f t="shared" si="68"/>
        <v>2</v>
      </c>
      <c r="F1086">
        <v>2014</v>
      </c>
      <c r="G1086" t="s">
        <v>3405</v>
      </c>
      <c r="H1086">
        <v>0</v>
      </c>
      <c r="I1086" s="64" t="str">
        <f>HYPERLINK("https://www.ncbi.nlm.nih.gov/research/pubtator/?view=docsum&amp;query=PMC4599340","1")</f>
        <v>1</v>
      </c>
      <c r="J1086" t="s">
        <v>3407</v>
      </c>
      <c r="K1086" s="35" t="s">
        <v>1027</v>
      </c>
      <c r="L1086" s="35" t="s">
        <v>3406</v>
      </c>
      <c r="M1086" s="39" t="str">
        <f>HYPERLINK("http://dx.doi.org/10.1603/ME14083","10.1603/ME14083")</f>
        <v>10.1603/ME14083</v>
      </c>
      <c r="N1086" s="40" t="s">
        <v>1780</v>
      </c>
      <c r="O1086" s="40" t="s">
        <v>741</v>
      </c>
      <c r="P1086" s="40" t="s">
        <v>3408</v>
      </c>
      <c r="Q1086" t="s">
        <v>316</v>
      </c>
    </row>
    <row r="1087" spans="1:17" x14ac:dyDescent="0.25">
      <c r="A1087" s="2" t="str">
        <f>HYPERLINK("https://www.ncbi.nlm.nih.gov/pubmed/26282955","26282955")</f>
        <v>26282955</v>
      </c>
      <c r="B1087">
        <f t="shared" si="71"/>
        <v>2</v>
      </c>
      <c r="C1087">
        <f t="shared" si="71"/>
        <v>0</v>
      </c>
      <c r="D1087">
        <f t="shared" si="71"/>
        <v>0</v>
      </c>
      <c r="E1087">
        <f t="shared" si="68"/>
        <v>2</v>
      </c>
      <c r="F1087">
        <v>2016</v>
      </c>
      <c r="G1087" t="s">
        <v>3417</v>
      </c>
      <c r="H1087">
        <v>0</v>
      </c>
      <c r="I1087" s="65">
        <v>0</v>
      </c>
      <c r="J1087" t="s">
        <v>3418</v>
      </c>
      <c r="K1087" s="35" t="s">
        <v>3419</v>
      </c>
      <c r="L1087" s="35" t="s">
        <v>6912</v>
      </c>
      <c r="M1087" s="39" t="str">
        <f>HYPERLINK("http://dx.doi.org/10.1093/mutage/gev059","10.1093/mutage/gev059")</f>
        <v>10.1093/mutage/gev059</v>
      </c>
      <c r="N1087" s="40" t="s">
        <v>753</v>
      </c>
      <c r="O1087" s="40" t="s">
        <v>638</v>
      </c>
      <c r="P1087" s="40" t="s">
        <v>3420</v>
      </c>
      <c r="Q1087" t="s">
        <v>316</v>
      </c>
    </row>
    <row r="1088" spans="1:17" x14ac:dyDescent="0.25">
      <c r="A1088" s="2" t="str">
        <f>HYPERLINK("https://www.ncbi.nlm.nih.gov/pubmed/26152407","26152407")</f>
        <v>26152407</v>
      </c>
      <c r="B1088">
        <f t="shared" si="71"/>
        <v>2</v>
      </c>
      <c r="C1088">
        <f t="shared" si="71"/>
        <v>0</v>
      </c>
      <c r="D1088">
        <f t="shared" si="71"/>
        <v>0</v>
      </c>
      <c r="E1088">
        <f t="shared" si="68"/>
        <v>2</v>
      </c>
      <c r="F1088">
        <v>2015</v>
      </c>
      <c r="G1088" t="s">
        <v>3443</v>
      </c>
      <c r="H1088">
        <v>0</v>
      </c>
      <c r="I1088" s="65">
        <v>0</v>
      </c>
      <c r="J1088" t="s">
        <v>3445</v>
      </c>
      <c r="K1088" s="35" t="s">
        <v>1210</v>
      </c>
      <c r="L1088" s="35" t="s">
        <v>3444</v>
      </c>
      <c r="M1088" s="39" t="str">
        <f>HYPERLINK("http://dx.doi.org/10.1007/s00436-015-4512-1","10.1007/s00436-015-4512-1")</f>
        <v>10.1007/s00436-015-4512-1</v>
      </c>
      <c r="N1088" s="40" t="s">
        <v>3441</v>
      </c>
      <c r="O1088" s="40" t="s">
        <v>383</v>
      </c>
      <c r="P1088" s="40" t="s">
        <v>3446</v>
      </c>
      <c r="Q1088" t="s">
        <v>316</v>
      </c>
    </row>
    <row r="1089" spans="1:17" x14ac:dyDescent="0.25">
      <c r="A1089" s="2" t="str">
        <f>HYPERLINK("https://www.ncbi.nlm.nih.gov/pubmed/26138904","26138904")</f>
        <v>26138904</v>
      </c>
      <c r="B1089">
        <f t="shared" si="71"/>
        <v>2</v>
      </c>
      <c r="C1089">
        <f t="shared" si="71"/>
        <v>0</v>
      </c>
      <c r="D1089">
        <f t="shared" si="71"/>
        <v>0</v>
      </c>
      <c r="E1089">
        <f t="shared" si="68"/>
        <v>2</v>
      </c>
      <c r="F1089">
        <v>2015</v>
      </c>
      <c r="G1089" t="s">
        <v>3454</v>
      </c>
      <c r="H1089">
        <v>0</v>
      </c>
      <c r="I1089" s="65">
        <v>0</v>
      </c>
      <c r="J1089" t="s">
        <v>3455</v>
      </c>
      <c r="K1089" s="35" t="s">
        <v>670</v>
      </c>
      <c r="L1089" s="35" t="s">
        <v>6917</v>
      </c>
      <c r="M1089" s="39" t="str">
        <f>HYPERLINK("http://dx.doi.org/10.1016/j.scitotenv.2015.06.041","10.1016/j.scitotenv.2015.06.041")</f>
        <v>10.1016/j.scitotenv.2015.06.041</v>
      </c>
      <c r="N1089" s="40" t="s">
        <v>3456</v>
      </c>
      <c r="O1089" s="40" t="s">
        <v>383</v>
      </c>
      <c r="P1089" s="40" t="s">
        <v>3457</v>
      </c>
      <c r="Q1089" t="s">
        <v>316</v>
      </c>
    </row>
    <row r="1090" spans="1:17" x14ac:dyDescent="0.25">
      <c r="A1090" s="2" t="str">
        <f>HYPERLINK("https://www.ncbi.nlm.nih.gov/pubmed/26056913","26056913")</f>
        <v>26056913</v>
      </c>
      <c r="B1090">
        <f t="shared" si="71"/>
        <v>2</v>
      </c>
      <c r="C1090">
        <f t="shared" si="71"/>
        <v>0</v>
      </c>
      <c r="D1090">
        <f t="shared" si="71"/>
        <v>0</v>
      </c>
      <c r="E1090">
        <f t="shared" si="68"/>
        <v>2</v>
      </c>
      <c r="F1090">
        <v>2015</v>
      </c>
      <c r="G1090" t="s">
        <v>3470</v>
      </c>
      <c r="H1090">
        <v>0</v>
      </c>
      <c r="I1090" s="65">
        <v>0</v>
      </c>
      <c r="J1090" t="s">
        <v>3472</v>
      </c>
      <c r="K1090" s="35" t="s">
        <v>3473</v>
      </c>
      <c r="L1090" s="35" t="s">
        <v>3471</v>
      </c>
      <c r="M1090" s="39" t="str">
        <f>HYPERLINK("http://dx.doi.org/10.1638/2014-0251R.1","10.1638/2014-0251R.1")</f>
        <v>10.1638/2014-0251R.1</v>
      </c>
      <c r="N1090" s="40" t="s">
        <v>1229</v>
      </c>
      <c r="O1090" s="40" t="s">
        <v>744</v>
      </c>
      <c r="P1090" s="40" t="s">
        <v>3474</v>
      </c>
      <c r="Q1090" t="s">
        <v>316</v>
      </c>
    </row>
    <row r="1091" spans="1:17" x14ac:dyDescent="0.25">
      <c r="A1091" s="2" t="str">
        <f>HYPERLINK("https://www.ncbi.nlm.nih.gov/pubmed/26027956","26027956")</f>
        <v>26027956</v>
      </c>
      <c r="B1091">
        <f t="shared" si="71"/>
        <v>2</v>
      </c>
      <c r="C1091">
        <f t="shared" si="71"/>
        <v>0</v>
      </c>
      <c r="D1091">
        <f t="shared" si="71"/>
        <v>0</v>
      </c>
      <c r="E1091">
        <f t="shared" si="68"/>
        <v>2</v>
      </c>
      <c r="F1091">
        <v>2015</v>
      </c>
      <c r="G1091" t="s">
        <v>3478</v>
      </c>
      <c r="H1091">
        <v>0</v>
      </c>
      <c r="I1091" s="65">
        <v>0</v>
      </c>
      <c r="J1091" t="s">
        <v>3479</v>
      </c>
      <c r="K1091" s="35" t="s">
        <v>937</v>
      </c>
      <c r="L1091" s="35" t="s">
        <v>6921</v>
      </c>
      <c r="M1091" s="39" t="str">
        <f>HYPERLINK("http://dx.doi.org/10.1016/j.neuro.2015.05.007","10.1016/j.neuro.2015.05.007")</f>
        <v>10.1016/j.neuro.2015.05.007</v>
      </c>
      <c r="N1091" s="40" t="s">
        <v>2085</v>
      </c>
      <c r="O1091" s="40" t="s">
        <v>383</v>
      </c>
      <c r="P1091" s="40" t="s">
        <v>3480</v>
      </c>
      <c r="Q1091" t="s">
        <v>316</v>
      </c>
    </row>
    <row r="1092" spans="1:17" x14ac:dyDescent="0.25">
      <c r="A1092" s="2" t="str">
        <f>HYPERLINK("https://www.ncbi.nlm.nih.gov/pubmed/26013136","26013136")</f>
        <v>26013136</v>
      </c>
      <c r="B1092">
        <f t="shared" si="71"/>
        <v>2</v>
      </c>
      <c r="C1092">
        <f t="shared" si="71"/>
        <v>1</v>
      </c>
      <c r="D1092">
        <f t="shared" si="71"/>
        <v>0</v>
      </c>
      <c r="E1092">
        <f t="shared" ref="E1092:E1155" si="72">SUM(B1092:D1092)</f>
        <v>3</v>
      </c>
      <c r="F1092">
        <v>2015</v>
      </c>
      <c r="G1092" t="s">
        <v>3481</v>
      </c>
      <c r="H1092">
        <v>0</v>
      </c>
      <c r="I1092" s="65">
        <v>0</v>
      </c>
      <c r="J1092" t="s">
        <v>3483</v>
      </c>
      <c r="K1092" s="35" t="s">
        <v>3484</v>
      </c>
      <c r="L1092" s="35" t="s">
        <v>3482</v>
      </c>
      <c r="M1092" s="39" t="str">
        <f>HYPERLINK("http://dx.doi.org/10.1007/s13744-014-0268-z","10.1007/s13744-014-0268-z")</f>
        <v>10.1007/s13744-014-0268-z</v>
      </c>
      <c r="N1092" s="40" t="s">
        <v>2001</v>
      </c>
      <c r="O1092" s="40" t="s">
        <v>744</v>
      </c>
      <c r="P1092" s="40" t="s">
        <v>3485</v>
      </c>
      <c r="Q1092" t="s">
        <v>316</v>
      </c>
    </row>
    <row r="1093" spans="1:17" x14ac:dyDescent="0.25">
      <c r="A1093" s="2" t="str">
        <f>HYPERLINK("https://www.ncbi.nlm.nih.gov/pubmed/25629062","25629062")</f>
        <v>25629062</v>
      </c>
      <c r="B1093">
        <f t="shared" si="71"/>
        <v>2</v>
      </c>
      <c r="C1093">
        <f t="shared" si="71"/>
        <v>0</v>
      </c>
      <c r="D1093">
        <f t="shared" si="71"/>
        <v>0</v>
      </c>
      <c r="E1093">
        <f t="shared" si="72"/>
        <v>2</v>
      </c>
      <c r="F1093">
        <v>2014</v>
      </c>
      <c r="G1093" t="s">
        <v>3622</v>
      </c>
      <c r="H1093">
        <v>0</v>
      </c>
      <c r="I1093" s="64" t="str">
        <f>HYPERLINK("https://www.ncbi.nlm.nih.gov/research/pubtator/?view=docsum&amp;query=PMC4289508","1")</f>
        <v>1</v>
      </c>
      <c r="J1093" t="s">
        <v>3624</v>
      </c>
      <c r="K1093" s="35" t="s">
        <v>3625</v>
      </c>
      <c r="L1093" s="35" t="s">
        <v>3623</v>
      </c>
      <c r="M1093" s="39" t="str">
        <f>HYPERLINK("http://dx.doi.org/","")</f>
        <v/>
      </c>
      <c r="N1093" s="40" t="s">
        <v>781</v>
      </c>
      <c r="O1093" s="40" t="s">
        <v>638</v>
      </c>
      <c r="P1093" s="40" t="s">
        <v>3626</v>
      </c>
      <c r="Q1093" t="s">
        <v>316</v>
      </c>
    </row>
    <row r="1094" spans="1:17" x14ac:dyDescent="0.25">
      <c r="A1094" s="2" t="str">
        <f>HYPERLINK("https://www.ncbi.nlm.nih.gov/pubmed/25622552","25622552")</f>
        <v>25622552</v>
      </c>
      <c r="B1094">
        <f t="shared" si="71"/>
        <v>2</v>
      </c>
      <c r="C1094">
        <f t="shared" si="71"/>
        <v>0</v>
      </c>
      <c r="D1094">
        <f t="shared" si="71"/>
        <v>0</v>
      </c>
      <c r="E1094">
        <f t="shared" si="72"/>
        <v>2</v>
      </c>
      <c r="F1094">
        <v>2015</v>
      </c>
      <c r="G1094" t="s">
        <v>3642</v>
      </c>
      <c r="H1094">
        <v>0</v>
      </c>
      <c r="I1094" s="64" t="str">
        <f>HYPERLINK("https://www.ncbi.nlm.nih.gov/research/pubtator/?view=docsum&amp;query=PMC4311498","1")</f>
        <v>1</v>
      </c>
      <c r="J1094" t="s">
        <v>3644</v>
      </c>
      <c r="K1094" s="35" t="s">
        <v>870</v>
      </c>
      <c r="L1094" s="35" t="s">
        <v>3643</v>
      </c>
      <c r="M1094" s="39" t="str">
        <f>HYPERLINK("http://dx.doi.org/10.1186/s13071-015-0672-1","10.1186/s13071-015-0672-1")</f>
        <v>10.1186/s13071-015-0672-1</v>
      </c>
      <c r="N1094" s="40" t="s">
        <v>781</v>
      </c>
      <c r="O1094" s="40" t="s">
        <v>383</v>
      </c>
      <c r="P1094" s="40" t="s">
        <v>1730</v>
      </c>
      <c r="Q1094" t="s">
        <v>316</v>
      </c>
    </row>
    <row r="1095" spans="1:17" x14ac:dyDescent="0.25">
      <c r="A1095" s="2" t="str">
        <f>HYPERLINK("https://www.ncbi.nlm.nih.gov/pubmed/25296936","25296936")</f>
        <v>25296936</v>
      </c>
      <c r="B1095">
        <f t="shared" si="71"/>
        <v>2</v>
      </c>
      <c r="C1095">
        <f t="shared" si="71"/>
        <v>0</v>
      </c>
      <c r="D1095">
        <f t="shared" si="71"/>
        <v>0</v>
      </c>
      <c r="E1095">
        <f t="shared" si="72"/>
        <v>2</v>
      </c>
      <c r="F1095">
        <v>2015</v>
      </c>
      <c r="G1095" t="s">
        <v>3726</v>
      </c>
      <c r="H1095">
        <v>1</v>
      </c>
      <c r="I1095" s="64" t="str">
        <f>HYPERLINK("https://www.ncbi.nlm.nih.gov/research/pubtator/?view=docsum&amp;query=PMC4284366","1")</f>
        <v>1</v>
      </c>
      <c r="J1095" t="s">
        <v>3728</v>
      </c>
      <c r="K1095" s="35" t="s">
        <v>810</v>
      </c>
      <c r="L1095" s="35" t="s">
        <v>3727</v>
      </c>
      <c r="M1095" s="39" t="str">
        <f>HYPERLINK("http://dx.doi.org/10.1007/s11356-014-3229-5","10.1007/s11356-014-3229-5")</f>
        <v>10.1007/s11356-014-3229-5</v>
      </c>
      <c r="N1095" s="40" t="s">
        <v>1092</v>
      </c>
      <c r="O1095" s="40" t="s">
        <v>638</v>
      </c>
      <c r="P1095" s="40" t="s">
        <v>3729</v>
      </c>
      <c r="Q1095" t="s">
        <v>316</v>
      </c>
    </row>
    <row r="1096" spans="1:17" x14ac:dyDescent="0.25">
      <c r="A1096" s="2" t="str">
        <f>HYPERLINK("https://www.ncbi.nlm.nih.gov/pubmed/25258041","25258041")</f>
        <v>25258041</v>
      </c>
      <c r="B1096">
        <f t="shared" si="71"/>
        <v>2</v>
      </c>
      <c r="C1096">
        <f t="shared" si="71"/>
        <v>0</v>
      </c>
      <c r="D1096">
        <f t="shared" si="71"/>
        <v>0</v>
      </c>
      <c r="E1096">
        <f t="shared" si="72"/>
        <v>2</v>
      </c>
      <c r="F1096">
        <v>2014</v>
      </c>
      <c r="G1096" t="s">
        <v>3736</v>
      </c>
      <c r="H1096">
        <v>0</v>
      </c>
      <c r="I1096" s="65">
        <v>0</v>
      </c>
      <c r="J1096" t="s">
        <v>3738</v>
      </c>
      <c r="K1096" s="35" t="s">
        <v>1210</v>
      </c>
      <c r="L1096" s="35" t="s">
        <v>3737</v>
      </c>
      <c r="M1096" s="39" t="str">
        <f>HYPERLINK("http://dx.doi.org/10.1007/s00436-014-4126-z","10.1007/s00436-014-4126-z")</f>
        <v>10.1007/s00436-014-4126-z</v>
      </c>
      <c r="N1096" s="40" t="s">
        <v>1577</v>
      </c>
      <c r="O1096" s="40" t="s">
        <v>678</v>
      </c>
      <c r="P1096" s="40" t="s">
        <v>3739</v>
      </c>
      <c r="Q1096" t="s">
        <v>316</v>
      </c>
    </row>
    <row r="1097" spans="1:17" x14ac:dyDescent="0.25">
      <c r="A1097" s="2" t="str">
        <f>HYPERLINK("https://www.ncbi.nlm.nih.gov/pubmed/25195449","25195449")</f>
        <v>25195449</v>
      </c>
      <c r="B1097">
        <f t="shared" si="71"/>
        <v>2</v>
      </c>
      <c r="C1097">
        <f t="shared" si="71"/>
        <v>0</v>
      </c>
      <c r="D1097">
        <f t="shared" si="71"/>
        <v>0</v>
      </c>
      <c r="E1097">
        <f t="shared" si="72"/>
        <v>2</v>
      </c>
      <c r="F1097">
        <v>2014</v>
      </c>
      <c r="G1097" t="s">
        <v>3754</v>
      </c>
      <c r="H1097">
        <v>0</v>
      </c>
      <c r="I1097" s="65">
        <v>0</v>
      </c>
      <c r="J1097" t="s">
        <v>3756</v>
      </c>
      <c r="K1097" s="35" t="s">
        <v>909</v>
      </c>
      <c r="L1097" s="35" t="s">
        <v>3755</v>
      </c>
      <c r="M1097" s="39" t="str">
        <f>HYPERLINK("http://dx.doi.org/10.1603/ec14080","10.1603/ec14080")</f>
        <v>10.1603/ec14080</v>
      </c>
      <c r="N1097" s="40" t="s">
        <v>1990</v>
      </c>
      <c r="O1097" s="40" t="s">
        <v>690</v>
      </c>
      <c r="P1097" s="40" t="s">
        <v>3757</v>
      </c>
      <c r="Q1097" t="s">
        <v>316</v>
      </c>
    </row>
    <row r="1098" spans="1:17" x14ac:dyDescent="0.25">
      <c r="A1098" s="2" t="str">
        <f>HYPERLINK("https://www.ncbi.nlm.nih.gov/pubmed/25149248","25149248")</f>
        <v>25149248</v>
      </c>
      <c r="B1098">
        <f t="shared" si="71"/>
        <v>2</v>
      </c>
      <c r="C1098">
        <f t="shared" si="71"/>
        <v>0</v>
      </c>
      <c r="D1098">
        <f t="shared" si="71"/>
        <v>0</v>
      </c>
      <c r="E1098">
        <f t="shared" si="72"/>
        <v>2</v>
      </c>
      <c r="F1098">
        <v>2013</v>
      </c>
      <c r="G1098" t="s">
        <v>3767</v>
      </c>
      <c r="H1098">
        <v>0</v>
      </c>
      <c r="I1098" s="65">
        <v>0</v>
      </c>
      <c r="J1098" t="s">
        <v>3768</v>
      </c>
      <c r="K1098" s="35" t="s">
        <v>831</v>
      </c>
      <c r="L1098" s="35" t="s">
        <v>6964</v>
      </c>
      <c r="M1098" s="39" t="str">
        <f>HYPERLINK("http://dx.doi.org/10.1016/j.pestbp.2013.06.006","10.1016/j.pestbp.2013.06.006")</f>
        <v>10.1016/j.pestbp.2013.06.006</v>
      </c>
      <c r="N1098" s="40" t="s">
        <v>1990</v>
      </c>
      <c r="O1098" s="40" t="s">
        <v>638</v>
      </c>
      <c r="P1098" s="40" t="s">
        <v>3769</v>
      </c>
      <c r="Q1098" t="s">
        <v>316</v>
      </c>
    </row>
    <row r="1099" spans="1:17" x14ac:dyDescent="0.25">
      <c r="A1099" s="2" t="str">
        <f>HYPERLINK("https://www.ncbi.nlm.nih.gov/pubmed/25063914","25063914")</f>
        <v>25063914</v>
      </c>
      <c r="B1099">
        <f t="shared" si="71"/>
        <v>2</v>
      </c>
      <c r="C1099">
        <f t="shared" si="71"/>
        <v>0</v>
      </c>
      <c r="D1099">
        <f t="shared" si="71"/>
        <v>0</v>
      </c>
      <c r="E1099">
        <f t="shared" si="72"/>
        <v>2</v>
      </c>
      <c r="F1099">
        <v>2014</v>
      </c>
      <c r="G1099" t="s">
        <v>3806</v>
      </c>
      <c r="H1099">
        <v>0</v>
      </c>
      <c r="I1099" s="65">
        <v>0</v>
      </c>
      <c r="J1099" t="s">
        <v>3808</v>
      </c>
      <c r="K1099" s="35" t="s">
        <v>707</v>
      </c>
      <c r="L1099" s="35" t="s">
        <v>3807</v>
      </c>
      <c r="M1099" s="39" t="str">
        <f>HYPERLINK("http://dx.doi.org/10.1016/j.envpol.2014.07.003","10.1016/j.envpol.2014.07.003")</f>
        <v>10.1016/j.envpol.2014.07.003</v>
      </c>
      <c r="N1099" s="40" t="s">
        <v>1014</v>
      </c>
      <c r="O1099" s="40" t="s">
        <v>383</v>
      </c>
      <c r="P1099" s="40" t="s">
        <v>3809</v>
      </c>
      <c r="Q1099" t="s">
        <v>316</v>
      </c>
    </row>
    <row r="1100" spans="1:17" x14ac:dyDescent="0.25">
      <c r="A1100" s="2" t="str">
        <f>HYPERLINK("https://www.ncbi.nlm.nih.gov/pubmed/24947489","24947489")</f>
        <v>24947489</v>
      </c>
      <c r="B1100">
        <f t="shared" si="71"/>
        <v>2</v>
      </c>
      <c r="C1100">
        <f t="shared" si="71"/>
        <v>0</v>
      </c>
      <c r="D1100">
        <f t="shared" si="71"/>
        <v>0</v>
      </c>
      <c r="E1100">
        <f t="shared" si="72"/>
        <v>2</v>
      </c>
      <c r="F1100">
        <v>2015</v>
      </c>
      <c r="G1100" t="s">
        <v>3824</v>
      </c>
      <c r="H1100">
        <v>0</v>
      </c>
      <c r="I1100" s="65">
        <v>0</v>
      </c>
      <c r="J1100" t="s">
        <v>3825</v>
      </c>
      <c r="K1100" s="35" t="s">
        <v>3826</v>
      </c>
      <c r="L1100" s="35" t="s">
        <v>6971</v>
      </c>
      <c r="M1100" s="39" t="str">
        <f>HYPERLINK("http://dx.doi.org/10.1093/chromsci/bmu055","10.1093/chromsci/bmu055")</f>
        <v>10.1093/chromsci/bmu055</v>
      </c>
      <c r="N1100" s="40" t="s">
        <v>1730</v>
      </c>
      <c r="O1100" s="40" t="s">
        <v>744</v>
      </c>
      <c r="P1100" s="40" t="s">
        <v>3827</v>
      </c>
      <c r="Q1100" t="s">
        <v>316</v>
      </c>
    </row>
    <row r="1101" spans="1:17" x14ac:dyDescent="0.25">
      <c r="A1101" s="2" t="str">
        <f>HYPERLINK("https://www.ncbi.nlm.nih.gov/pubmed/24743188","24743188")</f>
        <v>24743188</v>
      </c>
      <c r="B1101">
        <f t="shared" si="71"/>
        <v>2</v>
      </c>
      <c r="C1101">
        <f t="shared" si="71"/>
        <v>0</v>
      </c>
      <c r="D1101">
        <f t="shared" si="71"/>
        <v>0</v>
      </c>
      <c r="E1101">
        <f t="shared" si="72"/>
        <v>2</v>
      </c>
      <c r="F1101">
        <v>2014</v>
      </c>
      <c r="G1101" t="s">
        <v>3862</v>
      </c>
      <c r="H1101">
        <v>0</v>
      </c>
      <c r="I1101" s="64" t="str">
        <f>HYPERLINK("https://www.ncbi.nlm.nih.gov/research/pubtator/?view=docsum&amp;query=PMC3990717","1")</f>
        <v>1</v>
      </c>
      <c r="J1101" t="s">
        <v>3863</v>
      </c>
      <c r="K1101" s="35" t="s">
        <v>779</v>
      </c>
      <c r="L1101" s="35" t="s">
        <v>6976</v>
      </c>
      <c r="M1101" s="39" t="str">
        <f>HYPERLINK("http://dx.doi.org/10.1371/journal.pone.0095636","10.1371/journal.pone.0095636")</f>
        <v>10.1371/journal.pone.0095636</v>
      </c>
      <c r="N1101" s="40" t="s">
        <v>660</v>
      </c>
      <c r="O1101" s="40" t="s">
        <v>690</v>
      </c>
      <c r="P1101" s="40" t="s">
        <v>3864</v>
      </c>
      <c r="Q1101" t="s">
        <v>316</v>
      </c>
    </row>
    <row r="1102" spans="1:17" x14ac:dyDescent="0.25">
      <c r="A1102" s="2" t="str">
        <f>HYPERLINK("https://www.ncbi.nlm.nih.gov/pubmed/24703077","24703077")</f>
        <v>24703077</v>
      </c>
      <c r="B1102">
        <f t="shared" si="71"/>
        <v>2</v>
      </c>
      <c r="C1102">
        <f t="shared" si="71"/>
        <v>1</v>
      </c>
      <c r="D1102">
        <f t="shared" si="71"/>
        <v>0</v>
      </c>
      <c r="E1102">
        <f t="shared" si="72"/>
        <v>3</v>
      </c>
      <c r="F1102">
        <v>2014</v>
      </c>
      <c r="G1102" t="s">
        <v>3886</v>
      </c>
      <c r="H1102">
        <v>0</v>
      </c>
      <c r="I1102" s="65">
        <v>0</v>
      </c>
      <c r="J1102" t="s">
        <v>3887</v>
      </c>
      <c r="K1102" s="35" t="s">
        <v>1052</v>
      </c>
      <c r="L1102" s="35" t="s">
        <v>6981</v>
      </c>
      <c r="M1102" s="39" t="str">
        <f>HYPERLINK("http://dx.doi.org/10.1016/j.vetpar.2014.02.039","10.1016/j.vetpar.2014.02.039")</f>
        <v>10.1016/j.vetpar.2014.02.039</v>
      </c>
      <c r="N1102" s="40" t="s">
        <v>2382</v>
      </c>
      <c r="O1102" s="40" t="s">
        <v>3531</v>
      </c>
      <c r="P1102" s="40" t="s">
        <v>3888</v>
      </c>
      <c r="Q1102" t="s">
        <v>316</v>
      </c>
    </row>
    <row r="1103" spans="1:17" x14ac:dyDescent="0.25">
      <c r="A1103" s="2" t="str">
        <f>HYPERLINK("https://www.ncbi.nlm.nih.gov/pubmed/24665716","24665716")</f>
        <v>24665716</v>
      </c>
      <c r="B1103">
        <f t="shared" si="71"/>
        <v>2</v>
      </c>
      <c r="C1103">
        <f t="shared" si="71"/>
        <v>0</v>
      </c>
      <c r="D1103">
        <f t="shared" si="71"/>
        <v>0</v>
      </c>
      <c r="E1103">
        <f t="shared" si="72"/>
        <v>2</v>
      </c>
      <c r="F1103">
        <v>2014</v>
      </c>
      <c r="G1103" t="s">
        <v>3927</v>
      </c>
      <c r="H1103">
        <v>0</v>
      </c>
      <c r="I1103" s="65">
        <v>0</v>
      </c>
      <c r="J1103" t="s">
        <v>3929</v>
      </c>
      <c r="K1103" s="35" t="s">
        <v>909</v>
      </c>
      <c r="L1103" s="35" t="s">
        <v>3928</v>
      </c>
      <c r="M1103" s="39" t="str">
        <f>HYPERLINK("http://dx.doi.org/10.1603/ec13262","10.1603/ec13262")</f>
        <v>10.1603/ec13262</v>
      </c>
      <c r="N1103" s="40" t="s">
        <v>1990</v>
      </c>
      <c r="O1103" s="40" t="s">
        <v>638</v>
      </c>
      <c r="P1103" s="40" t="s">
        <v>3930</v>
      </c>
      <c r="Q1103" t="s">
        <v>316</v>
      </c>
    </row>
    <row r="1104" spans="1:17" x14ac:dyDescent="0.25">
      <c r="A1104" s="2" t="str">
        <f>HYPERLINK("https://www.ncbi.nlm.nih.gov/pubmed/24646894","24646894")</f>
        <v>24646894</v>
      </c>
      <c r="B1104">
        <f t="shared" ref="B1104:D1123" si="73">IF(ISBLANK(B$3),0,(LEN($L1104) - LEN(SUBSTITUTE(LOWER($L1104),LOWER(B$3),"")))/LEN(B$3))</f>
        <v>2</v>
      </c>
      <c r="C1104">
        <f t="shared" si="73"/>
        <v>0</v>
      </c>
      <c r="D1104">
        <f t="shared" si="73"/>
        <v>0</v>
      </c>
      <c r="E1104">
        <f t="shared" si="72"/>
        <v>2</v>
      </c>
      <c r="F1104">
        <v>2014</v>
      </c>
      <c r="G1104" t="s">
        <v>3950</v>
      </c>
      <c r="H1104">
        <v>0</v>
      </c>
      <c r="I1104" s="64" t="str">
        <f>HYPERLINK("https://www.ncbi.nlm.nih.gov/research/pubtator/?view=docsum&amp;query=PMC3960157","1")</f>
        <v>1</v>
      </c>
      <c r="J1104" t="s">
        <v>3952</v>
      </c>
      <c r="K1104" s="35" t="s">
        <v>779</v>
      </c>
      <c r="L1104" s="35" t="s">
        <v>3951</v>
      </c>
      <c r="M1104" s="39" t="str">
        <f>HYPERLINK("http://dx.doi.org/10.1371/journal.pone.0091686","10.1371/journal.pone.0091686")</f>
        <v>10.1371/journal.pone.0091686</v>
      </c>
      <c r="N1104" s="40" t="s">
        <v>660</v>
      </c>
      <c r="O1104" s="40" t="s">
        <v>750</v>
      </c>
      <c r="P1104" s="40" t="s">
        <v>3953</v>
      </c>
      <c r="Q1104" t="s">
        <v>316</v>
      </c>
    </row>
    <row r="1105" spans="1:17" x14ac:dyDescent="0.25">
      <c r="A1105" s="2" t="str">
        <f>HYPERLINK("https://www.ncbi.nlm.nih.gov/pubmed/24365245","24365245")</f>
        <v>24365245</v>
      </c>
      <c r="B1105">
        <f t="shared" si="73"/>
        <v>2</v>
      </c>
      <c r="C1105">
        <f t="shared" si="73"/>
        <v>0</v>
      </c>
      <c r="D1105">
        <f t="shared" si="73"/>
        <v>0</v>
      </c>
      <c r="E1105">
        <f t="shared" si="72"/>
        <v>2</v>
      </c>
      <c r="F1105">
        <v>2014</v>
      </c>
      <c r="G1105" t="s">
        <v>4020</v>
      </c>
      <c r="H1105">
        <v>0</v>
      </c>
      <c r="I1105" s="65">
        <v>0</v>
      </c>
      <c r="J1105" t="s">
        <v>4021</v>
      </c>
      <c r="K1105" s="35" t="s">
        <v>1052</v>
      </c>
      <c r="L1105" s="35" t="s">
        <v>6999</v>
      </c>
      <c r="M1105" s="39" t="str">
        <f>HYPERLINK("http://dx.doi.org/10.1016/j.vetpar.2013.11.025","10.1016/j.vetpar.2013.11.025")</f>
        <v>10.1016/j.vetpar.2013.11.025</v>
      </c>
      <c r="N1105" s="40" t="s">
        <v>4022</v>
      </c>
      <c r="O1105" s="40" t="s">
        <v>3531</v>
      </c>
      <c r="P1105" s="40" t="s">
        <v>4023</v>
      </c>
      <c r="Q1105" t="s">
        <v>316</v>
      </c>
    </row>
    <row r="1106" spans="1:17" x14ac:dyDescent="0.25">
      <c r="A1106" s="2" t="str">
        <f>HYPERLINK("https://www.ncbi.nlm.nih.gov/pubmed/24291284","24291284")</f>
        <v>24291284</v>
      </c>
      <c r="B1106">
        <f t="shared" si="73"/>
        <v>2</v>
      </c>
      <c r="C1106">
        <f t="shared" si="73"/>
        <v>0</v>
      </c>
      <c r="D1106">
        <f t="shared" si="73"/>
        <v>0</v>
      </c>
      <c r="E1106">
        <f t="shared" si="72"/>
        <v>2</v>
      </c>
      <c r="F1106">
        <v>2014</v>
      </c>
      <c r="G1106" t="s">
        <v>4051</v>
      </c>
      <c r="H1106">
        <v>0</v>
      </c>
      <c r="I1106" s="65">
        <v>0</v>
      </c>
      <c r="J1106" t="s">
        <v>4052</v>
      </c>
      <c r="K1106" s="35" t="s">
        <v>2206</v>
      </c>
      <c r="L1106" s="35" t="s">
        <v>7003</v>
      </c>
      <c r="M1106" s="39" t="str">
        <f>HYPERLINK("http://dx.doi.org/10.1016/j.ibmb.2013.11.004","10.1016/j.ibmb.2013.11.004")</f>
        <v>10.1016/j.ibmb.2013.11.004</v>
      </c>
      <c r="N1106" s="40" t="s">
        <v>765</v>
      </c>
      <c r="O1106" s="40" t="s">
        <v>383</v>
      </c>
      <c r="P1106" s="40" t="s">
        <v>4053</v>
      </c>
      <c r="Q1106" t="s">
        <v>316</v>
      </c>
    </row>
    <row r="1107" spans="1:17" x14ac:dyDescent="0.25">
      <c r="A1107" s="2" t="str">
        <f>HYPERLINK("https://www.ncbi.nlm.nih.gov/pubmed/24086770","24086770")</f>
        <v>24086770</v>
      </c>
      <c r="B1107">
        <f t="shared" si="73"/>
        <v>2</v>
      </c>
      <c r="C1107">
        <f t="shared" si="73"/>
        <v>0</v>
      </c>
      <c r="D1107">
        <f t="shared" si="73"/>
        <v>0</v>
      </c>
      <c r="E1107">
        <f t="shared" si="72"/>
        <v>2</v>
      </c>
      <c r="F1107">
        <v>2013</v>
      </c>
      <c r="G1107" t="s">
        <v>4081</v>
      </c>
      <c r="H1107">
        <v>0</v>
      </c>
      <c r="I1107" s="64" t="str">
        <f>HYPERLINK("https://www.ncbi.nlm.nih.gov/research/pubtator/?view=docsum&amp;query=PMC3782437","1")</f>
        <v>1</v>
      </c>
      <c r="J1107" t="s">
        <v>4083</v>
      </c>
      <c r="K1107" s="35" t="s">
        <v>779</v>
      </c>
      <c r="L1107" s="35" t="s">
        <v>4082</v>
      </c>
      <c r="M1107" s="39" t="str">
        <f>HYPERLINK("http://dx.doi.org/10.1371/journal.pone.0077225","10.1371/journal.pone.0077225")</f>
        <v>10.1371/journal.pone.0077225</v>
      </c>
      <c r="N1107" s="40" t="s">
        <v>781</v>
      </c>
      <c r="O1107" s="40" t="s">
        <v>660</v>
      </c>
      <c r="P1107" s="40" t="s">
        <v>4084</v>
      </c>
      <c r="Q1107" t="s">
        <v>316</v>
      </c>
    </row>
    <row r="1108" spans="1:17" x14ac:dyDescent="0.25">
      <c r="A1108" s="2" t="str">
        <f>HYPERLINK("https://www.ncbi.nlm.nih.gov/pubmed/24020300","24020300")</f>
        <v>24020300</v>
      </c>
      <c r="B1108">
        <f t="shared" si="73"/>
        <v>2</v>
      </c>
      <c r="C1108">
        <f t="shared" si="73"/>
        <v>0</v>
      </c>
      <c r="D1108">
        <f t="shared" si="73"/>
        <v>0</v>
      </c>
      <c r="E1108">
        <f t="shared" si="72"/>
        <v>2</v>
      </c>
      <c r="F1108">
        <v>2013</v>
      </c>
      <c r="G1108" t="s">
        <v>4090</v>
      </c>
      <c r="H1108">
        <v>0</v>
      </c>
      <c r="I1108" s="65">
        <v>0</v>
      </c>
      <c r="J1108" t="s">
        <v>4091</v>
      </c>
      <c r="K1108" s="35" t="s">
        <v>909</v>
      </c>
      <c r="L1108" s="35" t="s">
        <v>7007</v>
      </c>
      <c r="M1108" s="39" t="str">
        <f>HYPERLINK("http://dx.doi.org/10.1603/ec12469","10.1603/ec12469")</f>
        <v>10.1603/ec12469</v>
      </c>
      <c r="N1108" s="40" t="s">
        <v>3978</v>
      </c>
      <c r="O1108" s="40" t="s">
        <v>690</v>
      </c>
      <c r="P1108" s="40" t="s">
        <v>4092</v>
      </c>
      <c r="Q1108" t="s">
        <v>316</v>
      </c>
    </row>
    <row r="1109" spans="1:17" x14ac:dyDescent="0.25">
      <c r="A1109" s="2" t="str">
        <f>HYPERLINK("https://www.ncbi.nlm.nih.gov/pubmed/24018180","24018180")</f>
        <v>24018180</v>
      </c>
      <c r="B1109">
        <f t="shared" si="73"/>
        <v>2</v>
      </c>
      <c r="C1109">
        <f t="shared" si="73"/>
        <v>3</v>
      </c>
      <c r="D1109">
        <f t="shared" si="73"/>
        <v>0</v>
      </c>
      <c r="E1109">
        <f t="shared" si="72"/>
        <v>5</v>
      </c>
      <c r="F1109">
        <v>2013</v>
      </c>
      <c r="G1109" t="s">
        <v>4093</v>
      </c>
      <c r="H1109">
        <v>0</v>
      </c>
      <c r="I1109" s="65">
        <v>0</v>
      </c>
      <c r="J1109" t="s">
        <v>4095</v>
      </c>
      <c r="K1109" s="35" t="s">
        <v>3941</v>
      </c>
      <c r="L1109" s="35" t="s">
        <v>4094</v>
      </c>
      <c r="M1109" s="39" t="str">
        <f>HYPERLINK("http://dx.doi.org/10.1016/j.cimid.2013.08.002","10.1016/j.cimid.2013.08.002")</f>
        <v>10.1016/j.cimid.2013.08.002</v>
      </c>
      <c r="N1109" s="40" t="s">
        <v>639</v>
      </c>
      <c r="O1109" s="40" t="s">
        <v>741</v>
      </c>
      <c r="P1109" s="40" t="s">
        <v>4096</v>
      </c>
      <c r="Q1109" t="s">
        <v>316</v>
      </c>
    </row>
    <row r="1110" spans="1:17" x14ac:dyDescent="0.25">
      <c r="A1110" s="2" t="str">
        <f>HYPERLINK("https://www.ncbi.nlm.nih.gov/pubmed/23827041","23827041")</f>
        <v>23827041</v>
      </c>
      <c r="B1110">
        <f t="shared" si="73"/>
        <v>2</v>
      </c>
      <c r="C1110">
        <f t="shared" si="73"/>
        <v>0</v>
      </c>
      <c r="D1110">
        <f t="shared" si="73"/>
        <v>0</v>
      </c>
      <c r="E1110">
        <f t="shared" si="72"/>
        <v>2</v>
      </c>
      <c r="F1110">
        <v>2013</v>
      </c>
      <c r="G1110" t="s">
        <v>4138</v>
      </c>
      <c r="H1110">
        <v>0</v>
      </c>
      <c r="I1110" s="65">
        <v>0</v>
      </c>
      <c r="J1110" t="s">
        <v>4139</v>
      </c>
      <c r="K1110" s="35" t="s">
        <v>1052</v>
      </c>
      <c r="L1110" s="35" t="s">
        <v>7013</v>
      </c>
      <c r="M1110" s="39" t="str">
        <f>HYPERLINK("http://dx.doi.org/10.1016/j.vetpar.2013.06.004","10.1016/j.vetpar.2013.06.004")</f>
        <v>10.1016/j.vetpar.2013.06.004</v>
      </c>
      <c r="N1110" s="40" t="s">
        <v>665</v>
      </c>
      <c r="O1110" s="40" t="s">
        <v>3531</v>
      </c>
      <c r="P1110" s="40" t="s">
        <v>4140</v>
      </c>
      <c r="Q1110" t="s">
        <v>316</v>
      </c>
    </row>
    <row r="1111" spans="1:17" x14ac:dyDescent="0.25">
      <c r="A1111" s="2" t="str">
        <f>HYPERLINK("https://www.ncbi.nlm.nih.gov/pubmed/23786089","23786089")</f>
        <v>23786089</v>
      </c>
      <c r="B1111">
        <f t="shared" si="73"/>
        <v>2</v>
      </c>
      <c r="C1111">
        <f t="shared" si="73"/>
        <v>0</v>
      </c>
      <c r="D1111">
        <f t="shared" si="73"/>
        <v>0</v>
      </c>
      <c r="E1111">
        <f t="shared" si="72"/>
        <v>2</v>
      </c>
      <c r="F1111">
        <v>2013</v>
      </c>
      <c r="G1111" t="s">
        <v>4141</v>
      </c>
      <c r="H1111">
        <v>0</v>
      </c>
      <c r="I1111" s="65">
        <v>0</v>
      </c>
      <c r="J1111" t="s">
        <v>4143</v>
      </c>
      <c r="K1111" s="35" t="s">
        <v>909</v>
      </c>
      <c r="L1111" s="35" t="s">
        <v>4142</v>
      </c>
      <c r="M1111" s="39" t="str">
        <f>HYPERLINK("http://dx.doi.org/10.1603/ec12434","10.1603/ec12434")</f>
        <v>10.1603/ec12434</v>
      </c>
      <c r="N1111" s="40" t="s">
        <v>3978</v>
      </c>
      <c r="O1111" s="40" t="s">
        <v>744</v>
      </c>
      <c r="P1111" s="40" t="s">
        <v>4144</v>
      </c>
      <c r="Q1111" t="s">
        <v>316</v>
      </c>
    </row>
    <row r="1112" spans="1:17" x14ac:dyDescent="0.25">
      <c r="A1112" s="2" t="str">
        <f>HYPERLINK("https://www.ncbi.nlm.nih.gov/pubmed/23708538","23708538")</f>
        <v>23708538</v>
      </c>
      <c r="B1112">
        <f t="shared" si="73"/>
        <v>2</v>
      </c>
      <c r="C1112">
        <f t="shared" si="73"/>
        <v>2</v>
      </c>
      <c r="D1112">
        <f t="shared" si="73"/>
        <v>0</v>
      </c>
      <c r="E1112">
        <f t="shared" si="72"/>
        <v>4</v>
      </c>
      <c r="F1112">
        <v>2013</v>
      </c>
      <c r="G1112" t="s">
        <v>4167</v>
      </c>
      <c r="H1112">
        <v>0</v>
      </c>
      <c r="I1112" s="65">
        <v>0</v>
      </c>
      <c r="J1112" t="s">
        <v>4169</v>
      </c>
      <c r="K1112" s="35" t="s">
        <v>1162</v>
      </c>
      <c r="L1112" s="35" t="s">
        <v>4168</v>
      </c>
      <c r="M1112" s="39" t="str">
        <f>HYPERLINK("http://dx.doi.org/10.1016/j.talanta.2013.03.054","10.1016/j.talanta.2013.03.054")</f>
        <v>10.1016/j.talanta.2013.03.054</v>
      </c>
      <c r="N1112" s="40" t="s">
        <v>2026</v>
      </c>
      <c r="O1112" s="40" t="s">
        <v>383</v>
      </c>
      <c r="P1112" s="40" t="s">
        <v>3294</v>
      </c>
      <c r="Q1112" t="s">
        <v>316</v>
      </c>
    </row>
    <row r="1113" spans="1:17" x14ac:dyDescent="0.25">
      <c r="A1113" s="2" t="str">
        <f>HYPERLINK("https://www.ncbi.nlm.nih.gov/pubmed/23427669","23427669")</f>
        <v>23427669</v>
      </c>
      <c r="B1113">
        <f t="shared" si="73"/>
        <v>2</v>
      </c>
      <c r="C1113">
        <f t="shared" si="73"/>
        <v>0</v>
      </c>
      <c r="D1113">
        <f t="shared" si="73"/>
        <v>0</v>
      </c>
      <c r="E1113">
        <f t="shared" si="72"/>
        <v>2</v>
      </c>
      <c r="F1113">
        <v>2013</v>
      </c>
      <c r="G1113" t="s">
        <v>4224</v>
      </c>
      <c r="H1113">
        <v>0</v>
      </c>
      <c r="I1113" s="65">
        <v>0</v>
      </c>
      <c r="J1113" t="s">
        <v>4225</v>
      </c>
      <c r="K1113" s="35" t="s">
        <v>1027</v>
      </c>
      <c r="L1113" s="35" t="s">
        <v>7027</v>
      </c>
      <c r="M1113" s="39" t="str">
        <f>HYPERLINK("http://dx.doi.org/10.1603/me12112","10.1603/me12112")</f>
        <v>10.1603/me12112</v>
      </c>
      <c r="N1113" s="40" t="s">
        <v>743</v>
      </c>
      <c r="O1113" s="40" t="s">
        <v>638</v>
      </c>
      <c r="P1113" s="40" t="s">
        <v>4226</v>
      </c>
      <c r="Q1113" t="s">
        <v>316</v>
      </c>
    </row>
    <row r="1114" spans="1:17" x14ac:dyDescent="0.25">
      <c r="A1114" s="2" t="str">
        <f>HYPERLINK("https://www.ncbi.nlm.nih.gov/pubmed/23270163","23270163")</f>
        <v>23270163</v>
      </c>
      <c r="B1114">
        <f t="shared" si="73"/>
        <v>2</v>
      </c>
      <c r="C1114">
        <f t="shared" si="73"/>
        <v>0</v>
      </c>
      <c r="D1114">
        <f t="shared" si="73"/>
        <v>0</v>
      </c>
      <c r="E1114">
        <f t="shared" si="72"/>
        <v>2</v>
      </c>
      <c r="F1114">
        <v>2012</v>
      </c>
      <c r="G1114" t="s">
        <v>4266</v>
      </c>
      <c r="H1114">
        <v>0</v>
      </c>
      <c r="I1114" s="65">
        <v>0</v>
      </c>
      <c r="J1114" t="s">
        <v>4267</v>
      </c>
      <c r="K1114" s="35" t="s">
        <v>1027</v>
      </c>
      <c r="L1114" s="35" t="s">
        <v>7033</v>
      </c>
      <c r="M1114" s="39" t="str">
        <f>HYPERLINK("http://dx.doi.org/10.1603/me12070","10.1603/me12070")</f>
        <v>10.1603/me12070</v>
      </c>
      <c r="N1114" s="40" t="s">
        <v>2085</v>
      </c>
      <c r="O1114" s="40" t="s">
        <v>741</v>
      </c>
      <c r="P1114" s="40" t="s">
        <v>4268</v>
      </c>
      <c r="Q1114" t="s">
        <v>316</v>
      </c>
    </row>
    <row r="1115" spans="1:17" x14ac:dyDescent="0.25">
      <c r="A1115" s="2" t="str">
        <f>HYPERLINK("https://www.ncbi.nlm.nih.gov/pubmed/22753338","22753338")</f>
        <v>22753338</v>
      </c>
      <c r="B1115">
        <f t="shared" si="73"/>
        <v>2</v>
      </c>
      <c r="C1115">
        <f t="shared" si="73"/>
        <v>5</v>
      </c>
      <c r="D1115">
        <f t="shared" si="73"/>
        <v>0</v>
      </c>
      <c r="E1115">
        <f t="shared" si="72"/>
        <v>7</v>
      </c>
      <c r="F1115">
        <v>2012</v>
      </c>
      <c r="G1115" t="s">
        <v>4380</v>
      </c>
      <c r="H1115">
        <v>0</v>
      </c>
      <c r="I1115" s="65">
        <v>0</v>
      </c>
      <c r="J1115" t="s">
        <v>4382</v>
      </c>
      <c r="K1115" s="35" t="s">
        <v>968</v>
      </c>
      <c r="L1115" s="35" t="s">
        <v>4381</v>
      </c>
      <c r="M1115" s="39" t="str">
        <f>HYPERLINK("http://dx.doi.org/10.1002/ps.3343","10.1002/ps.3343")</f>
        <v>10.1002/ps.3343</v>
      </c>
      <c r="N1115" s="40" t="s">
        <v>1200</v>
      </c>
      <c r="O1115" s="40" t="s">
        <v>915</v>
      </c>
      <c r="P1115" s="40" t="s">
        <v>4383</v>
      </c>
      <c r="Q1115" t="s">
        <v>316</v>
      </c>
    </row>
    <row r="1116" spans="1:17" x14ac:dyDescent="0.25">
      <c r="A1116" s="2" t="str">
        <f>HYPERLINK("https://www.ncbi.nlm.nih.gov/pubmed/22420260","22420260")</f>
        <v>22420260</v>
      </c>
      <c r="B1116">
        <f t="shared" si="73"/>
        <v>2</v>
      </c>
      <c r="C1116">
        <f t="shared" si="73"/>
        <v>2</v>
      </c>
      <c r="D1116">
        <f t="shared" si="73"/>
        <v>0</v>
      </c>
      <c r="E1116">
        <f t="shared" si="72"/>
        <v>4</v>
      </c>
      <c r="F1116">
        <v>2012</v>
      </c>
      <c r="G1116" t="s">
        <v>4452</v>
      </c>
      <c r="H1116">
        <v>0</v>
      </c>
      <c r="I1116" s="65">
        <v>0</v>
      </c>
      <c r="J1116" t="s">
        <v>4453</v>
      </c>
      <c r="K1116" s="35" t="s">
        <v>909</v>
      </c>
      <c r="L1116" s="35" t="s">
        <v>7051</v>
      </c>
      <c r="M1116" s="39" t="str">
        <f>HYPERLINK("http://dx.doi.org/10.1603/ec11259","10.1603/ec11259")</f>
        <v>10.1603/ec11259</v>
      </c>
      <c r="N1116" s="40" t="s">
        <v>3018</v>
      </c>
      <c r="O1116" s="40" t="s">
        <v>638</v>
      </c>
      <c r="P1116" s="40" t="s">
        <v>4454</v>
      </c>
      <c r="Q1116" t="s">
        <v>316</v>
      </c>
    </row>
    <row r="1117" spans="1:17" x14ac:dyDescent="0.25">
      <c r="A1117" s="2" t="str">
        <f>HYPERLINK("https://www.ncbi.nlm.nih.gov/pubmed/22331616","22331616")</f>
        <v>22331616</v>
      </c>
      <c r="B1117">
        <f t="shared" si="73"/>
        <v>2</v>
      </c>
      <c r="C1117">
        <f t="shared" si="73"/>
        <v>0</v>
      </c>
      <c r="D1117">
        <f t="shared" si="73"/>
        <v>0</v>
      </c>
      <c r="E1117">
        <f t="shared" si="72"/>
        <v>2</v>
      </c>
      <c r="F1117">
        <v>2012</v>
      </c>
      <c r="G1117" t="s">
        <v>4463</v>
      </c>
      <c r="H1117">
        <v>0</v>
      </c>
      <c r="I1117" s="65">
        <v>0</v>
      </c>
      <c r="J1117" t="s">
        <v>4464</v>
      </c>
      <c r="K1117" s="35" t="s">
        <v>755</v>
      </c>
      <c r="L1117" s="35" t="s">
        <v>7052</v>
      </c>
      <c r="M1117" s="39" t="str">
        <f>HYPERLINK("http://dx.doi.org/10.1002/etc.1766","10.1002/etc.1766")</f>
        <v>10.1002/etc.1766</v>
      </c>
      <c r="N1117" s="40" t="s">
        <v>753</v>
      </c>
      <c r="O1117" s="40" t="s">
        <v>746</v>
      </c>
      <c r="P1117" s="40" t="s">
        <v>4465</v>
      </c>
      <c r="Q1117" t="s">
        <v>316</v>
      </c>
    </row>
    <row r="1118" spans="1:17" x14ac:dyDescent="0.25">
      <c r="A1118" s="2" t="str">
        <f>HYPERLINK("https://www.ncbi.nlm.nih.gov/pubmed/22299364","22299364")</f>
        <v>22299364</v>
      </c>
      <c r="B1118">
        <f t="shared" si="73"/>
        <v>2</v>
      </c>
      <c r="C1118">
        <f t="shared" si="73"/>
        <v>0</v>
      </c>
      <c r="D1118">
        <f t="shared" si="73"/>
        <v>0</v>
      </c>
      <c r="E1118">
        <f t="shared" si="72"/>
        <v>2</v>
      </c>
      <c r="F1118">
        <v>2011</v>
      </c>
      <c r="G1118" t="s">
        <v>4477</v>
      </c>
      <c r="H1118">
        <v>0</v>
      </c>
      <c r="I1118" s="65">
        <v>0</v>
      </c>
      <c r="J1118" t="s">
        <v>4479</v>
      </c>
      <c r="K1118" s="35" t="s">
        <v>909</v>
      </c>
      <c r="L1118" s="35" t="s">
        <v>4478</v>
      </c>
      <c r="M1118" s="39" t="str">
        <f>HYPERLINK("http://dx.doi.org/10.1603/ec11131","10.1603/ec11131")</f>
        <v>10.1603/ec11131</v>
      </c>
      <c r="N1118" s="40" t="s">
        <v>2207</v>
      </c>
      <c r="O1118" s="40" t="s">
        <v>741</v>
      </c>
      <c r="P1118" s="40" t="s">
        <v>4480</v>
      </c>
      <c r="Q1118" t="s">
        <v>316</v>
      </c>
    </row>
    <row r="1119" spans="1:17" x14ac:dyDescent="0.25">
      <c r="A1119" s="2" t="str">
        <f>HYPERLINK("https://www.ncbi.nlm.nih.gov/pubmed/26467947","26467947")</f>
        <v>26467947</v>
      </c>
      <c r="B1119">
        <f t="shared" si="73"/>
        <v>2</v>
      </c>
      <c r="C1119">
        <f t="shared" si="73"/>
        <v>0</v>
      </c>
      <c r="D1119">
        <f t="shared" si="73"/>
        <v>0</v>
      </c>
      <c r="E1119">
        <f t="shared" si="72"/>
        <v>2</v>
      </c>
      <c r="F1119">
        <v>2012</v>
      </c>
      <c r="G1119" t="s">
        <v>4496</v>
      </c>
      <c r="H1119">
        <v>0</v>
      </c>
      <c r="I1119" s="64" t="str">
        <f>HYPERLINK("https://www.ncbi.nlm.nih.gov/research/pubtator/?view=docsum&amp;query=PMC4553615","1")</f>
        <v>1</v>
      </c>
      <c r="J1119" t="s">
        <v>4498</v>
      </c>
      <c r="K1119" s="35" t="s">
        <v>925</v>
      </c>
      <c r="L1119" s="35" t="s">
        <v>4497</v>
      </c>
      <c r="M1119" s="39" t="str">
        <f>HYPERLINK("http://dx.doi.org/10.3390/insects3010025","10.3390/insects3010025")</f>
        <v>10.3390/insects3010025</v>
      </c>
      <c r="N1119" s="40" t="s">
        <v>750</v>
      </c>
      <c r="O1119" s="40" t="s">
        <v>638</v>
      </c>
      <c r="P1119" s="40" t="s">
        <v>4499</v>
      </c>
      <c r="Q1119" t="s">
        <v>316</v>
      </c>
    </row>
    <row r="1120" spans="1:17" x14ac:dyDescent="0.25">
      <c r="A1120" s="2" t="str">
        <f>HYPERLINK("https://www.ncbi.nlm.nih.gov/pubmed/22076820","22076820")</f>
        <v>22076820</v>
      </c>
      <c r="B1120">
        <f t="shared" si="73"/>
        <v>2</v>
      </c>
      <c r="C1120">
        <f t="shared" si="73"/>
        <v>2</v>
      </c>
      <c r="D1120">
        <f t="shared" si="73"/>
        <v>0</v>
      </c>
      <c r="E1120">
        <f t="shared" si="72"/>
        <v>4</v>
      </c>
      <c r="F1120">
        <v>2012</v>
      </c>
      <c r="G1120" t="s">
        <v>4517</v>
      </c>
      <c r="H1120">
        <v>0</v>
      </c>
      <c r="I1120" s="65">
        <v>0</v>
      </c>
      <c r="J1120" t="s">
        <v>4519</v>
      </c>
      <c r="K1120" s="35" t="s">
        <v>968</v>
      </c>
      <c r="L1120" s="35" t="s">
        <v>4518</v>
      </c>
      <c r="M1120" s="39" t="str">
        <f>HYPERLINK("http://dx.doi.org/10.1002/ps.2322","10.1002/ps.2322")</f>
        <v>10.1002/ps.2322</v>
      </c>
      <c r="N1120" s="40" t="s">
        <v>1200</v>
      </c>
      <c r="O1120" s="40" t="s">
        <v>746</v>
      </c>
      <c r="P1120" s="40" t="s">
        <v>4520</v>
      </c>
      <c r="Q1120" t="s">
        <v>316</v>
      </c>
    </row>
    <row r="1121" spans="1:17" x14ac:dyDescent="0.25">
      <c r="A1121" s="2" t="str">
        <f>HYPERLINK("https://www.ncbi.nlm.nih.gov/pubmed/22075040","22075040")</f>
        <v>22075040</v>
      </c>
      <c r="B1121">
        <f t="shared" si="73"/>
        <v>2</v>
      </c>
      <c r="C1121">
        <f t="shared" si="73"/>
        <v>0</v>
      </c>
      <c r="D1121">
        <f t="shared" si="73"/>
        <v>0</v>
      </c>
      <c r="E1121">
        <f t="shared" si="72"/>
        <v>2</v>
      </c>
      <c r="F1121">
        <v>2012</v>
      </c>
      <c r="G1121" t="s">
        <v>4521</v>
      </c>
      <c r="H1121">
        <v>0</v>
      </c>
      <c r="I1121" s="65">
        <v>0</v>
      </c>
      <c r="J1121" t="s">
        <v>4522</v>
      </c>
      <c r="K1121" s="35" t="s">
        <v>1052</v>
      </c>
      <c r="L1121" s="35" t="s">
        <v>7060</v>
      </c>
      <c r="M1121" s="39" t="str">
        <f>HYPERLINK("http://dx.doi.org/10.1016/j.vetpar.2011.10.006","10.1016/j.vetpar.2011.10.006")</f>
        <v>10.1016/j.vetpar.2011.10.006</v>
      </c>
      <c r="N1121" s="40" t="s">
        <v>4129</v>
      </c>
      <c r="O1121" s="40" t="s">
        <v>4523</v>
      </c>
      <c r="P1121" s="40" t="s">
        <v>4524</v>
      </c>
      <c r="Q1121" t="s">
        <v>316</v>
      </c>
    </row>
    <row r="1122" spans="1:17" x14ac:dyDescent="0.25">
      <c r="A1122" s="2" t="str">
        <f>HYPERLINK("https://www.ncbi.nlm.nih.gov/pubmed/22073016","22073016")</f>
        <v>22073016</v>
      </c>
      <c r="B1122">
        <f t="shared" si="73"/>
        <v>2</v>
      </c>
      <c r="C1122">
        <f t="shared" si="73"/>
        <v>0</v>
      </c>
      <c r="D1122">
        <f t="shared" si="73"/>
        <v>0</v>
      </c>
      <c r="E1122">
        <f t="shared" si="72"/>
        <v>2</v>
      </c>
      <c r="F1122">
        <v>2011</v>
      </c>
      <c r="G1122" t="s">
        <v>4525</v>
      </c>
      <c r="H1122">
        <v>0</v>
      </c>
      <c r="I1122" s="64" t="str">
        <f>HYPERLINK("https://www.ncbi.nlm.nih.gov/research/pubtator/?view=docsum&amp;query=PMC3210585","1")</f>
        <v>1</v>
      </c>
      <c r="J1122" t="s">
        <v>4527</v>
      </c>
      <c r="K1122" s="35" t="s">
        <v>658</v>
      </c>
      <c r="L1122" s="35" t="s">
        <v>4526</v>
      </c>
      <c r="M1122" s="39" t="str">
        <f>HYPERLINK("http://dx.doi.org/10.3390/ijerph8103844","10.3390/ijerph8103844")</f>
        <v>10.3390/ijerph8103844</v>
      </c>
      <c r="N1122" s="40" t="s">
        <v>781</v>
      </c>
      <c r="O1122" s="40" t="s">
        <v>802</v>
      </c>
      <c r="P1122" s="40" t="s">
        <v>4528</v>
      </c>
      <c r="Q1122" t="s">
        <v>316</v>
      </c>
    </row>
    <row r="1123" spans="1:17" x14ac:dyDescent="0.25">
      <c r="A1123" s="2" t="str">
        <f>HYPERLINK("https://www.ncbi.nlm.nih.gov/pubmed/21819079","21819079")</f>
        <v>21819079</v>
      </c>
      <c r="B1123">
        <f t="shared" si="73"/>
        <v>2</v>
      </c>
      <c r="C1123">
        <f t="shared" si="73"/>
        <v>0</v>
      </c>
      <c r="D1123">
        <f t="shared" si="73"/>
        <v>0</v>
      </c>
      <c r="E1123">
        <f t="shared" si="72"/>
        <v>2</v>
      </c>
      <c r="F1123">
        <v>2011</v>
      </c>
      <c r="G1123" t="s">
        <v>4579</v>
      </c>
      <c r="H1123">
        <v>0</v>
      </c>
      <c r="I1123" s="65">
        <v>0</v>
      </c>
      <c r="J1123" t="s">
        <v>4581</v>
      </c>
      <c r="K1123" s="35" t="s">
        <v>770</v>
      </c>
      <c r="L1123" s="35" t="s">
        <v>4580</v>
      </c>
      <c r="M1123" s="39" t="str">
        <f>HYPERLINK("http://dx.doi.org/10.1021/jf202049s","10.1021/jf202049s")</f>
        <v>10.1021/jf202049s</v>
      </c>
      <c r="N1123" s="40" t="s">
        <v>2885</v>
      </c>
      <c r="O1123" s="40" t="s">
        <v>1088</v>
      </c>
      <c r="P1123" s="40" t="s">
        <v>4582</v>
      </c>
      <c r="Q1123" t="s">
        <v>316</v>
      </c>
    </row>
    <row r="1124" spans="1:17" x14ac:dyDescent="0.25">
      <c r="A1124" s="2" t="str">
        <f>HYPERLINK("https://www.ncbi.nlm.nih.gov/pubmed/21777729","21777729")</f>
        <v>21777729</v>
      </c>
      <c r="B1124">
        <f t="shared" ref="B1124:D1143" si="74">IF(ISBLANK(B$3),0,(LEN($L1124) - LEN(SUBSTITUTE(LOWER($L1124),LOWER(B$3),"")))/LEN(B$3))</f>
        <v>2</v>
      </c>
      <c r="C1124">
        <f t="shared" si="74"/>
        <v>0</v>
      </c>
      <c r="D1124">
        <f t="shared" si="74"/>
        <v>0</v>
      </c>
      <c r="E1124">
        <f t="shared" si="72"/>
        <v>2</v>
      </c>
      <c r="F1124">
        <v>2011</v>
      </c>
      <c r="G1124" t="s">
        <v>4608</v>
      </c>
      <c r="H1124">
        <v>0</v>
      </c>
      <c r="I1124" s="65">
        <v>0</v>
      </c>
      <c r="J1124" t="s">
        <v>4610</v>
      </c>
      <c r="K1124" s="35" t="s">
        <v>1052</v>
      </c>
      <c r="L1124" s="35" t="s">
        <v>4609</v>
      </c>
      <c r="M1124" s="39" t="str">
        <f>HYPERLINK("http://dx.doi.org/10.1016/j.vetpar.2011.03.039","10.1016/j.vetpar.2011.03.039")</f>
        <v>10.1016/j.vetpar.2011.03.039</v>
      </c>
      <c r="N1124" s="40" t="s">
        <v>3022</v>
      </c>
      <c r="O1124" s="40" t="s">
        <v>690</v>
      </c>
      <c r="P1124" s="40" t="s">
        <v>2279</v>
      </c>
      <c r="Q1124" t="s">
        <v>316</v>
      </c>
    </row>
    <row r="1125" spans="1:17" x14ac:dyDescent="0.25">
      <c r="A1125" s="2" t="str">
        <f>HYPERLINK("https://www.ncbi.nlm.nih.gov/pubmed/21726139","21726139")</f>
        <v>21726139</v>
      </c>
      <c r="B1125">
        <f t="shared" si="74"/>
        <v>2</v>
      </c>
      <c r="C1125">
        <f t="shared" si="74"/>
        <v>0</v>
      </c>
      <c r="D1125">
        <f t="shared" si="74"/>
        <v>0</v>
      </c>
      <c r="E1125">
        <f t="shared" si="72"/>
        <v>2</v>
      </c>
      <c r="F1125">
        <v>2011</v>
      </c>
      <c r="G1125" t="s">
        <v>4620</v>
      </c>
      <c r="H1125">
        <v>0</v>
      </c>
      <c r="I1125" s="65">
        <v>0</v>
      </c>
      <c r="J1125" t="s">
        <v>4621</v>
      </c>
      <c r="K1125" s="35" t="s">
        <v>1413</v>
      </c>
      <c r="L1125" s="35" t="s">
        <v>7075</v>
      </c>
      <c r="M1125" s="39" t="str">
        <f>HYPERLINK("http://dx.doi.org/10.1080/03601234.2011.583825","10.1080/03601234.2011.583825")</f>
        <v>10.1080/03601234.2011.583825</v>
      </c>
      <c r="N1125" s="40" t="s">
        <v>1229</v>
      </c>
      <c r="O1125" s="40" t="s">
        <v>741</v>
      </c>
      <c r="P1125" s="40" t="s">
        <v>4622</v>
      </c>
      <c r="Q1125" t="s">
        <v>316</v>
      </c>
    </row>
    <row r="1126" spans="1:17" x14ac:dyDescent="0.25">
      <c r="A1126" s="2" t="str">
        <f>HYPERLINK("https://www.ncbi.nlm.nih.gov/pubmed/21560149","21560149")</f>
        <v>21560149</v>
      </c>
      <c r="B1126">
        <f t="shared" si="74"/>
        <v>2</v>
      </c>
      <c r="C1126">
        <f t="shared" si="74"/>
        <v>0</v>
      </c>
      <c r="D1126">
        <f t="shared" si="74"/>
        <v>0</v>
      </c>
      <c r="E1126">
        <f t="shared" si="72"/>
        <v>2</v>
      </c>
      <c r="F1126">
        <v>2011</v>
      </c>
      <c r="G1126" t="s">
        <v>4652</v>
      </c>
      <c r="H1126">
        <v>0</v>
      </c>
      <c r="I1126" s="65">
        <v>0</v>
      </c>
      <c r="J1126" t="s">
        <v>4653</v>
      </c>
      <c r="K1126" s="35" t="s">
        <v>755</v>
      </c>
      <c r="L1126" s="35" t="s">
        <v>7084</v>
      </c>
      <c r="M1126" s="39" t="str">
        <f>HYPERLINK("http://dx.doi.org/10.1002/etc.575","10.1002/etc.575")</f>
        <v>10.1002/etc.575</v>
      </c>
      <c r="N1126" s="40" t="s">
        <v>745</v>
      </c>
      <c r="O1126" s="40" t="s">
        <v>781</v>
      </c>
      <c r="P1126" s="40" t="s">
        <v>4654</v>
      </c>
      <c r="Q1126" t="s">
        <v>316</v>
      </c>
    </row>
    <row r="1127" spans="1:17" x14ac:dyDescent="0.25">
      <c r="A1127" s="2" t="str">
        <f>HYPERLINK("https://www.ncbi.nlm.nih.gov/pubmed/21509402","21509402")</f>
        <v>21509402</v>
      </c>
      <c r="B1127">
        <f t="shared" si="74"/>
        <v>2</v>
      </c>
      <c r="C1127">
        <f t="shared" si="74"/>
        <v>3</v>
      </c>
      <c r="D1127">
        <f t="shared" si="74"/>
        <v>0</v>
      </c>
      <c r="E1127">
        <f t="shared" si="72"/>
        <v>5</v>
      </c>
      <c r="F1127">
        <v>2011</v>
      </c>
      <c r="G1127" t="s">
        <v>4669</v>
      </c>
      <c r="H1127">
        <v>0</v>
      </c>
      <c r="I1127" s="65">
        <v>0</v>
      </c>
      <c r="J1127" t="s">
        <v>4670</v>
      </c>
      <c r="K1127" s="35" t="s">
        <v>4671</v>
      </c>
      <c r="L1127" s="35" t="s">
        <v>7087</v>
      </c>
      <c r="M1127" s="39" t="str">
        <f>HYPERLINK("http://dx.doi.org/10.1039/c1em10085h","10.1039/c1em10085h")</f>
        <v>10.1039/c1em10085h</v>
      </c>
      <c r="N1127" s="40" t="s">
        <v>742</v>
      </c>
      <c r="O1127" s="40" t="s">
        <v>741</v>
      </c>
      <c r="P1127" s="40" t="s">
        <v>4672</v>
      </c>
      <c r="Q1127" t="s">
        <v>316</v>
      </c>
    </row>
    <row r="1128" spans="1:17" x14ac:dyDescent="0.25">
      <c r="A1128" s="2" t="str">
        <f>HYPERLINK("https://www.ncbi.nlm.nih.gov/pubmed/21461621","21461621")</f>
        <v>21461621</v>
      </c>
      <c r="B1128">
        <f t="shared" si="74"/>
        <v>2</v>
      </c>
      <c r="C1128">
        <f t="shared" si="74"/>
        <v>0</v>
      </c>
      <c r="D1128">
        <f t="shared" si="74"/>
        <v>0</v>
      </c>
      <c r="E1128">
        <f t="shared" si="72"/>
        <v>2</v>
      </c>
      <c r="F1128">
        <v>2011</v>
      </c>
      <c r="G1128" t="s">
        <v>4681</v>
      </c>
      <c r="H1128">
        <v>0</v>
      </c>
      <c r="I1128" s="65">
        <v>0</v>
      </c>
      <c r="J1128" t="s">
        <v>4683</v>
      </c>
      <c r="K1128" s="35" t="s">
        <v>775</v>
      </c>
      <c r="L1128" s="35" t="s">
        <v>4682</v>
      </c>
      <c r="M1128" s="39" t="str">
        <f>HYPERLINK("http://dx.doi.org/10.1007/s00216-011-4885-7","10.1007/s00216-011-4885-7")</f>
        <v>10.1007/s00216-011-4885-7</v>
      </c>
      <c r="N1128" s="40" t="s">
        <v>4684</v>
      </c>
      <c r="O1128" s="40" t="s">
        <v>690</v>
      </c>
      <c r="P1128" s="40" t="s">
        <v>4685</v>
      </c>
      <c r="Q1128" t="s">
        <v>316</v>
      </c>
    </row>
    <row r="1129" spans="1:17" x14ac:dyDescent="0.25">
      <c r="A1129" s="2" t="str">
        <f>HYPERLINK("https://www.ncbi.nlm.nih.gov/pubmed/21404864","21404864")</f>
        <v>21404864</v>
      </c>
      <c r="B1129">
        <f t="shared" si="74"/>
        <v>2</v>
      </c>
      <c r="C1129">
        <f t="shared" si="74"/>
        <v>0</v>
      </c>
      <c r="D1129">
        <f t="shared" si="74"/>
        <v>0</v>
      </c>
      <c r="E1129">
        <f t="shared" si="72"/>
        <v>2</v>
      </c>
      <c r="F1129">
        <v>2011</v>
      </c>
      <c r="G1129" t="s">
        <v>4698</v>
      </c>
      <c r="H1129">
        <v>0</v>
      </c>
      <c r="I1129" s="65">
        <v>0</v>
      </c>
      <c r="J1129" t="s">
        <v>4679</v>
      </c>
      <c r="K1129" s="35" t="s">
        <v>909</v>
      </c>
      <c r="L1129" s="35" t="s">
        <v>4699</v>
      </c>
      <c r="M1129" s="39" t="str">
        <f>HYPERLINK("http://dx.doi.org/10.1603/ec10113","10.1603/ec10113")</f>
        <v>10.1603/ec10113</v>
      </c>
      <c r="N1129" s="40" t="s">
        <v>2207</v>
      </c>
      <c r="O1129" s="40" t="s">
        <v>638</v>
      </c>
      <c r="P1129" s="40" t="s">
        <v>4700</v>
      </c>
      <c r="Q1129" t="s">
        <v>316</v>
      </c>
    </row>
    <row r="1130" spans="1:17" x14ac:dyDescent="0.25">
      <c r="A1130" s="2" t="str">
        <f>HYPERLINK("https://www.ncbi.nlm.nih.gov/pubmed/21394875","21394875")</f>
        <v>21394875</v>
      </c>
      <c r="B1130">
        <f t="shared" si="74"/>
        <v>2</v>
      </c>
      <c r="C1130">
        <f t="shared" si="74"/>
        <v>0</v>
      </c>
      <c r="D1130">
        <f t="shared" si="74"/>
        <v>0</v>
      </c>
      <c r="E1130">
        <f t="shared" si="72"/>
        <v>2</v>
      </c>
      <c r="F1130">
        <v>2011</v>
      </c>
      <c r="G1130" t="s">
        <v>4701</v>
      </c>
      <c r="H1130">
        <v>0</v>
      </c>
      <c r="I1130" s="65">
        <v>0</v>
      </c>
      <c r="J1130" t="s">
        <v>4703</v>
      </c>
      <c r="K1130" s="35" t="s">
        <v>968</v>
      </c>
      <c r="L1130" s="35" t="s">
        <v>4702</v>
      </c>
      <c r="M1130" s="39" t="str">
        <f>HYPERLINK("http://dx.doi.org/10.1002/ps.2080","10.1002/ps.2080")</f>
        <v>10.1002/ps.2080</v>
      </c>
      <c r="N1130" s="40" t="s">
        <v>1779</v>
      </c>
      <c r="O1130" s="40" t="s">
        <v>690</v>
      </c>
      <c r="P1130" s="40" t="s">
        <v>4704</v>
      </c>
      <c r="Q1130" t="s">
        <v>316</v>
      </c>
    </row>
    <row r="1131" spans="1:17" x14ac:dyDescent="0.25">
      <c r="A1131" s="2" t="str">
        <f>HYPERLINK("https://www.ncbi.nlm.nih.gov/pubmed/21392814","21392814")</f>
        <v>21392814</v>
      </c>
      <c r="B1131">
        <f t="shared" si="74"/>
        <v>2</v>
      </c>
      <c r="C1131">
        <f t="shared" si="74"/>
        <v>0</v>
      </c>
      <c r="D1131">
        <f t="shared" si="74"/>
        <v>0</v>
      </c>
      <c r="E1131">
        <f t="shared" si="72"/>
        <v>2</v>
      </c>
      <c r="F1131">
        <v>2011</v>
      </c>
      <c r="G1131" t="s">
        <v>4705</v>
      </c>
      <c r="H1131">
        <v>0</v>
      </c>
      <c r="I1131" s="65">
        <v>0</v>
      </c>
      <c r="J1131" t="s">
        <v>4706</v>
      </c>
      <c r="K1131" s="35" t="s">
        <v>822</v>
      </c>
      <c r="L1131" s="35" t="s">
        <v>7088</v>
      </c>
      <c r="M1131" s="39" t="str">
        <f>HYPERLINK("http://dx.doi.org/10.1016/j.chemosphere.2011.02.029","10.1016/j.chemosphere.2011.02.029")</f>
        <v>10.1016/j.chemosphere.2011.02.029</v>
      </c>
      <c r="N1131" s="40" t="s">
        <v>1169</v>
      </c>
      <c r="O1131" s="40" t="s">
        <v>748</v>
      </c>
      <c r="P1131" s="40" t="s">
        <v>4707</v>
      </c>
      <c r="Q1131" t="s">
        <v>316</v>
      </c>
    </row>
    <row r="1132" spans="1:17" x14ac:dyDescent="0.25">
      <c r="A1132" s="2" t="str">
        <f>HYPERLINK("https://www.ncbi.nlm.nih.gov/pubmed/21309237","21309237")</f>
        <v>21309237</v>
      </c>
      <c r="B1132">
        <f t="shared" si="74"/>
        <v>2</v>
      </c>
      <c r="C1132">
        <f t="shared" si="74"/>
        <v>0</v>
      </c>
      <c r="D1132">
        <f t="shared" si="74"/>
        <v>0</v>
      </c>
      <c r="E1132">
        <f t="shared" si="72"/>
        <v>2</v>
      </c>
      <c r="F1132">
        <v>2010</v>
      </c>
      <c r="G1132" t="s">
        <v>4726</v>
      </c>
      <c r="H1132">
        <v>0</v>
      </c>
      <c r="I1132" s="65">
        <v>0</v>
      </c>
      <c r="J1132" t="s">
        <v>4728</v>
      </c>
      <c r="K1132" s="35" t="s">
        <v>909</v>
      </c>
      <c r="L1132" s="35" t="s">
        <v>4727</v>
      </c>
      <c r="M1132" s="39" t="str">
        <f>HYPERLINK("http://dx.doi.org/10.1603/ec09437","10.1603/ec09437")</f>
        <v>10.1603/ec09437</v>
      </c>
      <c r="N1132" s="40" t="s">
        <v>2838</v>
      </c>
      <c r="O1132" s="40" t="s">
        <v>741</v>
      </c>
      <c r="P1132" s="40" t="s">
        <v>4729</v>
      </c>
      <c r="Q1132" t="s">
        <v>316</v>
      </c>
    </row>
    <row r="1133" spans="1:17" x14ac:dyDescent="0.25">
      <c r="A1133" s="2" t="str">
        <f>HYPERLINK("https://www.ncbi.nlm.nih.gov/pubmed/21309214","21309214")</f>
        <v>21309214</v>
      </c>
      <c r="B1133">
        <f t="shared" si="74"/>
        <v>2</v>
      </c>
      <c r="C1133">
        <f t="shared" si="74"/>
        <v>0</v>
      </c>
      <c r="D1133">
        <f t="shared" si="74"/>
        <v>0</v>
      </c>
      <c r="E1133">
        <f t="shared" si="72"/>
        <v>2</v>
      </c>
      <c r="F1133">
        <v>2010</v>
      </c>
      <c r="G1133" t="s">
        <v>4730</v>
      </c>
      <c r="H1133">
        <v>0</v>
      </c>
      <c r="I1133" s="65">
        <v>0</v>
      </c>
      <c r="J1133" t="s">
        <v>4732</v>
      </c>
      <c r="K1133" s="35" t="s">
        <v>909</v>
      </c>
      <c r="L1133" s="35" t="s">
        <v>4731</v>
      </c>
      <c r="M1133" s="39" t="str">
        <f>HYPERLINK("http://dx.doi.org/10.1603/ec10235","10.1603/ec10235")</f>
        <v>10.1603/ec10235</v>
      </c>
      <c r="N1133" s="40" t="s">
        <v>2838</v>
      </c>
      <c r="O1133" s="40" t="s">
        <v>741</v>
      </c>
      <c r="P1133" s="40" t="s">
        <v>4733</v>
      </c>
      <c r="Q1133" t="s">
        <v>316</v>
      </c>
    </row>
    <row r="1134" spans="1:17" x14ac:dyDescent="0.25">
      <c r="A1134" s="2" t="str">
        <f>HYPERLINK("https://www.ncbi.nlm.nih.gov/pubmed/20880016","20880016")</f>
        <v>20880016</v>
      </c>
      <c r="B1134">
        <f t="shared" si="74"/>
        <v>2</v>
      </c>
      <c r="C1134">
        <f t="shared" si="74"/>
        <v>0</v>
      </c>
      <c r="D1134">
        <f t="shared" si="74"/>
        <v>0</v>
      </c>
      <c r="E1134">
        <f t="shared" si="72"/>
        <v>2</v>
      </c>
      <c r="F1134">
        <v>2010</v>
      </c>
      <c r="G1134" t="s">
        <v>4816</v>
      </c>
      <c r="H1134">
        <v>0</v>
      </c>
      <c r="I1134" s="65">
        <v>0</v>
      </c>
      <c r="J1134" t="s">
        <v>4818</v>
      </c>
      <c r="K1134" s="35" t="s">
        <v>2743</v>
      </c>
      <c r="L1134" s="35" t="s">
        <v>4817</v>
      </c>
      <c r="M1134" s="39" t="str">
        <f>HYPERLINK("http://dx.doi.org/10.1111/j.1365-3164.2010.00895.x","10.1111/j.1365-3164.2010.00895.x")</f>
        <v>10.1111/j.1365-3164.2010.00895.x</v>
      </c>
      <c r="N1134" s="40" t="s">
        <v>1364</v>
      </c>
      <c r="O1134" s="40" t="s">
        <v>741</v>
      </c>
      <c r="P1134" s="40" t="s">
        <v>4819</v>
      </c>
      <c r="Q1134" t="s">
        <v>316</v>
      </c>
    </row>
    <row r="1135" spans="1:17" x14ac:dyDescent="0.25">
      <c r="A1135" s="2" t="str">
        <f>HYPERLINK("https://www.ncbi.nlm.nih.gov/pubmed/20839772","20839772")</f>
        <v>20839772</v>
      </c>
      <c r="B1135">
        <f t="shared" si="74"/>
        <v>2</v>
      </c>
      <c r="C1135">
        <f t="shared" si="74"/>
        <v>0</v>
      </c>
      <c r="D1135">
        <f t="shared" si="74"/>
        <v>0</v>
      </c>
      <c r="E1135">
        <f t="shared" si="72"/>
        <v>2</v>
      </c>
      <c r="F1135">
        <v>2011</v>
      </c>
      <c r="G1135" t="s">
        <v>4834</v>
      </c>
      <c r="H1135">
        <v>0</v>
      </c>
      <c r="I1135" s="65">
        <v>0</v>
      </c>
      <c r="J1135" t="s">
        <v>4836</v>
      </c>
      <c r="K1135" s="35" t="s">
        <v>770</v>
      </c>
      <c r="L1135" s="35" t="s">
        <v>4835</v>
      </c>
      <c r="M1135" s="39" t="str">
        <f>HYPERLINK("http://dx.doi.org/10.1021/jf102468n","10.1021/jf102468n")</f>
        <v>10.1021/jf102468n</v>
      </c>
      <c r="N1135" s="40" t="s">
        <v>2885</v>
      </c>
      <c r="O1135" s="40" t="s">
        <v>748</v>
      </c>
      <c r="P1135" s="40" t="s">
        <v>4837</v>
      </c>
      <c r="Q1135" t="s">
        <v>316</v>
      </c>
    </row>
    <row r="1136" spans="1:17" x14ac:dyDescent="0.25">
      <c r="A1136" s="2" t="str">
        <f>HYPERLINK("https://www.ncbi.nlm.nih.gov/pubmed/20429463","20429463")</f>
        <v>20429463</v>
      </c>
      <c r="B1136">
        <f t="shared" si="74"/>
        <v>2</v>
      </c>
      <c r="C1136">
        <f t="shared" si="74"/>
        <v>0</v>
      </c>
      <c r="D1136">
        <f t="shared" si="74"/>
        <v>0</v>
      </c>
      <c r="E1136">
        <f t="shared" si="72"/>
        <v>2</v>
      </c>
      <c r="F1136">
        <v>2010</v>
      </c>
      <c r="G1136" t="s">
        <v>4919</v>
      </c>
      <c r="H1136">
        <v>0</v>
      </c>
      <c r="I1136" s="65">
        <v>0</v>
      </c>
      <c r="J1136" t="s">
        <v>4920</v>
      </c>
      <c r="K1136" s="35" t="s">
        <v>909</v>
      </c>
      <c r="L1136" s="35" t="s">
        <v>7107</v>
      </c>
      <c r="M1136" s="39" t="str">
        <f>HYPERLINK("http://dx.doi.org/10.1603/ec09284","10.1603/ec09284")</f>
        <v>10.1603/ec09284</v>
      </c>
      <c r="N1136" s="40" t="s">
        <v>2838</v>
      </c>
      <c r="O1136" s="40" t="s">
        <v>744</v>
      </c>
      <c r="P1136" s="40" t="s">
        <v>4921</v>
      </c>
      <c r="Q1136" t="s">
        <v>316</v>
      </c>
    </row>
    <row r="1137" spans="1:17" x14ac:dyDescent="0.25">
      <c r="A1137" s="2" t="str">
        <f>HYPERLINK("https://www.ncbi.nlm.nih.gov/pubmed/20387062","20387062")</f>
        <v>20387062</v>
      </c>
      <c r="B1137">
        <f t="shared" si="74"/>
        <v>2</v>
      </c>
      <c r="C1137">
        <f t="shared" si="74"/>
        <v>0</v>
      </c>
      <c r="D1137">
        <f t="shared" si="74"/>
        <v>0</v>
      </c>
      <c r="E1137">
        <f t="shared" si="72"/>
        <v>2</v>
      </c>
      <c r="F1137">
        <v>2010</v>
      </c>
      <c r="G1137" t="s">
        <v>4929</v>
      </c>
      <c r="H1137">
        <v>0</v>
      </c>
      <c r="I1137" s="65">
        <v>0</v>
      </c>
      <c r="J1137" t="s">
        <v>4931</v>
      </c>
      <c r="K1137" s="35" t="s">
        <v>1395</v>
      </c>
      <c r="L1137" s="35" t="s">
        <v>4930</v>
      </c>
      <c r="M1137" s="39" t="str">
        <f>HYPERLINK("http://dx.doi.org/10.1007/s00244-010-9519-0","10.1007/s00244-010-9519-0")</f>
        <v>10.1007/s00244-010-9519-0</v>
      </c>
      <c r="N1137" s="40" t="s">
        <v>2885</v>
      </c>
      <c r="O1137" s="40" t="s">
        <v>690</v>
      </c>
      <c r="P1137" s="40" t="s">
        <v>4932</v>
      </c>
      <c r="Q1137" t="s">
        <v>316</v>
      </c>
    </row>
    <row r="1138" spans="1:17" x14ac:dyDescent="0.25">
      <c r="A1138" s="2" t="str">
        <f>HYPERLINK("https://www.ncbi.nlm.nih.gov/pubmed/20232286","20232286")</f>
        <v>20232286</v>
      </c>
      <c r="B1138">
        <f t="shared" si="74"/>
        <v>2</v>
      </c>
      <c r="C1138">
        <f t="shared" si="74"/>
        <v>1</v>
      </c>
      <c r="D1138">
        <f t="shared" si="74"/>
        <v>0</v>
      </c>
      <c r="E1138">
        <f t="shared" si="72"/>
        <v>3</v>
      </c>
      <c r="F1138">
        <v>2010</v>
      </c>
      <c r="G1138" t="s">
        <v>4949</v>
      </c>
      <c r="H1138">
        <v>0</v>
      </c>
      <c r="I1138" s="65">
        <v>0</v>
      </c>
      <c r="J1138" t="s">
        <v>4951</v>
      </c>
      <c r="K1138" s="35" t="s">
        <v>968</v>
      </c>
      <c r="L1138" s="35" t="s">
        <v>4950</v>
      </c>
      <c r="M1138" s="39" t="str">
        <f>HYPERLINK("http://dx.doi.org/10.1002/ps.1939","10.1002/ps.1939")</f>
        <v>10.1002/ps.1939</v>
      </c>
      <c r="N1138" s="40" t="s">
        <v>2424</v>
      </c>
      <c r="O1138" s="40" t="s">
        <v>748</v>
      </c>
      <c r="P1138" s="40" t="s">
        <v>4952</v>
      </c>
      <c r="Q1138" t="s">
        <v>316</v>
      </c>
    </row>
    <row r="1139" spans="1:17" x14ac:dyDescent="0.25">
      <c r="A1139" s="2" t="str">
        <f>HYPERLINK("https://www.ncbi.nlm.nih.gov/pubmed/20069841","20069841")</f>
        <v>20069841</v>
      </c>
      <c r="B1139">
        <f t="shared" si="74"/>
        <v>2</v>
      </c>
      <c r="C1139">
        <f t="shared" si="74"/>
        <v>0</v>
      </c>
      <c r="D1139">
        <f t="shared" si="74"/>
        <v>0</v>
      </c>
      <c r="E1139">
        <f t="shared" si="72"/>
        <v>2</v>
      </c>
      <c r="F1139">
        <v>2009</v>
      </c>
      <c r="G1139" t="s">
        <v>4985</v>
      </c>
      <c r="H1139">
        <v>0</v>
      </c>
      <c r="I1139" s="65">
        <v>0</v>
      </c>
      <c r="J1139" t="s">
        <v>4986</v>
      </c>
      <c r="K1139" s="35" t="s">
        <v>909</v>
      </c>
      <c r="L1139" s="35" t="s">
        <v>7114</v>
      </c>
      <c r="M1139" s="39" t="str">
        <f>HYPERLINK("http://dx.doi.org/10.1603/029.102.0616","10.1603/029.102.0616")</f>
        <v>10.1603/029.102.0616</v>
      </c>
      <c r="N1139" s="40" t="s">
        <v>4983</v>
      </c>
      <c r="O1139" s="40" t="s">
        <v>741</v>
      </c>
      <c r="P1139" s="40" t="s">
        <v>4987</v>
      </c>
      <c r="Q1139" t="s">
        <v>316</v>
      </c>
    </row>
    <row r="1140" spans="1:17" x14ac:dyDescent="0.25">
      <c r="A1140" s="2" t="str">
        <f>HYPERLINK("https://www.ncbi.nlm.nih.gov/pubmed/20040207","20040207")</f>
        <v>20040207</v>
      </c>
      <c r="B1140">
        <f t="shared" si="74"/>
        <v>2</v>
      </c>
      <c r="C1140">
        <f t="shared" si="74"/>
        <v>0</v>
      </c>
      <c r="D1140">
        <f t="shared" si="74"/>
        <v>0</v>
      </c>
      <c r="E1140">
        <f t="shared" si="72"/>
        <v>2</v>
      </c>
      <c r="F1140">
        <v>2009</v>
      </c>
      <c r="G1140" t="s">
        <v>5002</v>
      </c>
      <c r="H1140">
        <v>0</v>
      </c>
      <c r="I1140" s="65">
        <v>0</v>
      </c>
      <c r="J1140" t="s">
        <v>5004</v>
      </c>
      <c r="K1140" s="35" t="s">
        <v>1008</v>
      </c>
      <c r="L1140" s="35" t="s">
        <v>5003</v>
      </c>
      <c r="M1140" s="39" t="str">
        <f>HYPERLINK("http://dx.doi.org/10.4322/rbpv.01804007","10.4322/rbpv.01804007")</f>
        <v>10.4322/rbpv.01804007</v>
      </c>
      <c r="N1140" s="40" t="s">
        <v>659</v>
      </c>
      <c r="O1140" s="40" t="s">
        <v>690</v>
      </c>
      <c r="P1140" s="40" t="s">
        <v>5005</v>
      </c>
      <c r="Q1140" t="s">
        <v>316</v>
      </c>
    </row>
    <row r="1141" spans="1:17" x14ac:dyDescent="0.25">
      <c r="A1141" s="2" t="str">
        <f>HYPERLINK("https://www.ncbi.nlm.nih.gov/pubmed/19937910","19937910")</f>
        <v>19937910</v>
      </c>
      <c r="B1141">
        <f t="shared" si="74"/>
        <v>2</v>
      </c>
      <c r="C1141">
        <f t="shared" si="74"/>
        <v>0</v>
      </c>
      <c r="D1141">
        <f t="shared" si="74"/>
        <v>0</v>
      </c>
      <c r="E1141">
        <f t="shared" si="72"/>
        <v>2</v>
      </c>
      <c r="F1141">
        <v>2010</v>
      </c>
      <c r="G1141" t="s">
        <v>5022</v>
      </c>
      <c r="H1141">
        <v>0</v>
      </c>
      <c r="I1141" s="65">
        <v>0</v>
      </c>
      <c r="J1141" t="s">
        <v>5024</v>
      </c>
      <c r="K1141" s="35" t="s">
        <v>968</v>
      </c>
      <c r="L1141" s="35" t="s">
        <v>5023</v>
      </c>
      <c r="M1141" s="39" t="str">
        <f>HYPERLINK("http://dx.doi.org/10.1002/ps.1885","10.1002/ps.1885")</f>
        <v>10.1002/ps.1885</v>
      </c>
      <c r="N1141" s="40" t="s">
        <v>2424</v>
      </c>
      <c r="O1141" s="40" t="s">
        <v>690</v>
      </c>
      <c r="P1141" s="40" t="s">
        <v>5025</v>
      </c>
      <c r="Q1141" t="s">
        <v>316</v>
      </c>
    </row>
    <row r="1142" spans="1:17" x14ac:dyDescent="0.25">
      <c r="A1142" s="2" t="str">
        <f>HYPERLINK("https://www.ncbi.nlm.nih.gov/pubmed/19649249","19649249")</f>
        <v>19649249</v>
      </c>
      <c r="B1142">
        <f t="shared" si="74"/>
        <v>2</v>
      </c>
      <c r="C1142">
        <f t="shared" si="74"/>
        <v>0</v>
      </c>
      <c r="D1142">
        <f t="shared" si="74"/>
        <v>0</v>
      </c>
      <c r="E1142">
        <f t="shared" si="72"/>
        <v>2</v>
      </c>
      <c r="F1142">
        <v>2009</v>
      </c>
      <c r="G1142" t="s">
        <v>5074</v>
      </c>
      <c r="H1142">
        <v>0</v>
      </c>
      <c r="I1142" s="64" t="str">
        <f>HYPERLINK("https://www.ncbi.nlm.nih.gov/research/pubtator/?view=docsum&amp;query=PMC2714471","1")</f>
        <v>1</v>
      </c>
      <c r="J1142" t="s">
        <v>5075</v>
      </c>
      <c r="K1142" s="35" t="s">
        <v>779</v>
      </c>
      <c r="L1142" s="35" t="s">
        <v>7121</v>
      </c>
      <c r="M1142" s="39" t="str">
        <f>HYPERLINK("http://dx.doi.org/10.1371/journal.pone.0006469","10.1371/journal.pone.0006469")</f>
        <v>10.1371/journal.pone.0006469</v>
      </c>
      <c r="N1142" s="40" t="s">
        <v>690</v>
      </c>
      <c r="O1142" s="40" t="s">
        <v>748</v>
      </c>
      <c r="P1142" s="40" t="s">
        <v>5076</v>
      </c>
      <c r="Q1142" t="s">
        <v>316</v>
      </c>
    </row>
    <row r="1143" spans="1:17" x14ac:dyDescent="0.25">
      <c r="A1143" s="2" t="str">
        <f>HYPERLINK("https://www.ncbi.nlm.nih.gov/pubmed/19645283","19645283")</f>
        <v>19645283</v>
      </c>
      <c r="B1143">
        <f t="shared" si="74"/>
        <v>2</v>
      </c>
      <c r="C1143">
        <f t="shared" si="74"/>
        <v>0</v>
      </c>
      <c r="D1143">
        <f t="shared" si="74"/>
        <v>0</v>
      </c>
      <c r="E1143">
        <f t="shared" si="72"/>
        <v>2</v>
      </c>
      <c r="F1143">
        <v>2009</v>
      </c>
      <c r="G1143" t="s">
        <v>5081</v>
      </c>
      <c r="H1143">
        <v>0</v>
      </c>
      <c r="I1143" s="65">
        <v>0</v>
      </c>
      <c r="J1143" t="s">
        <v>5083</v>
      </c>
      <c r="K1143" s="35" t="s">
        <v>1027</v>
      </c>
      <c r="L1143" s="35" t="s">
        <v>5082</v>
      </c>
      <c r="M1143" s="39" t="str">
        <f>HYPERLINK("http://dx.doi.org/10.1603/033.046.0411","10.1603/033.046.0411")</f>
        <v>10.1603/033.046.0411</v>
      </c>
      <c r="N1143" s="40" t="s">
        <v>1229</v>
      </c>
      <c r="O1143" s="40" t="s">
        <v>690</v>
      </c>
      <c r="P1143" s="40" t="s">
        <v>5084</v>
      </c>
      <c r="Q1143" t="s">
        <v>316</v>
      </c>
    </row>
    <row r="1144" spans="1:17" x14ac:dyDescent="0.25">
      <c r="A1144" s="2" t="str">
        <f>HYPERLINK("https://www.ncbi.nlm.nih.gov/pubmed/19572211","19572211")</f>
        <v>19572211</v>
      </c>
      <c r="B1144">
        <f t="shared" ref="B1144:D1163" si="75">IF(ISBLANK(B$3),0,(LEN($L1144) - LEN(SUBSTITUTE(LOWER($L1144),LOWER(B$3),"")))/LEN(B$3))</f>
        <v>2</v>
      </c>
      <c r="C1144">
        <f t="shared" si="75"/>
        <v>0</v>
      </c>
      <c r="D1144">
        <f t="shared" si="75"/>
        <v>0</v>
      </c>
      <c r="E1144">
        <f t="shared" si="72"/>
        <v>2</v>
      </c>
      <c r="F1144">
        <v>2010</v>
      </c>
      <c r="G1144" t="s">
        <v>5098</v>
      </c>
      <c r="H1144">
        <v>0</v>
      </c>
      <c r="I1144" s="65">
        <v>0</v>
      </c>
      <c r="J1144" t="s">
        <v>5100</v>
      </c>
      <c r="K1144" s="35" t="s">
        <v>5101</v>
      </c>
      <c r="L1144" s="35" t="s">
        <v>5099</v>
      </c>
      <c r="M1144" s="39" t="str">
        <f>HYPERLINK("http://dx.doi.org/10.1007/s11033-009-9598-z","10.1007/s11033-009-9598-z")</f>
        <v>10.1007/s11033-009-9598-z</v>
      </c>
      <c r="N1144" s="40" t="s">
        <v>1869</v>
      </c>
      <c r="O1144" s="40" t="s">
        <v>690</v>
      </c>
      <c r="P1144" s="40" t="s">
        <v>5102</v>
      </c>
      <c r="Q1144" t="s">
        <v>316</v>
      </c>
    </row>
    <row r="1145" spans="1:17" x14ac:dyDescent="0.25">
      <c r="A1145" s="2" t="str">
        <f>HYPERLINK("https://www.ncbi.nlm.nih.gov/pubmed/19496430","19496430")</f>
        <v>19496430</v>
      </c>
      <c r="B1145">
        <f t="shared" si="75"/>
        <v>2</v>
      </c>
      <c r="C1145">
        <f t="shared" si="75"/>
        <v>0</v>
      </c>
      <c r="D1145">
        <f t="shared" si="75"/>
        <v>0</v>
      </c>
      <c r="E1145">
        <f t="shared" si="72"/>
        <v>2</v>
      </c>
      <c r="F1145">
        <v>2009</v>
      </c>
      <c r="G1145" t="s">
        <v>5107</v>
      </c>
      <c r="H1145">
        <v>0</v>
      </c>
      <c r="I1145" s="65">
        <v>0</v>
      </c>
      <c r="J1145" t="s">
        <v>5083</v>
      </c>
      <c r="K1145" s="35" t="s">
        <v>1027</v>
      </c>
      <c r="L1145" s="35" t="s">
        <v>5108</v>
      </c>
      <c r="M1145" s="39" t="str">
        <f>HYPERLINK("http://dx.doi.org/10.1603/033.046.0324","10.1603/033.046.0324")</f>
        <v>10.1603/033.046.0324</v>
      </c>
      <c r="N1145" s="40" t="s">
        <v>1229</v>
      </c>
      <c r="O1145" s="40" t="s">
        <v>750</v>
      </c>
      <c r="P1145" s="40" t="s">
        <v>5109</v>
      </c>
      <c r="Q1145" t="s">
        <v>316</v>
      </c>
    </row>
    <row r="1146" spans="1:17" x14ac:dyDescent="0.25">
      <c r="A1146" s="2" t="str">
        <f>HYPERLINK("https://www.ncbi.nlm.nih.gov/pubmed/18680157","18680157")</f>
        <v>18680157</v>
      </c>
      <c r="B1146">
        <f t="shared" si="75"/>
        <v>2</v>
      </c>
      <c r="C1146">
        <f t="shared" si="75"/>
        <v>0</v>
      </c>
      <c r="D1146">
        <f t="shared" si="75"/>
        <v>0</v>
      </c>
      <c r="E1146">
        <f t="shared" si="72"/>
        <v>2</v>
      </c>
      <c r="F1146">
        <v>2008</v>
      </c>
      <c r="G1146" t="s">
        <v>5260</v>
      </c>
      <c r="H1146">
        <v>0</v>
      </c>
      <c r="I1146" s="65">
        <v>0</v>
      </c>
      <c r="J1146" t="s">
        <v>5262</v>
      </c>
      <c r="K1146" s="35" t="s">
        <v>968</v>
      </c>
      <c r="L1146" s="35" t="s">
        <v>5261</v>
      </c>
      <c r="M1146" s="39" t="str">
        <f>HYPERLINK("http://dx.doi.org/10.1002/ps.1629","10.1002/ps.1629")</f>
        <v>10.1002/ps.1629</v>
      </c>
      <c r="N1146" s="40" t="s">
        <v>2243</v>
      </c>
      <c r="O1146" s="40" t="s">
        <v>915</v>
      </c>
      <c r="P1146" s="40" t="s">
        <v>5263</v>
      </c>
      <c r="Q1146" t="s">
        <v>316</v>
      </c>
    </row>
    <row r="1147" spans="1:17" x14ac:dyDescent="0.25">
      <c r="A1147" s="2" t="str">
        <f>HYPERLINK("https://www.ncbi.nlm.nih.gov/pubmed/18322939","18322939")</f>
        <v>18322939</v>
      </c>
      <c r="B1147">
        <f t="shared" si="75"/>
        <v>2</v>
      </c>
      <c r="C1147">
        <f t="shared" si="75"/>
        <v>0</v>
      </c>
      <c r="D1147">
        <f t="shared" si="75"/>
        <v>0</v>
      </c>
      <c r="E1147">
        <f t="shared" si="72"/>
        <v>2</v>
      </c>
      <c r="F1147">
        <v>2008</v>
      </c>
      <c r="G1147" t="s">
        <v>5349</v>
      </c>
      <c r="H1147">
        <v>1</v>
      </c>
      <c r="I1147" s="65">
        <v>0</v>
      </c>
      <c r="J1147" t="s">
        <v>5350</v>
      </c>
      <c r="K1147" s="35" t="s">
        <v>968</v>
      </c>
      <c r="L1147" s="35" t="s">
        <v>7140</v>
      </c>
      <c r="M1147" s="39" t="str">
        <f>HYPERLINK("http://dx.doi.org/10.1002/ps.1563","10.1002/ps.1563")</f>
        <v>10.1002/ps.1563</v>
      </c>
      <c r="N1147" s="40" t="s">
        <v>2243</v>
      </c>
      <c r="O1147" s="40" t="s">
        <v>741</v>
      </c>
      <c r="P1147" s="40" t="s">
        <v>5351</v>
      </c>
      <c r="Q1147" t="s">
        <v>316</v>
      </c>
    </row>
    <row r="1148" spans="1:17" x14ac:dyDescent="0.25">
      <c r="A1148" s="2" t="str">
        <f>HYPERLINK("https://www.ncbi.nlm.nih.gov/pubmed/18283946","18283946")</f>
        <v>18283946</v>
      </c>
      <c r="B1148">
        <f t="shared" si="75"/>
        <v>2</v>
      </c>
      <c r="C1148">
        <f t="shared" si="75"/>
        <v>0</v>
      </c>
      <c r="D1148">
        <f t="shared" si="75"/>
        <v>0</v>
      </c>
      <c r="E1148">
        <f t="shared" si="72"/>
        <v>2</v>
      </c>
      <c r="F1148">
        <v>2008</v>
      </c>
      <c r="G1148" t="s">
        <v>5357</v>
      </c>
      <c r="H1148">
        <v>0</v>
      </c>
      <c r="I1148" s="65">
        <v>0</v>
      </c>
      <c r="J1148" t="s">
        <v>5359</v>
      </c>
      <c r="K1148" s="35" t="s">
        <v>1027</v>
      </c>
      <c r="L1148" s="35" t="s">
        <v>5358</v>
      </c>
      <c r="M1148" s="39" t="str">
        <f>HYPERLINK("http://dx.doi.org/10.1603/0022-2585(2008)45[82:soaacq]2.0.co;2","10.1603/0022-2585(2008)45[82:soaacq]2.0.co;2")</f>
        <v>10.1603/0022-2585(2008)45[82:soaacq]2.0.co;2</v>
      </c>
      <c r="N1148" s="40" t="s">
        <v>765</v>
      </c>
      <c r="O1148" s="40" t="s">
        <v>638</v>
      </c>
      <c r="P1148" s="40" t="s">
        <v>5360</v>
      </c>
      <c r="Q1148" t="s">
        <v>316</v>
      </c>
    </row>
    <row r="1149" spans="1:17" x14ac:dyDescent="0.25">
      <c r="A1149" s="2" t="str">
        <f>HYPERLINK("https://www.ncbi.nlm.nih.gov/pubmed/17867872","17867872")</f>
        <v>17867872</v>
      </c>
      <c r="B1149">
        <f t="shared" si="75"/>
        <v>2</v>
      </c>
      <c r="C1149">
        <f t="shared" si="75"/>
        <v>3</v>
      </c>
      <c r="D1149">
        <f t="shared" si="75"/>
        <v>0</v>
      </c>
      <c r="E1149">
        <f t="shared" si="72"/>
        <v>5</v>
      </c>
      <c r="F1149">
        <v>2007</v>
      </c>
      <c r="G1149" t="s">
        <v>5437</v>
      </c>
      <c r="H1149">
        <v>0</v>
      </c>
      <c r="I1149" s="65">
        <v>0</v>
      </c>
      <c r="J1149" t="s">
        <v>5438</v>
      </c>
      <c r="K1149" s="35" t="s">
        <v>755</v>
      </c>
      <c r="L1149" s="35" t="s">
        <v>7154</v>
      </c>
      <c r="M1149" s="39" t="str">
        <f>HYPERLINK("http://dx.doi.org/10.1897/06-522R.1","10.1897/06-522R.1")</f>
        <v>10.1897/06-522R.1</v>
      </c>
      <c r="N1149" s="40" t="s">
        <v>752</v>
      </c>
      <c r="O1149" s="40" t="s">
        <v>802</v>
      </c>
      <c r="P1149" s="40" t="s">
        <v>5439</v>
      </c>
      <c r="Q1149" t="s">
        <v>316</v>
      </c>
    </row>
    <row r="1150" spans="1:17" x14ac:dyDescent="0.25">
      <c r="A1150" s="2" t="str">
        <f>HYPERLINK("https://www.ncbi.nlm.nih.gov/pubmed/17474012","17474012")</f>
        <v>17474012</v>
      </c>
      <c r="B1150">
        <f t="shared" si="75"/>
        <v>2</v>
      </c>
      <c r="C1150">
        <f t="shared" si="75"/>
        <v>0</v>
      </c>
      <c r="D1150">
        <f t="shared" si="75"/>
        <v>0</v>
      </c>
      <c r="E1150">
        <f t="shared" si="72"/>
        <v>2</v>
      </c>
      <c r="F1150">
        <v>2007</v>
      </c>
      <c r="G1150" t="s">
        <v>5479</v>
      </c>
      <c r="H1150">
        <v>0</v>
      </c>
      <c r="I1150" s="65">
        <v>0</v>
      </c>
      <c r="J1150" t="s">
        <v>5481</v>
      </c>
      <c r="K1150" s="35" t="s">
        <v>1413</v>
      </c>
      <c r="L1150" s="35" t="s">
        <v>5480</v>
      </c>
      <c r="M1150" s="39" t="str">
        <f>HYPERLINK("http://dx.doi.org/10.1080/03601230701309494","10.1080/03601230701309494")</f>
        <v>10.1080/03601230701309494</v>
      </c>
      <c r="N1150" s="40" t="s">
        <v>2803</v>
      </c>
      <c r="O1150" s="40" t="s">
        <v>690</v>
      </c>
      <c r="P1150" s="40" t="s">
        <v>5482</v>
      </c>
      <c r="Q1150" t="s">
        <v>316</v>
      </c>
    </row>
    <row r="1151" spans="1:17" x14ac:dyDescent="0.25">
      <c r="A1151" s="2" t="str">
        <f>HYPERLINK("https://www.ncbi.nlm.nih.gov/pubmed/17374190","17374190")</f>
        <v>17374190</v>
      </c>
      <c r="B1151">
        <f t="shared" si="75"/>
        <v>2</v>
      </c>
      <c r="C1151">
        <f t="shared" si="75"/>
        <v>0</v>
      </c>
      <c r="D1151">
        <f t="shared" si="75"/>
        <v>0</v>
      </c>
      <c r="E1151">
        <f t="shared" si="72"/>
        <v>2</v>
      </c>
      <c r="F1151">
        <v>2007</v>
      </c>
      <c r="G1151" t="s">
        <v>5497</v>
      </c>
      <c r="H1151">
        <v>0</v>
      </c>
      <c r="I1151" s="65">
        <v>0</v>
      </c>
      <c r="J1151" t="s">
        <v>5499</v>
      </c>
      <c r="K1151" s="35" t="s">
        <v>4905</v>
      </c>
      <c r="L1151" s="35" t="s">
        <v>5498</v>
      </c>
      <c r="M1151" s="39" t="str">
        <f>HYPERLINK("http://dx.doi.org/","")</f>
        <v/>
      </c>
      <c r="N1151" s="40" t="s">
        <v>1369</v>
      </c>
      <c r="O1151" s="40" t="s">
        <v>638</v>
      </c>
      <c r="P1151" s="40" t="s">
        <v>5500</v>
      </c>
      <c r="Q1151" t="s">
        <v>316</v>
      </c>
    </row>
    <row r="1152" spans="1:17" x14ac:dyDescent="0.25">
      <c r="A1152" s="2" t="str">
        <f>HYPERLINK("https://www.ncbi.nlm.nih.gov/pubmed/17201770","17201770")</f>
        <v>17201770</v>
      </c>
      <c r="B1152">
        <f t="shared" si="75"/>
        <v>2</v>
      </c>
      <c r="C1152">
        <f t="shared" si="75"/>
        <v>0</v>
      </c>
      <c r="D1152">
        <f t="shared" si="75"/>
        <v>0</v>
      </c>
      <c r="E1152">
        <f t="shared" si="72"/>
        <v>2</v>
      </c>
      <c r="F1152">
        <v>2006</v>
      </c>
      <c r="G1152" t="s">
        <v>5525</v>
      </c>
      <c r="H1152">
        <v>0</v>
      </c>
      <c r="I1152" s="65">
        <v>0</v>
      </c>
      <c r="J1152" t="s">
        <v>5526</v>
      </c>
      <c r="K1152" s="35" t="s">
        <v>2238</v>
      </c>
      <c r="L1152" s="35" t="s">
        <v>7166</v>
      </c>
      <c r="M1152" s="39" t="str">
        <f>HYPERLINK("http://dx.doi.org/10.1111/j.1365-2583.2006.00680.x","10.1111/j.1365-2583.2006.00680.x")</f>
        <v>10.1111/j.1365-2583.2006.00680.x</v>
      </c>
      <c r="N1152" s="40" t="s">
        <v>929</v>
      </c>
      <c r="O1152" s="40" t="s">
        <v>741</v>
      </c>
      <c r="P1152" s="40" t="s">
        <v>5527</v>
      </c>
      <c r="Q1152" t="s">
        <v>316</v>
      </c>
    </row>
    <row r="1153" spans="1:17" x14ac:dyDescent="0.25">
      <c r="A1153" s="2" t="str">
        <f>HYPERLINK("https://www.ncbi.nlm.nih.gov/pubmed/17066809","17066809")</f>
        <v>17066809</v>
      </c>
      <c r="B1153">
        <f t="shared" si="75"/>
        <v>2</v>
      </c>
      <c r="C1153">
        <f t="shared" si="75"/>
        <v>0</v>
      </c>
      <c r="D1153">
        <f t="shared" si="75"/>
        <v>0</v>
      </c>
      <c r="E1153">
        <f t="shared" si="72"/>
        <v>2</v>
      </c>
      <c r="F1153">
        <v>2006</v>
      </c>
      <c r="G1153" t="s">
        <v>5558</v>
      </c>
      <c r="H1153">
        <v>0</v>
      </c>
      <c r="I1153" s="65">
        <v>0</v>
      </c>
      <c r="J1153" t="s">
        <v>5560</v>
      </c>
      <c r="K1153" s="35" t="s">
        <v>909</v>
      </c>
      <c r="L1153" s="35" t="s">
        <v>5559</v>
      </c>
      <c r="M1153" s="39" t="str">
        <f>HYPERLINK("http://dx.doi.org/10.1603/0022-0493-99.5.1757","10.1603/0022-0493-99.5.1757")</f>
        <v>10.1603/0022-0493-99.5.1757</v>
      </c>
      <c r="N1153" s="40" t="s">
        <v>3055</v>
      </c>
      <c r="O1153" s="40" t="s">
        <v>746</v>
      </c>
      <c r="P1153" s="40" t="s">
        <v>5561</v>
      </c>
      <c r="Q1153" t="s">
        <v>316</v>
      </c>
    </row>
    <row r="1154" spans="1:17" x14ac:dyDescent="0.25">
      <c r="A1154" s="2" t="str">
        <f>HYPERLINK("https://www.ncbi.nlm.nih.gov/pubmed/16886171","16886171")</f>
        <v>16886171</v>
      </c>
      <c r="B1154">
        <f t="shared" si="75"/>
        <v>2</v>
      </c>
      <c r="C1154">
        <f t="shared" si="75"/>
        <v>0</v>
      </c>
      <c r="D1154">
        <f t="shared" si="75"/>
        <v>0</v>
      </c>
      <c r="E1154">
        <f t="shared" si="72"/>
        <v>2</v>
      </c>
      <c r="F1154">
        <v>2006</v>
      </c>
      <c r="G1154" t="s">
        <v>5589</v>
      </c>
      <c r="H1154">
        <v>0</v>
      </c>
      <c r="I1154" s="65">
        <v>0</v>
      </c>
      <c r="J1154" t="s">
        <v>5590</v>
      </c>
      <c r="K1154" s="35" t="s">
        <v>968</v>
      </c>
      <c r="L1154" s="35" t="s">
        <v>7172</v>
      </c>
      <c r="M1154" s="39" t="str">
        <f>HYPERLINK("http://dx.doi.org/10.1002/ps.1270","10.1002/ps.1270")</f>
        <v>10.1002/ps.1270</v>
      </c>
      <c r="N1154" s="40" t="s">
        <v>2372</v>
      </c>
      <c r="O1154" s="40" t="s">
        <v>678</v>
      </c>
      <c r="P1154" s="40" t="s">
        <v>5591</v>
      </c>
      <c r="Q1154" t="s">
        <v>316</v>
      </c>
    </row>
    <row r="1155" spans="1:17" x14ac:dyDescent="0.25">
      <c r="A1155" s="2" t="str">
        <f>HYPERLINK("https://www.ncbi.nlm.nih.gov/pubmed/16884176","16884176")</f>
        <v>16884176</v>
      </c>
      <c r="B1155">
        <f t="shared" si="75"/>
        <v>2</v>
      </c>
      <c r="C1155">
        <f t="shared" si="75"/>
        <v>0</v>
      </c>
      <c r="D1155">
        <f t="shared" si="75"/>
        <v>0</v>
      </c>
      <c r="E1155">
        <f t="shared" si="72"/>
        <v>2</v>
      </c>
      <c r="F1155">
        <v>2006</v>
      </c>
      <c r="G1155" t="s">
        <v>5592</v>
      </c>
      <c r="H1155">
        <v>0</v>
      </c>
      <c r="I1155" s="65">
        <v>0</v>
      </c>
      <c r="J1155" t="s">
        <v>5594</v>
      </c>
      <c r="K1155" s="35" t="s">
        <v>5595</v>
      </c>
      <c r="L1155" s="35" t="s">
        <v>5593</v>
      </c>
      <c r="M1155" s="39" t="str">
        <f>HYPERLINK("http://dx.doi.org/","")</f>
        <v/>
      </c>
      <c r="N1155" s="40" t="s">
        <v>765</v>
      </c>
      <c r="O1155" s="40" t="s">
        <v>690</v>
      </c>
      <c r="P1155" s="40" t="s">
        <v>5596</v>
      </c>
      <c r="Q1155" t="s">
        <v>316</v>
      </c>
    </row>
    <row r="1156" spans="1:17" x14ac:dyDescent="0.25">
      <c r="A1156" s="2" t="str">
        <f>HYPERLINK("https://www.ncbi.nlm.nih.gov/pubmed/16813325","16813325")</f>
        <v>16813325</v>
      </c>
      <c r="B1156">
        <f t="shared" si="75"/>
        <v>2</v>
      </c>
      <c r="C1156">
        <f t="shared" si="75"/>
        <v>0</v>
      </c>
      <c r="D1156">
        <f t="shared" si="75"/>
        <v>0</v>
      </c>
      <c r="E1156">
        <f t="shared" ref="E1156:E1219" si="76">SUM(B1156:D1156)</f>
        <v>2</v>
      </c>
      <c r="F1156">
        <v>2006</v>
      </c>
      <c r="G1156" t="s">
        <v>5619</v>
      </c>
      <c r="H1156">
        <v>0</v>
      </c>
      <c r="I1156" s="65">
        <v>0</v>
      </c>
      <c r="J1156" t="s">
        <v>5620</v>
      </c>
      <c r="K1156" s="35" t="s">
        <v>909</v>
      </c>
      <c r="L1156" s="35" t="s">
        <v>7177</v>
      </c>
      <c r="M1156" s="39" t="str">
        <f>HYPERLINK("http://dx.doi.org/10.1603/0022-0493-99.3.879","10.1603/0022-0493-99.3.879")</f>
        <v>10.1603/0022-0493-99.3.879</v>
      </c>
      <c r="N1156" s="40" t="s">
        <v>3055</v>
      </c>
      <c r="O1156" s="40" t="s">
        <v>750</v>
      </c>
      <c r="P1156" s="40" t="s">
        <v>5621</v>
      </c>
      <c r="Q1156" t="s">
        <v>316</v>
      </c>
    </row>
    <row r="1157" spans="1:17" x14ac:dyDescent="0.25">
      <c r="A1157" s="2" t="str">
        <f>HYPERLINK("https://www.ncbi.nlm.nih.gov/pubmed/16539149","16539149")</f>
        <v>16539149</v>
      </c>
      <c r="B1157">
        <f t="shared" si="75"/>
        <v>2</v>
      </c>
      <c r="C1157">
        <f t="shared" si="75"/>
        <v>0</v>
      </c>
      <c r="D1157">
        <f t="shared" si="75"/>
        <v>0</v>
      </c>
      <c r="E1157">
        <f t="shared" si="76"/>
        <v>2</v>
      </c>
      <c r="F1157">
        <v>2005</v>
      </c>
      <c r="G1157" t="s">
        <v>5665</v>
      </c>
      <c r="H1157">
        <v>0</v>
      </c>
      <c r="I1157" s="65">
        <v>0</v>
      </c>
      <c r="J1157" t="s">
        <v>5666</v>
      </c>
      <c r="K1157" s="35" t="s">
        <v>909</v>
      </c>
      <c r="L1157" s="35" t="s">
        <v>7186</v>
      </c>
      <c r="M1157" s="39" t="str">
        <f>HYPERLINK("http://dx.doi.org/10.1093/jee/98.6.2181","10.1093/jee/98.6.2181")</f>
        <v>10.1093/jee/98.6.2181</v>
      </c>
      <c r="N1157" s="40" t="s">
        <v>3516</v>
      </c>
      <c r="O1157" s="40" t="s">
        <v>741</v>
      </c>
      <c r="P1157" s="40" t="s">
        <v>5667</v>
      </c>
      <c r="Q1157" t="s">
        <v>316</v>
      </c>
    </row>
    <row r="1158" spans="1:17" x14ac:dyDescent="0.25">
      <c r="A1158" s="2" t="str">
        <f>HYPERLINK("https://www.ncbi.nlm.nih.gov/pubmed/16468015","16468015")</f>
        <v>16468015</v>
      </c>
      <c r="B1158">
        <f t="shared" si="75"/>
        <v>2</v>
      </c>
      <c r="C1158">
        <f t="shared" si="75"/>
        <v>0</v>
      </c>
      <c r="D1158">
        <f t="shared" si="75"/>
        <v>0</v>
      </c>
      <c r="E1158">
        <f t="shared" si="76"/>
        <v>2</v>
      </c>
      <c r="F1158">
        <v>2006</v>
      </c>
      <c r="G1158" t="s">
        <v>5679</v>
      </c>
      <c r="H1158">
        <v>0</v>
      </c>
      <c r="I1158" s="65">
        <v>0</v>
      </c>
      <c r="J1158" t="s">
        <v>5681</v>
      </c>
      <c r="K1158" s="35" t="s">
        <v>3164</v>
      </c>
      <c r="L1158" s="35" t="s">
        <v>5680</v>
      </c>
      <c r="M1158" s="39" t="str">
        <f>HYPERLINK("http://dx.doi.org/10.1007/s00128-006-0926-x","10.1007/s00128-006-0926-x")</f>
        <v>10.1007/s00128-006-0926-x</v>
      </c>
      <c r="N1158" s="40" t="s">
        <v>1485</v>
      </c>
      <c r="O1158" s="40" t="s">
        <v>744</v>
      </c>
      <c r="P1158" s="40" t="s">
        <v>5682</v>
      </c>
      <c r="Q1158" t="s">
        <v>316</v>
      </c>
    </row>
    <row r="1159" spans="1:17" x14ac:dyDescent="0.25">
      <c r="A1159" s="2" t="str">
        <f>HYPERLINK("https://www.ncbi.nlm.nih.gov/pubmed/16286085","16286085")</f>
        <v>16286085</v>
      </c>
      <c r="B1159">
        <f t="shared" si="75"/>
        <v>2</v>
      </c>
      <c r="C1159">
        <f t="shared" si="75"/>
        <v>0</v>
      </c>
      <c r="D1159">
        <f t="shared" si="75"/>
        <v>0</v>
      </c>
      <c r="E1159">
        <f t="shared" si="76"/>
        <v>2</v>
      </c>
      <c r="F1159">
        <v>2005</v>
      </c>
      <c r="G1159" t="s">
        <v>5706</v>
      </c>
      <c r="H1159">
        <v>0</v>
      </c>
      <c r="I1159" s="65">
        <v>0</v>
      </c>
      <c r="J1159" t="s">
        <v>5708</v>
      </c>
      <c r="K1159" s="35" t="s">
        <v>5709</v>
      </c>
      <c r="L1159" s="35" t="s">
        <v>5707</v>
      </c>
      <c r="M1159" s="39" t="str">
        <f>HYPERLINK("http://dx.doi.org/10.1016/j.crvi.2005.09.003","10.1016/j.crvi.2005.09.003")</f>
        <v>10.1016/j.crvi.2005.09.003</v>
      </c>
      <c r="N1159" s="40" t="s">
        <v>5710</v>
      </c>
      <c r="O1159" s="40" t="s">
        <v>5711</v>
      </c>
      <c r="P1159" s="40" t="s">
        <v>5712</v>
      </c>
      <c r="Q1159" t="s">
        <v>316</v>
      </c>
    </row>
    <row r="1160" spans="1:17" x14ac:dyDescent="0.25">
      <c r="A1160" s="2" t="str">
        <f>HYPERLINK("https://www.ncbi.nlm.nih.gov/pubmed/16097320","16097320")</f>
        <v>16097320</v>
      </c>
      <c r="B1160">
        <f t="shared" si="75"/>
        <v>2</v>
      </c>
      <c r="C1160">
        <f t="shared" si="75"/>
        <v>0</v>
      </c>
      <c r="D1160">
        <f t="shared" si="75"/>
        <v>0</v>
      </c>
      <c r="E1160">
        <f t="shared" si="76"/>
        <v>2</v>
      </c>
      <c r="F1160">
        <v>2005</v>
      </c>
      <c r="G1160" t="s">
        <v>5740</v>
      </c>
      <c r="H1160">
        <v>0</v>
      </c>
      <c r="I1160" s="65">
        <v>0</v>
      </c>
      <c r="J1160" t="s">
        <v>5742</v>
      </c>
      <c r="K1160" s="35" t="s">
        <v>3164</v>
      </c>
      <c r="L1160" s="35" t="s">
        <v>5741</v>
      </c>
      <c r="M1160" s="39" t="str">
        <f>HYPERLINK("http://dx.doi.org/10.1007/s00128-005-0662-7","10.1007/s00128-005-0662-7")</f>
        <v>10.1007/s00128-005-0662-7</v>
      </c>
      <c r="N1160" s="40" t="s">
        <v>2474</v>
      </c>
      <c r="O1160" s="40" t="s">
        <v>746</v>
      </c>
      <c r="P1160" s="40" t="s">
        <v>5743</v>
      </c>
      <c r="Q1160" t="s">
        <v>316</v>
      </c>
    </row>
    <row r="1161" spans="1:17" x14ac:dyDescent="0.25">
      <c r="A1161" s="2" t="str">
        <f>HYPERLINK("https://www.ncbi.nlm.nih.gov/pubmed/15889743","15889743")</f>
        <v>15889743</v>
      </c>
      <c r="B1161">
        <f t="shared" si="75"/>
        <v>2</v>
      </c>
      <c r="C1161">
        <f t="shared" si="75"/>
        <v>0</v>
      </c>
      <c r="D1161">
        <f t="shared" si="75"/>
        <v>0</v>
      </c>
      <c r="E1161">
        <f t="shared" si="76"/>
        <v>2</v>
      </c>
      <c r="F1161">
        <v>2005</v>
      </c>
      <c r="G1161" t="s">
        <v>5799</v>
      </c>
      <c r="H1161">
        <v>0</v>
      </c>
      <c r="I1161" s="65">
        <v>0</v>
      </c>
      <c r="J1161" t="s">
        <v>5801</v>
      </c>
      <c r="K1161" s="35" t="s">
        <v>909</v>
      </c>
      <c r="L1161" s="35" t="s">
        <v>5800</v>
      </c>
      <c r="M1161" s="39" t="str">
        <f>HYPERLINK("http://dx.doi.org/10.1093/jee/98.2.493","10.1093/jee/98.2.493")</f>
        <v>10.1093/jee/98.2.493</v>
      </c>
      <c r="N1161" s="40" t="s">
        <v>3516</v>
      </c>
      <c r="O1161" s="40" t="s">
        <v>744</v>
      </c>
      <c r="P1161" s="40" t="s">
        <v>5802</v>
      </c>
      <c r="Q1161" t="s">
        <v>316</v>
      </c>
    </row>
    <row r="1162" spans="1:17" x14ac:dyDescent="0.25">
      <c r="A1162" s="2" t="str">
        <f>HYPERLINK("https://www.ncbi.nlm.nih.gov/pubmed/15889742","15889742")</f>
        <v>15889742</v>
      </c>
      <c r="B1162">
        <f t="shared" si="75"/>
        <v>2</v>
      </c>
      <c r="C1162">
        <f t="shared" si="75"/>
        <v>0</v>
      </c>
      <c r="D1162">
        <f t="shared" si="75"/>
        <v>0</v>
      </c>
      <c r="E1162">
        <f t="shared" si="76"/>
        <v>2</v>
      </c>
      <c r="F1162">
        <v>2005</v>
      </c>
      <c r="G1162" t="s">
        <v>5803</v>
      </c>
      <c r="H1162">
        <v>0</v>
      </c>
      <c r="I1162" s="65">
        <v>0</v>
      </c>
      <c r="J1162" t="s">
        <v>5804</v>
      </c>
      <c r="K1162" s="35" t="s">
        <v>909</v>
      </c>
      <c r="L1162" s="35" t="s">
        <v>7200</v>
      </c>
      <c r="M1162" s="39" t="str">
        <f>HYPERLINK("http://dx.doi.org/10.1093/jee/98.2.485","10.1093/jee/98.2.485")</f>
        <v>10.1093/jee/98.2.485</v>
      </c>
      <c r="N1162" s="40" t="s">
        <v>3516</v>
      </c>
      <c r="O1162" s="40" t="s">
        <v>744</v>
      </c>
      <c r="P1162" s="40" t="s">
        <v>5805</v>
      </c>
      <c r="Q1162" t="s">
        <v>316</v>
      </c>
    </row>
    <row r="1163" spans="1:17" x14ac:dyDescent="0.25">
      <c r="A1163" s="2" t="str">
        <f>HYPERLINK("https://www.ncbi.nlm.nih.gov/pubmed/15666758","15666758")</f>
        <v>15666758</v>
      </c>
      <c r="B1163">
        <f t="shared" si="75"/>
        <v>2</v>
      </c>
      <c r="C1163">
        <f t="shared" si="75"/>
        <v>0</v>
      </c>
      <c r="D1163">
        <f t="shared" si="75"/>
        <v>0</v>
      </c>
      <c r="E1163">
        <f t="shared" si="76"/>
        <v>2</v>
      </c>
      <c r="F1163">
        <v>2004</v>
      </c>
      <c r="G1163" t="s">
        <v>5849</v>
      </c>
      <c r="H1163">
        <v>0</v>
      </c>
      <c r="I1163" s="65">
        <v>0</v>
      </c>
      <c r="J1163" t="s">
        <v>5851</v>
      </c>
      <c r="K1163" s="35" t="s">
        <v>909</v>
      </c>
      <c r="L1163" s="35" t="s">
        <v>5850</v>
      </c>
      <c r="M1163" s="39" t="str">
        <f>HYPERLINK("http://dx.doi.org/10.1093/jee/97.6.2006","10.1093/jee/97.6.2006")</f>
        <v>10.1093/jee/97.6.2006</v>
      </c>
      <c r="N1163" s="40" t="s">
        <v>749</v>
      </c>
      <c r="O1163" s="40" t="s">
        <v>741</v>
      </c>
      <c r="P1163" s="40" t="s">
        <v>5852</v>
      </c>
      <c r="Q1163" t="s">
        <v>316</v>
      </c>
    </row>
    <row r="1164" spans="1:17" x14ac:dyDescent="0.25">
      <c r="A1164" s="2" t="str">
        <f>HYPERLINK("https://www.ncbi.nlm.nih.gov/pubmed/15605642","15605642")</f>
        <v>15605642</v>
      </c>
      <c r="B1164">
        <f t="shared" ref="B1164:D1183" si="77">IF(ISBLANK(B$3),0,(LEN($L1164) - LEN(SUBSTITUTE(LOWER($L1164),LOWER(B$3),"")))/LEN(B$3))</f>
        <v>2</v>
      </c>
      <c r="C1164">
        <f t="shared" si="77"/>
        <v>0</v>
      </c>
      <c r="D1164">
        <f t="shared" si="77"/>
        <v>0</v>
      </c>
      <c r="E1164">
        <f t="shared" si="76"/>
        <v>2</v>
      </c>
      <c r="F1164">
        <v>2004</v>
      </c>
      <c r="G1164" t="s">
        <v>5861</v>
      </c>
      <c r="H1164">
        <v>0</v>
      </c>
      <c r="I1164" s="65">
        <v>0</v>
      </c>
      <c r="J1164" t="s">
        <v>5863</v>
      </c>
      <c r="K1164" s="35" t="s">
        <v>1027</v>
      </c>
      <c r="L1164" s="35" t="s">
        <v>5862</v>
      </c>
      <c r="M1164" s="39" t="str">
        <f>HYPERLINK("http://dx.doi.org/10.1603/0022-2585-41.6.1034","10.1603/0022-2585-41.6.1034")</f>
        <v>10.1603/0022-2585-41.6.1034</v>
      </c>
      <c r="N1164" s="40" t="s">
        <v>1104</v>
      </c>
      <c r="O1164" s="40" t="s">
        <v>741</v>
      </c>
      <c r="P1164" s="40" t="s">
        <v>5864</v>
      </c>
      <c r="Q1164" t="s">
        <v>316</v>
      </c>
    </row>
    <row r="1165" spans="1:17" x14ac:dyDescent="0.25">
      <c r="A1165" s="2" t="str">
        <f>HYPERLINK("https://www.ncbi.nlm.nih.gov/pubmed/15578595","15578595")</f>
        <v>15578595</v>
      </c>
      <c r="B1165">
        <f t="shared" si="77"/>
        <v>2</v>
      </c>
      <c r="C1165">
        <f t="shared" si="77"/>
        <v>0</v>
      </c>
      <c r="D1165">
        <f t="shared" si="77"/>
        <v>0</v>
      </c>
      <c r="E1165">
        <f t="shared" si="76"/>
        <v>2</v>
      </c>
      <c r="F1165">
        <v>2004</v>
      </c>
      <c r="G1165" t="s">
        <v>5871</v>
      </c>
      <c r="H1165">
        <v>0</v>
      </c>
      <c r="I1165" s="65">
        <v>0</v>
      </c>
      <c r="J1165" t="s">
        <v>5873</v>
      </c>
      <c r="K1165" s="35" t="s">
        <v>968</v>
      </c>
      <c r="L1165" s="35" t="s">
        <v>5872</v>
      </c>
      <c r="M1165" s="39" t="str">
        <f>HYPERLINK("http://dx.doi.org/10.1002/ps.937","10.1002/ps.937")</f>
        <v>10.1002/ps.937</v>
      </c>
      <c r="N1165" s="40" t="s">
        <v>1655</v>
      </c>
      <c r="O1165" s="40" t="s">
        <v>915</v>
      </c>
      <c r="P1165" s="40" t="s">
        <v>5874</v>
      </c>
      <c r="Q1165" t="s">
        <v>316</v>
      </c>
    </row>
    <row r="1166" spans="1:17" x14ac:dyDescent="0.25">
      <c r="A1166" s="2" t="str">
        <f>HYPERLINK("https://www.ncbi.nlm.nih.gov/pubmed/15535626","15535626")</f>
        <v>15535626</v>
      </c>
      <c r="B1166">
        <f t="shared" si="77"/>
        <v>2</v>
      </c>
      <c r="C1166">
        <f t="shared" si="77"/>
        <v>0</v>
      </c>
      <c r="D1166">
        <f t="shared" si="77"/>
        <v>0</v>
      </c>
      <c r="E1166">
        <f t="shared" si="76"/>
        <v>2</v>
      </c>
      <c r="F1166">
        <v>2004</v>
      </c>
      <c r="G1166" t="s">
        <v>5882</v>
      </c>
      <c r="H1166">
        <v>0</v>
      </c>
      <c r="I1166" s="65">
        <v>0</v>
      </c>
      <c r="J1166" t="s">
        <v>5884</v>
      </c>
      <c r="K1166" s="35" t="s">
        <v>1027</v>
      </c>
      <c r="L1166" s="35" t="s">
        <v>5883</v>
      </c>
      <c r="M1166" s="39" t="str">
        <f>HYPERLINK("http://dx.doi.org/10.1603/0022-2585-41.5.946","10.1603/0022-2585-41.5.946")</f>
        <v>10.1603/0022-2585-41.5.946</v>
      </c>
      <c r="N1166" s="40" t="s">
        <v>1104</v>
      </c>
      <c r="O1166" s="40" t="s">
        <v>746</v>
      </c>
      <c r="P1166" s="40" t="s">
        <v>5885</v>
      </c>
      <c r="Q1166" t="s">
        <v>316</v>
      </c>
    </row>
    <row r="1167" spans="1:17" x14ac:dyDescent="0.25">
      <c r="A1167" s="2" t="str">
        <f>HYPERLINK("https://www.ncbi.nlm.nih.gov/pubmed/15154488","15154488")</f>
        <v>15154488</v>
      </c>
      <c r="B1167">
        <f t="shared" si="77"/>
        <v>2</v>
      </c>
      <c r="C1167">
        <f t="shared" si="77"/>
        <v>0</v>
      </c>
      <c r="D1167">
        <f t="shared" si="77"/>
        <v>0</v>
      </c>
      <c r="E1167">
        <f t="shared" si="76"/>
        <v>2</v>
      </c>
      <c r="F1167">
        <v>2004</v>
      </c>
      <c r="G1167" t="s">
        <v>5947</v>
      </c>
      <c r="H1167">
        <v>0</v>
      </c>
      <c r="I1167" s="65">
        <v>0</v>
      </c>
      <c r="J1167" t="s">
        <v>5948</v>
      </c>
      <c r="K1167" s="35" t="s">
        <v>909</v>
      </c>
      <c r="L1167" s="35" t="s">
        <v>7215</v>
      </c>
      <c r="M1167" s="39" t="str">
        <f>HYPERLINK("http://dx.doi.org/10.1093/jee/97.2.601","10.1093/jee/97.2.601")</f>
        <v>10.1093/jee/97.2.601</v>
      </c>
      <c r="N1167" s="40" t="s">
        <v>749</v>
      </c>
      <c r="O1167" s="40" t="s">
        <v>744</v>
      </c>
      <c r="P1167" s="40" t="s">
        <v>5949</v>
      </c>
      <c r="Q1167" t="s">
        <v>316</v>
      </c>
    </row>
    <row r="1168" spans="1:17" x14ac:dyDescent="0.25">
      <c r="A1168" s="2" t="str">
        <f>HYPERLINK("https://www.ncbi.nlm.nih.gov/pubmed/14567575","14567575")</f>
        <v>14567575</v>
      </c>
      <c r="B1168">
        <f t="shared" si="77"/>
        <v>2</v>
      </c>
      <c r="C1168">
        <f t="shared" si="77"/>
        <v>0</v>
      </c>
      <c r="D1168">
        <f t="shared" si="77"/>
        <v>0</v>
      </c>
      <c r="E1168">
        <f t="shared" si="76"/>
        <v>2</v>
      </c>
      <c r="F1168">
        <v>2003</v>
      </c>
      <c r="G1168" t="s">
        <v>6010</v>
      </c>
      <c r="H1168">
        <v>0</v>
      </c>
      <c r="I1168" s="65">
        <v>0</v>
      </c>
      <c r="J1168" t="s">
        <v>6012</v>
      </c>
      <c r="K1168" s="35" t="s">
        <v>3164</v>
      </c>
      <c r="L1168" s="35" t="s">
        <v>6011</v>
      </c>
      <c r="M1168" s="39" t="str">
        <f>HYPERLINK("http://dx.doi.org/10.1007/s00128-003-8920-z","10.1007/s00128-003-8920-z")</f>
        <v>10.1007/s00128-003-8920-z</v>
      </c>
      <c r="N1168" s="40" t="s">
        <v>3255</v>
      </c>
      <c r="O1168" s="40" t="s">
        <v>750</v>
      </c>
      <c r="P1168" s="40" t="s">
        <v>6013</v>
      </c>
      <c r="Q1168" t="s">
        <v>316</v>
      </c>
    </row>
    <row r="1169" spans="1:17" x14ac:dyDescent="0.25">
      <c r="A1169" s="2" t="str">
        <f>HYPERLINK("https://www.ncbi.nlm.nih.gov/pubmed/12770577","12770577")</f>
        <v>12770577</v>
      </c>
      <c r="B1169">
        <f t="shared" si="77"/>
        <v>2</v>
      </c>
      <c r="C1169">
        <f t="shared" si="77"/>
        <v>0</v>
      </c>
      <c r="D1169">
        <f t="shared" si="77"/>
        <v>0</v>
      </c>
      <c r="E1169">
        <f t="shared" si="76"/>
        <v>2</v>
      </c>
      <c r="F1169">
        <v>2003</v>
      </c>
      <c r="G1169" t="s">
        <v>6049</v>
      </c>
      <c r="H1169">
        <v>0</v>
      </c>
      <c r="I1169" s="65">
        <v>0</v>
      </c>
      <c r="J1169" t="s">
        <v>6051</v>
      </c>
      <c r="K1169" s="35" t="s">
        <v>2206</v>
      </c>
      <c r="L1169" s="35" t="s">
        <v>6050</v>
      </c>
      <c r="M1169" s="39" t="str">
        <f>HYPERLINK("http://dx.doi.org/10.1016/s0965-1748(03)00038-9","10.1016/s0965-1748(03)00038-9")</f>
        <v>10.1016/s0965-1748(03)00038-9</v>
      </c>
      <c r="N1169" s="40" t="s">
        <v>877</v>
      </c>
      <c r="O1169" s="40" t="s">
        <v>741</v>
      </c>
      <c r="P1169" s="40" t="s">
        <v>6052</v>
      </c>
      <c r="Q1169" t="s">
        <v>316</v>
      </c>
    </row>
    <row r="1170" spans="1:17" x14ac:dyDescent="0.25">
      <c r="A1170" s="2" t="str">
        <f>HYPERLINK("https://www.ncbi.nlm.nih.gov/pubmed/12677386","12677386")</f>
        <v>12677386</v>
      </c>
      <c r="B1170">
        <f t="shared" si="77"/>
        <v>2</v>
      </c>
      <c r="C1170">
        <f t="shared" si="77"/>
        <v>0</v>
      </c>
      <c r="D1170">
        <f t="shared" si="77"/>
        <v>0</v>
      </c>
      <c r="E1170">
        <f t="shared" si="76"/>
        <v>2</v>
      </c>
      <c r="F1170">
        <v>2003</v>
      </c>
      <c r="G1170" t="s">
        <v>6077</v>
      </c>
      <c r="H1170">
        <v>0</v>
      </c>
      <c r="I1170" s="65">
        <v>0</v>
      </c>
      <c r="J1170" t="s">
        <v>6079</v>
      </c>
      <c r="K1170" s="35" t="s">
        <v>3164</v>
      </c>
      <c r="L1170" s="35" t="s">
        <v>6078</v>
      </c>
      <c r="M1170" s="39" t="str">
        <f>HYPERLINK("http://dx.doi.org/10.1007/s00128-003-0046-9","10.1007/s00128-003-0046-9")</f>
        <v>10.1007/s00128-003-0046-9</v>
      </c>
      <c r="N1170" s="40" t="s">
        <v>2957</v>
      </c>
      <c r="O1170" s="40" t="s">
        <v>690</v>
      </c>
      <c r="P1170" s="40" t="s">
        <v>6080</v>
      </c>
      <c r="Q1170" t="s">
        <v>316</v>
      </c>
    </row>
    <row r="1171" spans="1:17" x14ac:dyDescent="0.25">
      <c r="A1171" s="2" t="str">
        <f>HYPERLINK("https://www.ncbi.nlm.nih.gov/pubmed/12596384","12596384")</f>
        <v>12596384</v>
      </c>
      <c r="B1171">
        <f t="shared" si="77"/>
        <v>2</v>
      </c>
      <c r="C1171">
        <f t="shared" si="77"/>
        <v>2</v>
      </c>
      <c r="D1171">
        <f t="shared" si="77"/>
        <v>0</v>
      </c>
      <c r="E1171">
        <f t="shared" si="76"/>
        <v>4</v>
      </c>
      <c r="F1171">
        <v>2002</v>
      </c>
      <c r="G1171" t="s">
        <v>6086</v>
      </c>
      <c r="H1171">
        <v>0</v>
      </c>
      <c r="I1171" s="65">
        <v>0</v>
      </c>
      <c r="J1171" t="s">
        <v>6087</v>
      </c>
      <c r="K1171" s="35" t="s">
        <v>6088</v>
      </c>
      <c r="L1171" s="35" t="s">
        <v>7229</v>
      </c>
      <c r="M1171" s="39" t="str">
        <f>HYPERLINK("http://dx.doi.org/","")</f>
        <v/>
      </c>
      <c r="N1171" s="40" t="s">
        <v>6089</v>
      </c>
      <c r="O1171" s="40" t="s">
        <v>690</v>
      </c>
      <c r="P1171" s="40" t="s">
        <v>6090</v>
      </c>
      <c r="Q1171" t="s">
        <v>316</v>
      </c>
    </row>
    <row r="1172" spans="1:17" x14ac:dyDescent="0.25">
      <c r="A1172" s="2" t="str">
        <f>HYPERLINK("https://www.ncbi.nlm.nih.gov/pubmed/12592529","12592529")</f>
        <v>12592529</v>
      </c>
      <c r="B1172">
        <f t="shared" si="77"/>
        <v>2</v>
      </c>
      <c r="C1172">
        <f t="shared" si="77"/>
        <v>0</v>
      </c>
      <c r="D1172">
        <f t="shared" si="77"/>
        <v>0</v>
      </c>
      <c r="E1172">
        <f t="shared" si="76"/>
        <v>2</v>
      </c>
      <c r="F1172">
        <v>2003</v>
      </c>
      <c r="G1172" t="s">
        <v>6091</v>
      </c>
      <c r="H1172">
        <v>0</v>
      </c>
      <c r="I1172" s="65">
        <v>0</v>
      </c>
      <c r="J1172" t="s">
        <v>6093</v>
      </c>
      <c r="K1172" s="35" t="s">
        <v>3164</v>
      </c>
      <c r="L1172" s="35" t="s">
        <v>6092</v>
      </c>
      <c r="M1172" s="39" t="str">
        <f>HYPERLINK("http://dx.doi.org/10.1007/s00128-003-0019-z","10.1007/s00128-003-0019-z")</f>
        <v>10.1007/s00128-003-0019-z</v>
      </c>
      <c r="N1172" s="40" t="s">
        <v>2957</v>
      </c>
      <c r="O1172" s="40" t="s">
        <v>750</v>
      </c>
      <c r="P1172" s="40" t="s">
        <v>6094</v>
      </c>
      <c r="Q1172" t="s">
        <v>316</v>
      </c>
    </row>
    <row r="1173" spans="1:17" x14ac:dyDescent="0.25">
      <c r="A1173" s="2" t="str">
        <f>HYPERLINK("https://www.ncbi.nlm.nih.gov/pubmed/12403426","12403426")</f>
        <v>12403426</v>
      </c>
      <c r="B1173">
        <f t="shared" si="77"/>
        <v>2</v>
      </c>
      <c r="C1173">
        <f t="shared" si="77"/>
        <v>0</v>
      </c>
      <c r="D1173">
        <f t="shared" si="77"/>
        <v>0</v>
      </c>
      <c r="E1173">
        <f t="shared" si="76"/>
        <v>2</v>
      </c>
      <c r="F1173">
        <v>2002</v>
      </c>
      <c r="G1173" t="s">
        <v>6125</v>
      </c>
      <c r="H1173">
        <v>0</v>
      </c>
      <c r="I1173" s="65">
        <v>0</v>
      </c>
      <c r="J1173" t="s">
        <v>6127</v>
      </c>
      <c r="K1173" s="35" t="s">
        <v>909</v>
      </c>
      <c r="L1173" s="35" t="s">
        <v>6126</v>
      </c>
      <c r="M1173" s="39" t="str">
        <f>HYPERLINK("http://dx.doi.org/10.1603/0022-0493-95.5.989","10.1603/0022-0493-95.5.989")</f>
        <v>10.1603/0022-0493-95.5.989</v>
      </c>
      <c r="N1173" s="40" t="s">
        <v>6089</v>
      </c>
      <c r="O1173" s="40" t="s">
        <v>746</v>
      </c>
      <c r="P1173" s="40" t="s">
        <v>6128</v>
      </c>
      <c r="Q1173" t="s">
        <v>316</v>
      </c>
    </row>
    <row r="1174" spans="1:17" x14ac:dyDescent="0.25">
      <c r="A1174" s="2" t="str">
        <f>HYPERLINK("https://www.ncbi.nlm.nih.gov/pubmed/12012747","12012747")</f>
        <v>12012747</v>
      </c>
      <c r="B1174">
        <f t="shared" si="77"/>
        <v>2</v>
      </c>
      <c r="C1174">
        <f t="shared" si="77"/>
        <v>0</v>
      </c>
      <c r="D1174">
        <f t="shared" si="77"/>
        <v>0</v>
      </c>
      <c r="E1174">
        <f t="shared" si="76"/>
        <v>2</v>
      </c>
      <c r="F1174">
        <v>2002</v>
      </c>
      <c r="G1174" t="s">
        <v>6167</v>
      </c>
      <c r="H1174">
        <v>1</v>
      </c>
      <c r="I1174" s="65">
        <v>0</v>
      </c>
      <c r="J1174" t="s">
        <v>6169</v>
      </c>
      <c r="K1174" s="35" t="s">
        <v>6170</v>
      </c>
      <c r="L1174" s="35" t="s">
        <v>6168</v>
      </c>
      <c r="M1174" s="39" t="str">
        <f>HYPERLINK("http://dx.doi.org/10.1016/s0195-5616(01)00013-4","10.1016/s0195-5616(01)00013-4")</f>
        <v>10.1016/s0195-5616(01)00013-4</v>
      </c>
      <c r="N1174" s="40" t="s">
        <v>1018</v>
      </c>
      <c r="O1174" s="40" t="s">
        <v>744</v>
      </c>
      <c r="P1174" s="40" t="s">
        <v>6171</v>
      </c>
      <c r="Q1174" t="s">
        <v>316</v>
      </c>
    </row>
    <row r="1175" spans="1:17" x14ac:dyDescent="0.25">
      <c r="A1175" s="2" t="str">
        <f>HYPERLINK("https://www.ncbi.nlm.nih.gov/pubmed/11984552","11984552")</f>
        <v>11984552</v>
      </c>
      <c r="B1175">
        <f t="shared" si="77"/>
        <v>2</v>
      </c>
      <c r="C1175">
        <f t="shared" si="77"/>
        <v>0</v>
      </c>
      <c r="D1175">
        <f t="shared" si="77"/>
        <v>0</v>
      </c>
      <c r="E1175">
        <f t="shared" si="76"/>
        <v>2</v>
      </c>
      <c r="F1175">
        <v>2002</v>
      </c>
      <c r="G1175" t="s">
        <v>6176</v>
      </c>
      <c r="H1175">
        <v>0</v>
      </c>
      <c r="I1175" s="65">
        <v>0</v>
      </c>
      <c r="J1175" t="s">
        <v>6178</v>
      </c>
      <c r="K1175" s="35" t="s">
        <v>5508</v>
      </c>
      <c r="L1175" s="35" t="s">
        <v>6177</v>
      </c>
      <c r="M1175" s="39" t="str">
        <f>HYPERLINK("http://dx.doi.org/10.1038/5000158","10.1038/5000158")</f>
        <v>10.1038/5000158</v>
      </c>
      <c r="N1175" s="40" t="s">
        <v>753</v>
      </c>
      <c r="O1175" s="40" t="s">
        <v>746</v>
      </c>
      <c r="P1175" s="40" t="s">
        <v>6179</v>
      </c>
      <c r="Q1175" t="s">
        <v>316</v>
      </c>
    </row>
    <row r="1176" spans="1:17" x14ac:dyDescent="0.25">
      <c r="A1176" s="2" t="str">
        <f>HYPERLINK("https://www.ncbi.nlm.nih.gov/pubmed/11721523","11721523")</f>
        <v>11721523</v>
      </c>
      <c r="B1176">
        <f t="shared" si="77"/>
        <v>2</v>
      </c>
      <c r="C1176">
        <f t="shared" si="77"/>
        <v>0</v>
      </c>
      <c r="D1176">
        <f t="shared" si="77"/>
        <v>0</v>
      </c>
      <c r="E1176">
        <f t="shared" si="76"/>
        <v>2</v>
      </c>
      <c r="F1176">
        <v>2001</v>
      </c>
      <c r="G1176" t="s">
        <v>6199</v>
      </c>
      <c r="H1176">
        <v>0</v>
      </c>
      <c r="I1176" s="65">
        <v>0</v>
      </c>
      <c r="J1176" t="s">
        <v>6200</v>
      </c>
      <c r="K1176" s="35" t="s">
        <v>968</v>
      </c>
      <c r="L1176" s="35" t="s">
        <v>7240</v>
      </c>
      <c r="M1176" s="39" t="str">
        <f>HYPERLINK("http://dx.doi.org/10.1002/ps.383","10.1002/ps.383")</f>
        <v>10.1002/ps.383</v>
      </c>
      <c r="N1176" s="40" t="s">
        <v>764</v>
      </c>
      <c r="O1176" s="40" t="s">
        <v>678</v>
      </c>
      <c r="P1176" s="40" t="s">
        <v>6201</v>
      </c>
      <c r="Q1176" t="s">
        <v>316</v>
      </c>
    </row>
    <row r="1177" spans="1:17" x14ac:dyDescent="0.25">
      <c r="A1177" s="2" t="str">
        <f>HYPERLINK("https://www.ncbi.nlm.nih.gov/pubmed/11681678","11681678")</f>
        <v>11681678</v>
      </c>
      <c r="B1177">
        <f t="shared" si="77"/>
        <v>2</v>
      </c>
      <c r="C1177">
        <f t="shared" si="77"/>
        <v>0</v>
      </c>
      <c r="D1177">
        <f t="shared" si="77"/>
        <v>0</v>
      </c>
      <c r="E1177">
        <f t="shared" si="76"/>
        <v>2</v>
      </c>
      <c r="F1177">
        <v>2001</v>
      </c>
      <c r="G1177" t="s">
        <v>6212</v>
      </c>
      <c r="H1177">
        <v>0</v>
      </c>
      <c r="I1177" s="65">
        <v>0</v>
      </c>
      <c r="J1177" t="s">
        <v>6214</v>
      </c>
      <c r="K1177" s="35" t="s">
        <v>909</v>
      </c>
      <c r="L1177" s="35" t="s">
        <v>6213</v>
      </c>
      <c r="M1177" s="39" t="str">
        <f>HYPERLINK("http://dx.doi.org/10.1603/0022-0493-94.5.1151","10.1603/0022-0493-94.5.1151")</f>
        <v>10.1603/0022-0493-94.5.1151</v>
      </c>
      <c r="N1177" s="40" t="s">
        <v>1562</v>
      </c>
      <c r="O1177" s="40" t="s">
        <v>746</v>
      </c>
      <c r="P1177" s="40" t="s">
        <v>6215</v>
      </c>
      <c r="Q1177" t="s">
        <v>316</v>
      </c>
    </row>
    <row r="1178" spans="1:17" x14ac:dyDescent="0.25">
      <c r="A1178" s="2" t="str">
        <f>HYPERLINK("https://www.ncbi.nlm.nih.gov/pubmed/11428409","11428409")</f>
        <v>11428409</v>
      </c>
      <c r="B1178">
        <f t="shared" si="77"/>
        <v>2</v>
      </c>
      <c r="C1178">
        <f t="shared" si="77"/>
        <v>0</v>
      </c>
      <c r="D1178">
        <f t="shared" si="77"/>
        <v>0</v>
      </c>
      <c r="E1178">
        <f t="shared" si="76"/>
        <v>2</v>
      </c>
      <c r="F1178">
        <v>2000</v>
      </c>
      <c r="G1178" t="s">
        <v>6251</v>
      </c>
      <c r="H1178">
        <v>0</v>
      </c>
      <c r="I1178" s="65">
        <v>0</v>
      </c>
      <c r="J1178" t="s">
        <v>6253</v>
      </c>
      <c r="K1178" s="35" t="s">
        <v>3473</v>
      </c>
      <c r="L1178" s="35" t="s">
        <v>6252</v>
      </c>
      <c r="M1178" s="39" t="str">
        <f>HYPERLINK("http://dx.doi.org/10.1638/1042-7260(2000)031[0576:CFCFII]2.0.CO;2","10.1638/1042-7260(2000)031[0576:CFCFII]2.0.CO;2")</f>
        <v>10.1638/1042-7260(2000)031[0576:CFCFII]2.0.CO;2</v>
      </c>
      <c r="N1178" s="40" t="s">
        <v>753</v>
      </c>
      <c r="O1178" s="40" t="s">
        <v>690</v>
      </c>
      <c r="P1178" s="40" t="s">
        <v>6254</v>
      </c>
      <c r="Q1178" t="s">
        <v>316</v>
      </c>
    </row>
    <row r="1179" spans="1:17" x14ac:dyDescent="0.25">
      <c r="A1179" s="2" t="str">
        <f>HYPERLINK("https://www.ncbi.nlm.nih.gov/pubmed/11296838","11296838")</f>
        <v>11296838</v>
      </c>
      <c r="B1179">
        <f t="shared" si="77"/>
        <v>2</v>
      </c>
      <c r="C1179">
        <f t="shared" si="77"/>
        <v>0</v>
      </c>
      <c r="D1179">
        <f t="shared" si="77"/>
        <v>0</v>
      </c>
      <c r="E1179">
        <f t="shared" si="76"/>
        <v>2</v>
      </c>
      <c r="F1179">
        <v>2001</v>
      </c>
      <c r="G1179" t="s">
        <v>6283</v>
      </c>
      <c r="H1179">
        <v>0</v>
      </c>
      <c r="I1179" s="65">
        <v>0</v>
      </c>
      <c r="J1179" t="s">
        <v>6285</v>
      </c>
      <c r="K1179" s="35" t="s">
        <v>1027</v>
      </c>
      <c r="L1179" s="35" t="s">
        <v>6284</v>
      </c>
      <c r="M1179" s="39" t="str">
        <f>HYPERLINK("http://dx.doi.org/10.1603/0022-2585-38.2.298","10.1603/0022-2585-38.2.298")</f>
        <v>10.1603/0022-2585-38.2.298</v>
      </c>
      <c r="N1179" s="40" t="s">
        <v>3973</v>
      </c>
      <c r="O1179" s="40" t="s">
        <v>744</v>
      </c>
      <c r="P1179" s="40" t="s">
        <v>6286</v>
      </c>
      <c r="Q1179" t="s">
        <v>316</v>
      </c>
    </row>
    <row r="1180" spans="1:17" x14ac:dyDescent="0.25">
      <c r="A1180" s="2" t="str">
        <f>HYPERLINK("https://www.ncbi.nlm.nih.gov/pubmed/11232935","11232935")</f>
        <v>11232935</v>
      </c>
      <c r="B1180">
        <f t="shared" si="77"/>
        <v>2</v>
      </c>
      <c r="C1180">
        <f t="shared" si="77"/>
        <v>0</v>
      </c>
      <c r="D1180">
        <f t="shared" si="77"/>
        <v>0</v>
      </c>
      <c r="E1180">
        <f t="shared" si="76"/>
        <v>2</v>
      </c>
      <c r="F1180">
        <v>2001</v>
      </c>
      <c r="G1180" t="s">
        <v>6308</v>
      </c>
      <c r="H1180">
        <v>0</v>
      </c>
      <c r="I1180" s="65">
        <v>0</v>
      </c>
      <c r="J1180" t="s">
        <v>6310</v>
      </c>
      <c r="K1180" s="35" t="s">
        <v>4754</v>
      </c>
      <c r="L1180" s="35" t="s">
        <v>6309</v>
      </c>
      <c r="M1180" s="39" t="str">
        <f>HYPERLINK("http://dx.doi.org/","")</f>
        <v/>
      </c>
      <c r="N1180" s="40" t="s">
        <v>2610</v>
      </c>
      <c r="O1180" s="40" t="s">
        <v>690</v>
      </c>
      <c r="P1180" s="40" t="s">
        <v>3363</v>
      </c>
      <c r="Q1180" t="s">
        <v>316</v>
      </c>
    </row>
    <row r="1181" spans="1:17" x14ac:dyDescent="0.25">
      <c r="A1181" s="2" t="str">
        <f>HYPERLINK("https://www.ncbi.nlm.nih.gov/pubmed/11142311","11142311")</f>
        <v>11142311</v>
      </c>
      <c r="B1181">
        <f t="shared" si="77"/>
        <v>2</v>
      </c>
      <c r="C1181">
        <f t="shared" si="77"/>
        <v>0</v>
      </c>
      <c r="D1181">
        <f t="shared" si="77"/>
        <v>0</v>
      </c>
      <c r="E1181">
        <f t="shared" si="76"/>
        <v>2</v>
      </c>
      <c r="F1181">
        <v>2000</v>
      </c>
      <c r="G1181" t="s">
        <v>6314</v>
      </c>
      <c r="H1181">
        <v>0</v>
      </c>
      <c r="I1181" s="65">
        <v>0</v>
      </c>
      <c r="J1181" t="s">
        <v>6316</v>
      </c>
      <c r="K1181" s="35" t="s">
        <v>909</v>
      </c>
      <c r="L1181" s="35" t="s">
        <v>6315</v>
      </c>
      <c r="M1181" s="39" t="str">
        <f>HYPERLINK("http://dx.doi.org/10.1603/0022-0493-93.6.1768","10.1603/0022-0493-93.6.1768")</f>
        <v>10.1603/0022-0493-93.6.1768</v>
      </c>
      <c r="N1181" s="40" t="s">
        <v>1900</v>
      </c>
      <c r="O1181" s="40" t="s">
        <v>741</v>
      </c>
      <c r="P1181" s="40" t="s">
        <v>6317</v>
      </c>
      <c r="Q1181" t="s">
        <v>316</v>
      </c>
    </row>
    <row r="1182" spans="1:17" x14ac:dyDescent="0.25">
      <c r="A1182" s="2" t="str">
        <f>HYPERLINK("https://www.ncbi.nlm.nih.gov/pubmed/10976946","10976946")</f>
        <v>10976946</v>
      </c>
      <c r="B1182">
        <f t="shared" si="77"/>
        <v>2</v>
      </c>
      <c r="C1182">
        <f t="shared" si="77"/>
        <v>0</v>
      </c>
      <c r="D1182">
        <f t="shared" si="77"/>
        <v>0</v>
      </c>
      <c r="E1182">
        <f t="shared" si="76"/>
        <v>2</v>
      </c>
      <c r="F1182">
        <v>2000</v>
      </c>
      <c r="G1182" t="s">
        <v>6337</v>
      </c>
      <c r="H1182">
        <v>0</v>
      </c>
      <c r="I1182" s="65">
        <v>0</v>
      </c>
      <c r="J1182" t="s">
        <v>6339</v>
      </c>
      <c r="K1182" s="35" t="s">
        <v>5306</v>
      </c>
      <c r="L1182" s="35" t="s">
        <v>6338</v>
      </c>
      <c r="M1182" s="39" t="str">
        <f>HYPERLINK("http://dx.doi.org/10.1097/00001756-200008210-00018","10.1097/00001756-200008210-00018")</f>
        <v>10.1097/00001756-200008210-00018</v>
      </c>
      <c r="N1182" s="40" t="s">
        <v>678</v>
      </c>
      <c r="O1182" s="40" t="s">
        <v>915</v>
      </c>
      <c r="P1182" s="40" t="s">
        <v>6340</v>
      </c>
      <c r="Q1182" t="s">
        <v>316</v>
      </c>
    </row>
    <row r="1183" spans="1:17" x14ac:dyDescent="0.25">
      <c r="A1183" s="2" t="str">
        <f>HYPERLINK("https://www.ncbi.nlm.nih.gov/pubmed/10826176","10826176")</f>
        <v>10826176</v>
      </c>
      <c r="B1183">
        <f t="shared" si="77"/>
        <v>2</v>
      </c>
      <c r="C1183">
        <f t="shared" si="77"/>
        <v>0</v>
      </c>
      <c r="D1183">
        <f t="shared" si="77"/>
        <v>0</v>
      </c>
      <c r="E1183">
        <f t="shared" si="76"/>
        <v>2</v>
      </c>
      <c r="F1183">
        <v>2000</v>
      </c>
      <c r="G1183" t="s">
        <v>6362</v>
      </c>
      <c r="H1183">
        <v>0</v>
      </c>
      <c r="I1183" s="65">
        <v>0</v>
      </c>
      <c r="J1183" t="s">
        <v>6364</v>
      </c>
      <c r="K1183" s="35" t="s">
        <v>909</v>
      </c>
      <c r="L1183" s="35" t="s">
        <v>6363</v>
      </c>
      <c r="M1183" s="39" t="str">
        <f>HYPERLINK("http://dx.doi.org/10.1603/0022-0493-93.2.300","10.1603/0022-0493-93.2.300")</f>
        <v>10.1603/0022-0493-93.2.300</v>
      </c>
      <c r="N1183" s="40" t="s">
        <v>1900</v>
      </c>
      <c r="O1183" s="40" t="s">
        <v>744</v>
      </c>
      <c r="P1183" s="40" t="s">
        <v>6365</v>
      </c>
      <c r="Q1183" t="s">
        <v>316</v>
      </c>
    </row>
    <row r="1184" spans="1:17" x14ac:dyDescent="0.25">
      <c r="A1184" s="2" t="str">
        <f>HYPERLINK("https://www.ncbi.nlm.nih.gov/pubmed/10630879","10630879")</f>
        <v>10630879</v>
      </c>
      <c r="B1184">
        <f t="shared" ref="B1184:D1203" si="78">IF(ISBLANK(B$3),0,(LEN($L1184) - LEN(SUBSTITUTE(LOWER($L1184),LOWER(B$3),"")))/LEN(B$3))</f>
        <v>2</v>
      </c>
      <c r="C1184">
        <f t="shared" si="78"/>
        <v>0</v>
      </c>
      <c r="D1184">
        <f t="shared" si="78"/>
        <v>0</v>
      </c>
      <c r="E1184">
        <f t="shared" si="76"/>
        <v>2</v>
      </c>
      <c r="F1184">
        <v>1999</v>
      </c>
      <c r="G1184" t="s">
        <v>6381</v>
      </c>
      <c r="H1184">
        <v>0</v>
      </c>
      <c r="I1184" s="65">
        <v>0</v>
      </c>
      <c r="J1184" t="s">
        <v>6383</v>
      </c>
      <c r="K1184" s="35" t="s">
        <v>1340</v>
      </c>
      <c r="L1184" s="35" t="s">
        <v>6382</v>
      </c>
      <c r="M1184" s="39" t="str">
        <f>HYPERLINK("http://dx.doi.org/10.1016/s0021-9673(99)01007-9","10.1016/s0021-9673(99)01007-9")</f>
        <v>10.1016/s0021-9673(99)01007-9</v>
      </c>
      <c r="N1184" s="40" t="s">
        <v>6384</v>
      </c>
      <c r="O1184" s="40" t="s">
        <v>638</v>
      </c>
      <c r="P1184" s="40" t="s">
        <v>6385</v>
      </c>
      <c r="Q1184" t="s">
        <v>316</v>
      </c>
    </row>
    <row r="1185" spans="1:17" x14ac:dyDescent="0.25">
      <c r="A1185" s="2" t="str">
        <f>HYPERLINK("https://www.ncbi.nlm.nih.gov/pubmed/10342267","10342267")</f>
        <v>10342267</v>
      </c>
      <c r="B1185">
        <f t="shared" si="78"/>
        <v>2</v>
      </c>
      <c r="C1185">
        <f t="shared" si="78"/>
        <v>0</v>
      </c>
      <c r="D1185">
        <f t="shared" si="78"/>
        <v>0</v>
      </c>
      <c r="E1185">
        <f t="shared" si="76"/>
        <v>2</v>
      </c>
      <c r="F1185">
        <v>1999</v>
      </c>
      <c r="G1185" t="s">
        <v>6396</v>
      </c>
      <c r="H1185">
        <v>0</v>
      </c>
      <c r="I1185" s="65">
        <v>0</v>
      </c>
      <c r="J1185" t="s">
        <v>6398</v>
      </c>
      <c r="K1185" s="35" t="s">
        <v>5072</v>
      </c>
      <c r="L1185" s="35" t="s">
        <v>6397</v>
      </c>
      <c r="M1185" s="39" t="str">
        <f>HYPERLINK("http://dx.doi.org/","")</f>
        <v/>
      </c>
      <c r="N1185" s="40" t="s">
        <v>929</v>
      </c>
      <c r="O1185" s="40" t="s">
        <v>638</v>
      </c>
      <c r="P1185" s="40" t="s">
        <v>6399</v>
      </c>
      <c r="Q1185" t="s">
        <v>316</v>
      </c>
    </row>
    <row r="1186" spans="1:17" x14ac:dyDescent="0.25">
      <c r="A1186" s="2" t="str">
        <f>HYPERLINK("https://www.ncbi.nlm.nih.gov/pubmed/9513889","9513889")</f>
        <v>9513889</v>
      </c>
      <c r="B1186">
        <f t="shared" si="78"/>
        <v>2</v>
      </c>
      <c r="C1186">
        <f t="shared" si="78"/>
        <v>0</v>
      </c>
      <c r="D1186">
        <f t="shared" si="78"/>
        <v>0</v>
      </c>
      <c r="E1186">
        <f t="shared" si="76"/>
        <v>2</v>
      </c>
      <c r="F1186">
        <v>1998</v>
      </c>
      <c r="G1186" t="s">
        <v>6434</v>
      </c>
      <c r="H1186">
        <v>0</v>
      </c>
      <c r="I1186" s="65">
        <v>0</v>
      </c>
      <c r="J1186" t="s">
        <v>6436</v>
      </c>
      <c r="K1186" s="35" t="s">
        <v>6084</v>
      </c>
      <c r="L1186" s="35" t="s">
        <v>6435</v>
      </c>
      <c r="M1186" s="39" t="str">
        <f>HYPERLINK("http://dx.doi.org/10.1111/j.1748-5827.1998.tb03599.x","10.1111/j.1748-5827.1998.tb03599.x")</f>
        <v>10.1111/j.1748-5827.1998.tb03599.x</v>
      </c>
      <c r="N1186" s="40" t="s">
        <v>852</v>
      </c>
      <c r="O1186" s="40" t="s">
        <v>744</v>
      </c>
      <c r="P1186" s="40" t="s">
        <v>6437</v>
      </c>
      <c r="Q1186" t="s">
        <v>316</v>
      </c>
    </row>
    <row r="1187" spans="1:17" x14ac:dyDescent="0.25">
      <c r="A1187" s="2" t="str">
        <f>HYPERLINK("https://www.ncbi.nlm.nih.gov/pubmed/9461846","9461846")</f>
        <v>9461846</v>
      </c>
      <c r="B1187">
        <f t="shared" si="78"/>
        <v>2</v>
      </c>
      <c r="C1187">
        <f t="shared" si="78"/>
        <v>0</v>
      </c>
      <c r="D1187">
        <f t="shared" si="78"/>
        <v>0</v>
      </c>
      <c r="E1187">
        <f t="shared" si="76"/>
        <v>2</v>
      </c>
      <c r="F1187">
        <v>1997</v>
      </c>
      <c r="G1187" t="s">
        <v>6438</v>
      </c>
      <c r="H1187">
        <v>0</v>
      </c>
      <c r="I1187" s="65">
        <v>0</v>
      </c>
      <c r="J1187" t="s">
        <v>6439</v>
      </c>
      <c r="K1187" s="35" t="s">
        <v>909</v>
      </c>
      <c r="L1187" s="35" t="s">
        <v>7267</v>
      </c>
      <c r="M1187" s="39" t="str">
        <f>HYPERLINK("http://dx.doi.org/10.1093/jee/90.6.1514","10.1093/jee/90.6.1514")</f>
        <v>10.1093/jee/90.6.1514</v>
      </c>
      <c r="N1187" s="40" t="s">
        <v>2505</v>
      </c>
      <c r="O1187" s="40" t="s">
        <v>741</v>
      </c>
      <c r="P1187" s="40" t="s">
        <v>6440</v>
      </c>
      <c r="Q1187" t="s">
        <v>316</v>
      </c>
    </row>
    <row r="1188" spans="1:17" x14ac:dyDescent="0.25">
      <c r="A1188" s="2" t="str">
        <f>HYPERLINK("https://www.ncbi.nlm.nih.gov/pubmed/9447677","9447677")</f>
        <v>9447677</v>
      </c>
      <c r="B1188">
        <f t="shared" si="78"/>
        <v>2</v>
      </c>
      <c r="C1188">
        <f t="shared" si="78"/>
        <v>0</v>
      </c>
      <c r="D1188">
        <f t="shared" si="78"/>
        <v>0</v>
      </c>
      <c r="E1188">
        <f t="shared" si="76"/>
        <v>2</v>
      </c>
      <c r="F1188">
        <v>1997</v>
      </c>
      <c r="G1188" t="s">
        <v>6441</v>
      </c>
      <c r="H1188">
        <v>0</v>
      </c>
      <c r="I1188" s="65">
        <v>0</v>
      </c>
      <c r="J1188" t="s">
        <v>6443</v>
      </c>
      <c r="K1188" s="35" t="s">
        <v>4754</v>
      </c>
      <c r="L1188" s="35" t="s">
        <v>6442</v>
      </c>
      <c r="M1188" s="39" t="str">
        <f>HYPERLINK("http://dx.doi.org/","")</f>
        <v/>
      </c>
      <c r="N1188" s="40" t="s">
        <v>6444</v>
      </c>
      <c r="O1188" s="40" t="s">
        <v>1188</v>
      </c>
      <c r="P1188" s="40" t="s">
        <v>6445</v>
      </c>
      <c r="Q1188" t="s">
        <v>316</v>
      </c>
    </row>
    <row r="1189" spans="1:17" x14ac:dyDescent="0.25">
      <c r="A1189" s="2" t="str">
        <f>HYPERLINK("https://www.ncbi.nlm.nih.gov/pubmed/8843643","8843643")</f>
        <v>8843643</v>
      </c>
      <c r="B1189">
        <f t="shared" si="78"/>
        <v>2</v>
      </c>
      <c r="C1189">
        <f t="shared" si="78"/>
        <v>0</v>
      </c>
      <c r="D1189">
        <f t="shared" si="78"/>
        <v>0</v>
      </c>
      <c r="E1189">
        <f t="shared" si="76"/>
        <v>2</v>
      </c>
      <c r="F1189">
        <v>1996</v>
      </c>
      <c r="G1189" t="s">
        <v>6466</v>
      </c>
      <c r="H1189">
        <v>0</v>
      </c>
      <c r="I1189" s="65">
        <v>0</v>
      </c>
      <c r="J1189" t="s">
        <v>6468</v>
      </c>
      <c r="K1189" s="35" t="s">
        <v>4754</v>
      </c>
      <c r="L1189" s="35" t="s">
        <v>6467</v>
      </c>
      <c r="M1189" s="39" t="str">
        <f>HYPERLINK("http://dx.doi.org/10.1136/vr.139.4.95","10.1136/vr.139.4.95")</f>
        <v>10.1136/vr.139.4.95</v>
      </c>
      <c r="N1189" s="40" t="s">
        <v>720</v>
      </c>
      <c r="O1189" s="40" t="s">
        <v>690</v>
      </c>
      <c r="P1189" s="40" t="s">
        <v>6089</v>
      </c>
      <c r="Q1189" t="s">
        <v>316</v>
      </c>
    </row>
    <row r="1190" spans="1:17" x14ac:dyDescent="0.25">
      <c r="A1190" s="2" t="str">
        <f>HYPERLINK("https://www.ncbi.nlm.nih.gov/pubmed/8839491","8839491")</f>
        <v>8839491</v>
      </c>
      <c r="B1190">
        <f t="shared" si="78"/>
        <v>2</v>
      </c>
      <c r="C1190">
        <f t="shared" si="78"/>
        <v>0</v>
      </c>
      <c r="D1190">
        <f t="shared" si="78"/>
        <v>0</v>
      </c>
      <c r="E1190">
        <f t="shared" si="76"/>
        <v>2</v>
      </c>
      <c r="F1190">
        <v>1996</v>
      </c>
      <c r="G1190" t="s">
        <v>6469</v>
      </c>
      <c r="H1190">
        <v>0</v>
      </c>
      <c r="I1190" s="65">
        <v>0</v>
      </c>
      <c r="J1190" t="s">
        <v>5963</v>
      </c>
      <c r="K1190" s="35" t="s">
        <v>4754</v>
      </c>
      <c r="L1190" s="35" t="s">
        <v>6470</v>
      </c>
      <c r="M1190" s="39" t="str">
        <f>HYPERLINK("http://dx.doi.org/10.1136/vr.139.2.43","10.1136/vr.139.2.43")</f>
        <v>10.1136/vr.139.2.43</v>
      </c>
      <c r="N1190" s="40" t="s">
        <v>720</v>
      </c>
      <c r="O1190" s="40" t="s">
        <v>744</v>
      </c>
      <c r="P1190" s="40" t="s">
        <v>6471</v>
      </c>
      <c r="Q1190" t="s">
        <v>316</v>
      </c>
    </row>
    <row r="1191" spans="1:17" x14ac:dyDescent="0.25">
      <c r="A1191" s="2" t="str">
        <f>HYPERLINK("https://www.ncbi.nlm.nih.gov/pubmed/34375891","34375891")</f>
        <v>34375891</v>
      </c>
      <c r="B1191">
        <f t="shared" si="78"/>
        <v>1</v>
      </c>
      <c r="C1191">
        <f t="shared" si="78"/>
        <v>0</v>
      </c>
      <c r="D1191">
        <f t="shared" si="78"/>
        <v>0</v>
      </c>
      <c r="E1191">
        <f t="shared" si="76"/>
        <v>1</v>
      </c>
      <c r="F1191">
        <v>2021</v>
      </c>
      <c r="G1191" t="s">
        <v>783</v>
      </c>
      <c r="H1191">
        <v>0</v>
      </c>
      <c r="I1191" s="65">
        <v>0</v>
      </c>
      <c r="J1191" t="s">
        <v>785</v>
      </c>
      <c r="K1191" s="35" t="s">
        <v>786</v>
      </c>
      <c r="L1191" s="35" t="s">
        <v>784</v>
      </c>
      <c r="M1191" s="39" t="str">
        <f>HYPERLINK("http://dx.doi.org/10.1016/j.foodchem.2021.130740","10.1016/j.foodchem.2021.130740")</f>
        <v>10.1016/j.foodchem.2021.130740</v>
      </c>
      <c r="N1191" s="40" t="s">
        <v>787</v>
      </c>
      <c r="O1191" s="40" t="s">
        <v>383</v>
      </c>
      <c r="P1191" s="40" t="s">
        <v>788</v>
      </c>
      <c r="Q1191" t="s">
        <v>316</v>
      </c>
    </row>
    <row r="1192" spans="1:17" x14ac:dyDescent="0.25">
      <c r="A1192" s="2" t="str">
        <f>HYPERLINK("https://www.ncbi.nlm.nih.gov/pubmed/34370948","34370948")</f>
        <v>34370948</v>
      </c>
      <c r="B1192">
        <f t="shared" si="78"/>
        <v>1</v>
      </c>
      <c r="C1192">
        <f t="shared" si="78"/>
        <v>0</v>
      </c>
      <c r="D1192">
        <f t="shared" si="78"/>
        <v>0</v>
      </c>
      <c r="E1192">
        <f t="shared" si="76"/>
        <v>1</v>
      </c>
      <c r="F1192">
        <v>2021</v>
      </c>
      <c r="G1192" t="s">
        <v>789</v>
      </c>
      <c r="H1192">
        <v>0</v>
      </c>
      <c r="I1192" s="65">
        <v>0</v>
      </c>
      <c r="J1192" t="s">
        <v>791</v>
      </c>
      <c r="K1192" s="35" t="s">
        <v>792</v>
      </c>
      <c r="L1192" s="35" t="s">
        <v>790</v>
      </c>
      <c r="M1192" s="39" t="str">
        <f>HYPERLINK("http://dx.doi.org/10.1021/acssensors.1c01082","10.1021/acssensors.1c01082")</f>
        <v>10.1021/acssensors.1c01082</v>
      </c>
      <c r="N1192" s="40" t="s">
        <v>383</v>
      </c>
      <c r="O1192" s="40" t="s">
        <v>383</v>
      </c>
      <c r="P1192" s="40" t="s">
        <v>383</v>
      </c>
      <c r="Q1192" t="s">
        <v>316</v>
      </c>
    </row>
    <row r="1193" spans="1:17" x14ac:dyDescent="0.25">
      <c r="A1193" s="2" t="str">
        <f>HYPERLINK("https://www.ncbi.nlm.nih.gov/pubmed/34325267","34325267")</f>
        <v>34325267</v>
      </c>
      <c r="B1193">
        <f t="shared" si="78"/>
        <v>1</v>
      </c>
      <c r="C1193">
        <f t="shared" si="78"/>
        <v>0</v>
      </c>
      <c r="D1193">
        <f t="shared" si="78"/>
        <v>0</v>
      </c>
      <c r="E1193">
        <f t="shared" si="76"/>
        <v>1</v>
      </c>
      <c r="F1193">
        <v>2021</v>
      </c>
      <c r="G1193" t="s">
        <v>819</v>
      </c>
      <c r="H1193">
        <v>0</v>
      </c>
      <c r="I1193" s="65">
        <v>0</v>
      </c>
      <c r="J1193" t="s">
        <v>821</v>
      </c>
      <c r="K1193" s="35" t="s">
        <v>822</v>
      </c>
      <c r="L1193" s="35" t="s">
        <v>820</v>
      </c>
      <c r="M1193" s="39" t="str">
        <f>HYPERLINK("http://dx.doi.org/10.1016/j.chemosphere.2021.131633","10.1016/j.chemosphere.2021.131633")</f>
        <v>10.1016/j.chemosphere.2021.131633</v>
      </c>
      <c r="N1193" s="40" t="s">
        <v>823</v>
      </c>
      <c r="O1193" s="40" t="s">
        <v>824</v>
      </c>
      <c r="P1193" s="40" t="s">
        <v>825</v>
      </c>
      <c r="Q1193" t="s">
        <v>316</v>
      </c>
    </row>
    <row r="1194" spans="1:17" x14ac:dyDescent="0.25">
      <c r="A1194" s="2" t="str">
        <f>HYPERLINK("https://www.ncbi.nlm.nih.gov/pubmed/34268783","34268783")</f>
        <v>34268783</v>
      </c>
      <c r="B1194">
        <f t="shared" si="78"/>
        <v>1</v>
      </c>
      <c r="C1194">
        <f t="shared" si="78"/>
        <v>0</v>
      </c>
      <c r="D1194">
        <f t="shared" si="78"/>
        <v>0</v>
      </c>
      <c r="E1194">
        <f t="shared" si="76"/>
        <v>1</v>
      </c>
      <c r="F1194">
        <v>2021</v>
      </c>
      <c r="G1194" t="s">
        <v>841</v>
      </c>
      <c r="H1194">
        <v>0</v>
      </c>
      <c r="I1194" s="65">
        <v>0</v>
      </c>
      <c r="J1194" t="s">
        <v>843</v>
      </c>
      <c r="K1194" s="35" t="s">
        <v>844</v>
      </c>
      <c r="L1194" s="35" t="s">
        <v>842</v>
      </c>
      <c r="M1194" s="39" t="str">
        <f>HYPERLINK("http://dx.doi.org/10.1111/1750-3841.15824","10.1111/1750-3841.15824")</f>
        <v>10.1111/1750-3841.15824</v>
      </c>
      <c r="N1194" s="40" t="s">
        <v>845</v>
      </c>
      <c r="O1194" s="40" t="s">
        <v>781</v>
      </c>
      <c r="P1194" s="40" t="s">
        <v>846</v>
      </c>
      <c r="Q1194" t="s">
        <v>316</v>
      </c>
    </row>
    <row r="1195" spans="1:17" x14ac:dyDescent="0.25">
      <c r="A1195" s="2" t="str">
        <f>HYPERLINK("https://www.ncbi.nlm.nih.gov/pubmed/34227327","34227327")</f>
        <v>34227327</v>
      </c>
      <c r="B1195">
        <f t="shared" si="78"/>
        <v>1</v>
      </c>
      <c r="C1195">
        <f t="shared" si="78"/>
        <v>6</v>
      </c>
      <c r="D1195">
        <f t="shared" si="78"/>
        <v>0</v>
      </c>
      <c r="E1195">
        <f t="shared" si="76"/>
        <v>7</v>
      </c>
      <c r="F1195">
        <v>2021</v>
      </c>
      <c r="G1195" t="s">
        <v>849</v>
      </c>
      <c r="H1195">
        <v>0</v>
      </c>
      <c r="I1195" s="65">
        <v>0</v>
      </c>
      <c r="J1195" t="s">
        <v>850</v>
      </c>
      <c r="K1195" s="35" t="s">
        <v>851</v>
      </c>
      <c r="L1195" s="35" t="s">
        <v>6537</v>
      </c>
      <c r="M1195" s="39" t="str">
        <f>HYPERLINK("http://dx.doi.org/10.3724/SP.J.1123.2020.07028","10.3724/SP.J.1123.2020.07028")</f>
        <v>10.3724/SP.J.1123.2020.07028</v>
      </c>
      <c r="N1195" s="40" t="s">
        <v>852</v>
      </c>
      <c r="O1195" s="40" t="s">
        <v>741</v>
      </c>
      <c r="P1195" s="40" t="s">
        <v>853</v>
      </c>
      <c r="Q1195" t="s">
        <v>316</v>
      </c>
    </row>
    <row r="1196" spans="1:17" x14ac:dyDescent="0.25">
      <c r="A1196" s="2" t="str">
        <f>HYPERLINK("https://www.ncbi.nlm.nih.gov/pubmed/34181797","34181797")</f>
        <v>34181797</v>
      </c>
      <c r="B1196">
        <f t="shared" si="78"/>
        <v>1</v>
      </c>
      <c r="C1196">
        <f t="shared" si="78"/>
        <v>0</v>
      </c>
      <c r="D1196">
        <f t="shared" si="78"/>
        <v>0</v>
      </c>
      <c r="E1196">
        <f t="shared" si="76"/>
        <v>1</v>
      </c>
      <c r="F1196">
        <v>2021</v>
      </c>
      <c r="G1196" t="s">
        <v>883</v>
      </c>
      <c r="H1196">
        <v>0</v>
      </c>
      <c r="I1196" s="65">
        <v>0</v>
      </c>
      <c r="J1196" t="s">
        <v>885</v>
      </c>
      <c r="K1196" s="35" t="s">
        <v>886</v>
      </c>
      <c r="L1196" s="35" t="s">
        <v>884</v>
      </c>
      <c r="M1196" s="39" t="str">
        <f>HYPERLINK("http://dx.doi.org/10.1111/mec.16049","10.1111/mec.16049")</f>
        <v>10.1111/mec.16049</v>
      </c>
      <c r="N1196" s="40" t="s">
        <v>383</v>
      </c>
      <c r="O1196" s="40" t="s">
        <v>383</v>
      </c>
      <c r="P1196" s="40" t="s">
        <v>383</v>
      </c>
      <c r="Q1196" t="s">
        <v>316</v>
      </c>
    </row>
    <row r="1197" spans="1:17" x14ac:dyDescent="0.25">
      <c r="A1197" s="2" t="str">
        <f>HYPERLINK("https://www.ncbi.nlm.nih.gov/pubmed/34050628","34050628")</f>
        <v>34050628</v>
      </c>
      <c r="B1197">
        <f t="shared" si="78"/>
        <v>1</v>
      </c>
      <c r="C1197">
        <f t="shared" si="78"/>
        <v>0</v>
      </c>
      <c r="D1197">
        <f t="shared" si="78"/>
        <v>0</v>
      </c>
      <c r="E1197">
        <f t="shared" si="76"/>
        <v>1</v>
      </c>
      <c r="F1197">
        <v>2021</v>
      </c>
      <c r="G1197" t="s">
        <v>931</v>
      </c>
      <c r="H1197">
        <v>0</v>
      </c>
      <c r="I1197" s="65">
        <v>0</v>
      </c>
      <c r="J1197" t="s">
        <v>933</v>
      </c>
      <c r="K1197" s="35" t="s">
        <v>934</v>
      </c>
      <c r="L1197" s="35" t="s">
        <v>932</v>
      </c>
      <c r="M1197" s="39" t="str">
        <f>HYPERLINK("http://dx.doi.org/10.1111/zph.12844","10.1111/zph.12844")</f>
        <v>10.1111/zph.12844</v>
      </c>
      <c r="N1197" s="40" t="s">
        <v>383</v>
      </c>
      <c r="O1197" s="40" t="s">
        <v>383</v>
      </c>
      <c r="P1197" s="40" t="s">
        <v>383</v>
      </c>
      <c r="Q1197" t="s">
        <v>316</v>
      </c>
    </row>
    <row r="1198" spans="1:17" x14ac:dyDescent="0.25">
      <c r="A1198" s="2" t="str">
        <f>HYPERLINK("https://www.ncbi.nlm.nih.gov/pubmed/34016157","34016157")</f>
        <v>34016157</v>
      </c>
      <c r="B1198">
        <f t="shared" si="78"/>
        <v>1</v>
      </c>
      <c r="C1198">
        <f t="shared" si="78"/>
        <v>0</v>
      </c>
      <c r="D1198">
        <f t="shared" si="78"/>
        <v>0</v>
      </c>
      <c r="E1198">
        <f t="shared" si="76"/>
        <v>1</v>
      </c>
      <c r="F1198">
        <v>2021</v>
      </c>
      <c r="G1198" t="s">
        <v>949</v>
      </c>
      <c r="H1198">
        <v>0</v>
      </c>
      <c r="I1198" s="64" t="str">
        <f>HYPERLINK("https://www.ncbi.nlm.nih.gov/research/pubtator/?view=docsum&amp;query=PMC8135142","1")</f>
        <v>1</v>
      </c>
      <c r="J1198" t="s">
        <v>950</v>
      </c>
      <c r="K1198" s="35" t="s">
        <v>870</v>
      </c>
      <c r="L1198" s="35" t="s">
        <v>6544</v>
      </c>
      <c r="M1198" s="39" t="str">
        <f>HYPERLINK("http://dx.doi.org/10.1186/s13071-021-04768-5","10.1186/s13071-021-04768-5")</f>
        <v>10.1186/s13071-021-04768-5</v>
      </c>
      <c r="N1198" s="40" t="s">
        <v>871</v>
      </c>
      <c r="O1198" s="40" t="s">
        <v>638</v>
      </c>
      <c r="P1198" s="40" t="s">
        <v>951</v>
      </c>
      <c r="Q1198" t="s">
        <v>316</v>
      </c>
    </row>
    <row r="1199" spans="1:17" x14ac:dyDescent="0.25">
      <c r="A1199" s="2" t="str">
        <f>HYPERLINK("https://www.ncbi.nlm.nih.gov/pubmed/34000531","34000531")</f>
        <v>34000531</v>
      </c>
      <c r="B1199">
        <f t="shared" si="78"/>
        <v>1</v>
      </c>
      <c r="C1199">
        <f t="shared" si="78"/>
        <v>0</v>
      </c>
      <c r="D1199">
        <f t="shared" si="78"/>
        <v>0</v>
      </c>
      <c r="E1199">
        <f t="shared" si="76"/>
        <v>1</v>
      </c>
      <c r="F1199">
        <v>2021</v>
      </c>
      <c r="G1199" t="s">
        <v>952</v>
      </c>
      <c r="H1199">
        <v>0</v>
      </c>
      <c r="I1199" s="65">
        <v>0</v>
      </c>
      <c r="J1199" t="s">
        <v>953</v>
      </c>
      <c r="K1199" s="35" t="s">
        <v>670</v>
      </c>
      <c r="L1199" s="35" t="s">
        <v>6545</v>
      </c>
      <c r="M1199" s="39" t="str">
        <f>HYPERLINK("http://dx.doi.org/10.1016/j.scitotenv.2021.147526","10.1016/j.scitotenv.2021.147526")</f>
        <v>10.1016/j.scitotenv.2021.147526</v>
      </c>
      <c r="N1199" s="40" t="s">
        <v>954</v>
      </c>
      <c r="O1199" s="40" t="s">
        <v>383</v>
      </c>
      <c r="P1199" s="40" t="s">
        <v>955</v>
      </c>
      <c r="Q1199" t="s">
        <v>316</v>
      </c>
    </row>
    <row r="1200" spans="1:17" x14ac:dyDescent="0.25">
      <c r="A1200" s="2" t="str">
        <f>HYPERLINK("https://www.ncbi.nlm.nih.gov/pubmed/33846871","33846871")</f>
        <v>33846871</v>
      </c>
      <c r="B1200">
        <f t="shared" si="78"/>
        <v>1</v>
      </c>
      <c r="C1200">
        <f t="shared" si="78"/>
        <v>0</v>
      </c>
      <c r="D1200">
        <f t="shared" si="78"/>
        <v>0</v>
      </c>
      <c r="E1200">
        <f t="shared" si="76"/>
        <v>1</v>
      </c>
      <c r="F1200">
        <v>2021</v>
      </c>
      <c r="G1200" t="s">
        <v>1010</v>
      </c>
      <c r="H1200">
        <v>0</v>
      </c>
      <c r="I1200" s="65">
        <v>0</v>
      </c>
      <c r="J1200" t="s">
        <v>1012</v>
      </c>
      <c r="K1200" s="35" t="s">
        <v>1013</v>
      </c>
      <c r="L1200" s="35" t="s">
        <v>1011</v>
      </c>
      <c r="M1200" s="39" t="str">
        <f>HYPERLINK("http://dx.doi.org/10.1007/s10661-021-09026-w","10.1007/s10661-021-09026-w")</f>
        <v>10.1007/s10661-021-09026-w</v>
      </c>
      <c r="N1200" s="40" t="s">
        <v>1014</v>
      </c>
      <c r="O1200" s="40" t="s">
        <v>746</v>
      </c>
      <c r="P1200" s="40" t="s">
        <v>1015</v>
      </c>
      <c r="Q1200" t="s">
        <v>316</v>
      </c>
    </row>
    <row r="1201" spans="1:17" x14ac:dyDescent="0.25">
      <c r="A1201" s="2" t="str">
        <f>HYPERLINK("https://www.ncbi.nlm.nih.gov/pubmed/33743269","33743269")</f>
        <v>33743269</v>
      </c>
      <c r="B1201">
        <f t="shared" si="78"/>
        <v>1</v>
      </c>
      <c r="C1201">
        <f t="shared" si="78"/>
        <v>0</v>
      </c>
      <c r="D1201">
        <f t="shared" si="78"/>
        <v>0</v>
      </c>
      <c r="E1201">
        <f t="shared" si="76"/>
        <v>1</v>
      </c>
      <c r="F1201">
        <v>2021</v>
      </c>
      <c r="G1201" t="s">
        <v>1042</v>
      </c>
      <c r="H1201">
        <v>0</v>
      </c>
      <c r="I1201" s="65">
        <v>0</v>
      </c>
      <c r="J1201" t="s">
        <v>1043</v>
      </c>
      <c r="K1201" s="35" t="s">
        <v>707</v>
      </c>
      <c r="L1201" s="35" t="s">
        <v>6554</v>
      </c>
      <c r="M1201" s="39" t="str">
        <f>HYPERLINK("http://dx.doi.org/10.1016/j.envpol.2021.116880","10.1016/j.envpol.2021.116880")</f>
        <v>10.1016/j.envpol.2021.116880</v>
      </c>
      <c r="N1201" s="40" t="s">
        <v>1044</v>
      </c>
      <c r="O1201" s="40" t="s">
        <v>383</v>
      </c>
      <c r="P1201" s="40" t="s">
        <v>1045</v>
      </c>
      <c r="Q1201" t="s">
        <v>316</v>
      </c>
    </row>
    <row r="1202" spans="1:17" x14ac:dyDescent="0.25">
      <c r="A1202" s="2" t="str">
        <f>HYPERLINK("https://www.ncbi.nlm.nih.gov/pubmed/33689310","33689310")</f>
        <v>33689310</v>
      </c>
      <c r="B1202">
        <f t="shared" si="78"/>
        <v>1</v>
      </c>
      <c r="C1202">
        <f t="shared" si="78"/>
        <v>0</v>
      </c>
      <c r="D1202">
        <f t="shared" si="78"/>
        <v>0</v>
      </c>
      <c r="E1202">
        <f t="shared" si="76"/>
        <v>1</v>
      </c>
      <c r="F1202">
        <v>2021</v>
      </c>
      <c r="G1202" t="s">
        <v>1055</v>
      </c>
      <c r="H1202">
        <v>0</v>
      </c>
      <c r="I1202" s="65">
        <v>0</v>
      </c>
      <c r="J1202" t="s">
        <v>1057</v>
      </c>
      <c r="K1202" s="35" t="s">
        <v>1058</v>
      </c>
      <c r="L1202" s="35" t="s">
        <v>1056</v>
      </c>
      <c r="M1202" s="39" t="str">
        <f>HYPERLINK("http://dx.doi.org/10.1021/acs.est.0c06625","10.1021/acs.est.0c06625")</f>
        <v>10.1021/acs.est.0c06625</v>
      </c>
      <c r="N1202" s="40" t="s">
        <v>1059</v>
      </c>
      <c r="O1202" s="40" t="s">
        <v>781</v>
      </c>
      <c r="P1202" s="40" t="s">
        <v>1060</v>
      </c>
      <c r="Q1202" t="s">
        <v>316</v>
      </c>
    </row>
    <row r="1203" spans="1:17" x14ac:dyDescent="0.25">
      <c r="A1203" s="2" t="str">
        <f>HYPERLINK("https://www.ncbi.nlm.nih.gov/pubmed/33620757","33620757")</f>
        <v>33620757</v>
      </c>
      <c r="B1203">
        <f t="shared" si="78"/>
        <v>1</v>
      </c>
      <c r="C1203">
        <f t="shared" si="78"/>
        <v>0</v>
      </c>
      <c r="D1203">
        <f t="shared" si="78"/>
        <v>0</v>
      </c>
      <c r="E1203">
        <f t="shared" si="76"/>
        <v>1</v>
      </c>
      <c r="F1203">
        <v>2021</v>
      </c>
      <c r="G1203" t="s">
        <v>1072</v>
      </c>
      <c r="H1203">
        <v>0</v>
      </c>
      <c r="I1203" s="65">
        <v>0</v>
      </c>
      <c r="J1203" t="s">
        <v>1073</v>
      </c>
      <c r="K1203" s="35" t="s">
        <v>968</v>
      </c>
      <c r="L1203" s="35" t="s">
        <v>6557</v>
      </c>
      <c r="M1203" s="39" t="str">
        <f>HYPERLINK("http://dx.doi.org/10.1002/ps.6331","10.1002/ps.6331")</f>
        <v>10.1002/ps.6331</v>
      </c>
      <c r="N1203" s="40" t="s">
        <v>1074</v>
      </c>
      <c r="O1203" s="40" t="s">
        <v>741</v>
      </c>
      <c r="P1203" s="40" t="s">
        <v>1075</v>
      </c>
      <c r="Q1203" t="s">
        <v>316</v>
      </c>
    </row>
    <row r="1204" spans="1:17" x14ac:dyDescent="0.25">
      <c r="A1204" s="2" t="str">
        <f>HYPERLINK("https://www.ncbi.nlm.nih.gov/pubmed/33600484","33600484")</f>
        <v>33600484</v>
      </c>
      <c r="B1204">
        <f t="shared" ref="B1204:D1223" si="79">IF(ISBLANK(B$3),0,(LEN($L1204) - LEN(SUBSTITUTE(LOWER($L1204),LOWER(B$3),"")))/LEN(B$3))</f>
        <v>1</v>
      </c>
      <c r="C1204">
        <f t="shared" si="79"/>
        <v>0</v>
      </c>
      <c r="D1204">
        <f t="shared" si="79"/>
        <v>0</v>
      </c>
      <c r="E1204">
        <f t="shared" si="76"/>
        <v>1</v>
      </c>
      <c r="F1204">
        <v>2021</v>
      </c>
      <c r="G1204" t="s">
        <v>1085</v>
      </c>
      <c r="H1204">
        <v>0</v>
      </c>
      <c r="I1204" s="64" t="str">
        <f>HYPERLINK("https://www.ncbi.nlm.nih.gov/research/pubtator/?view=docsum&amp;query=PMC7891696","1")</f>
        <v>1</v>
      </c>
      <c r="J1204" t="s">
        <v>1086</v>
      </c>
      <c r="K1204" s="35" t="s">
        <v>1087</v>
      </c>
      <c r="L1204" s="35" t="s">
        <v>6558</v>
      </c>
      <c r="M1204" s="39" t="str">
        <f>HYPERLINK("http://dx.doi.org/10.1371/journal.ppat.1008863","10.1371/journal.ppat.1008863")</f>
        <v>10.1371/journal.ppat.1008863</v>
      </c>
      <c r="N1204" s="40" t="s">
        <v>1088</v>
      </c>
      <c r="O1204" s="40" t="s">
        <v>744</v>
      </c>
      <c r="P1204" s="40" t="s">
        <v>1089</v>
      </c>
      <c r="Q1204" t="s">
        <v>316</v>
      </c>
    </row>
    <row r="1205" spans="1:17" x14ac:dyDescent="0.25">
      <c r="A1205" s="2" t="str">
        <f>HYPERLINK("https://www.ncbi.nlm.nih.gov/pubmed/33510929","33510929")</f>
        <v>33510929</v>
      </c>
      <c r="B1205">
        <f t="shared" si="79"/>
        <v>1</v>
      </c>
      <c r="C1205">
        <f t="shared" si="79"/>
        <v>0</v>
      </c>
      <c r="D1205">
        <f t="shared" si="79"/>
        <v>0</v>
      </c>
      <c r="E1205">
        <f t="shared" si="76"/>
        <v>1</v>
      </c>
      <c r="F1205">
        <v>2021</v>
      </c>
      <c r="G1205" t="s">
        <v>1094</v>
      </c>
      <c r="H1205">
        <v>0</v>
      </c>
      <c r="I1205" s="64" t="str">
        <f>HYPERLINK("https://www.ncbi.nlm.nih.gov/research/pubtator/?view=docsum&amp;query=PMC7826212","1")</f>
        <v>1</v>
      </c>
      <c r="J1205" t="s">
        <v>1096</v>
      </c>
      <c r="K1205" s="35" t="s">
        <v>1097</v>
      </c>
      <c r="L1205" s="35" t="s">
        <v>1095</v>
      </c>
      <c r="M1205" s="39" t="str">
        <f>HYPERLINK("http://dx.doi.org/10.1155/2021/8816854","10.1155/2021/8816854")</f>
        <v>10.1155/2021/8816854</v>
      </c>
      <c r="N1205" s="40" t="s">
        <v>1098</v>
      </c>
      <c r="O1205" s="40" t="s">
        <v>383</v>
      </c>
      <c r="P1205" s="40" t="s">
        <v>1099</v>
      </c>
      <c r="Q1205" t="s">
        <v>316</v>
      </c>
    </row>
    <row r="1206" spans="1:17" x14ac:dyDescent="0.25">
      <c r="A1206" s="2" t="str">
        <f>HYPERLINK("https://www.ncbi.nlm.nih.gov/pubmed/33442923","33442923")</f>
        <v>33442923</v>
      </c>
      <c r="B1206">
        <f t="shared" si="79"/>
        <v>1</v>
      </c>
      <c r="C1206">
        <f t="shared" si="79"/>
        <v>0</v>
      </c>
      <c r="D1206">
        <f t="shared" si="79"/>
        <v>0</v>
      </c>
      <c r="E1206">
        <f t="shared" si="76"/>
        <v>1</v>
      </c>
      <c r="F1206">
        <v>2021</v>
      </c>
      <c r="G1206" t="s">
        <v>1133</v>
      </c>
      <c r="H1206">
        <v>0</v>
      </c>
      <c r="I1206" s="65">
        <v>0</v>
      </c>
      <c r="J1206" t="s">
        <v>1134</v>
      </c>
      <c r="K1206" s="35" t="s">
        <v>968</v>
      </c>
      <c r="L1206" s="35" t="s">
        <v>6561</v>
      </c>
      <c r="M1206" s="39" t="str">
        <f>HYPERLINK("http://dx.doi.org/10.1002/ps.6283","10.1002/ps.6283")</f>
        <v>10.1002/ps.6283</v>
      </c>
      <c r="N1206" s="40" t="s">
        <v>1074</v>
      </c>
      <c r="O1206" s="40" t="s">
        <v>746</v>
      </c>
      <c r="P1206" s="40" t="s">
        <v>1135</v>
      </c>
      <c r="Q1206" t="s">
        <v>316</v>
      </c>
    </row>
    <row r="1207" spans="1:17" x14ac:dyDescent="0.25">
      <c r="A1207" s="2" t="str">
        <f>HYPERLINK("https://www.ncbi.nlm.nih.gov/pubmed/33429970","33429970")</f>
        <v>33429970</v>
      </c>
      <c r="B1207">
        <f t="shared" si="79"/>
        <v>1</v>
      </c>
      <c r="C1207">
        <f t="shared" si="79"/>
        <v>0</v>
      </c>
      <c r="D1207">
        <f t="shared" si="79"/>
        <v>0</v>
      </c>
      <c r="E1207">
        <f t="shared" si="76"/>
        <v>1</v>
      </c>
      <c r="F1207">
        <v>2021</v>
      </c>
      <c r="G1207" t="s">
        <v>1136</v>
      </c>
      <c r="H1207">
        <v>0</v>
      </c>
      <c r="I1207" s="64" t="str">
        <f>HYPERLINK("https://www.ncbi.nlm.nih.gov/research/pubtator/?view=docsum&amp;query=PMC7827238","1")</f>
        <v>1</v>
      </c>
      <c r="J1207" t="s">
        <v>1138</v>
      </c>
      <c r="K1207" s="35" t="s">
        <v>736</v>
      </c>
      <c r="L1207" s="35" t="s">
        <v>1137</v>
      </c>
      <c r="M1207" s="39" t="str">
        <f>HYPERLINK("http://dx.doi.org/10.3390/molecules26020281","10.3390/molecules26020281")</f>
        <v>10.3390/molecules26020281</v>
      </c>
      <c r="N1207" s="40" t="s">
        <v>752</v>
      </c>
      <c r="O1207" s="40" t="s">
        <v>744</v>
      </c>
      <c r="P1207" s="40" t="s">
        <v>383</v>
      </c>
      <c r="Q1207" t="s">
        <v>316</v>
      </c>
    </row>
    <row r="1208" spans="1:17" x14ac:dyDescent="0.25">
      <c r="A1208" s="2" t="str">
        <f>HYPERLINK("https://www.ncbi.nlm.nih.gov/pubmed/33388567","33388567")</f>
        <v>33388567</v>
      </c>
      <c r="B1208">
        <f t="shared" si="79"/>
        <v>1</v>
      </c>
      <c r="C1208">
        <f t="shared" si="79"/>
        <v>0</v>
      </c>
      <c r="D1208">
        <f t="shared" si="79"/>
        <v>0</v>
      </c>
      <c r="E1208">
        <f t="shared" si="76"/>
        <v>1</v>
      </c>
      <c r="F1208">
        <v>2021</v>
      </c>
      <c r="G1208" t="s">
        <v>1153</v>
      </c>
      <c r="H1208">
        <v>0</v>
      </c>
      <c r="I1208" s="65">
        <v>0</v>
      </c>
      <c r="J1208" t="s">
        <v>1154</v>
      </c>
      <c r="K1208" s="35" t="s">
        <v>822</v>
      </c>
      <c r="L1208" s="35" t="s">
        <v>6566</v>
      </c>
      <c r="M1208" s="39" t="str">
        <f>HYPERLINK("http://dx.doi.org/10.1016/j.chemosphere.2020.129367","10.1016/j.chemosphere.2020.129367")</f>
        <v>10.1016/j.chemosphere.2020.129367</v>
      </c>
      <c r="N1208" s="40" t="s">
        <v>1155</v>
      </c>
      <c r="O1208" s="40" t="s">
        <v>383</v>
      </c>
      <c r="P1208" s="40" t="s">
        <v>1156</v>
      </c>
      <c r="Q1208" t="s">
        <v>316</v>
      </c>
    </row>
    <row r="1209" spans="1:17" x14ac:dyDescent="0.25">
      <c r="A1209" s="2" t="str">
        <f>HYPERLINK("https://www.ncbi.nlm.nih.gov/pubmed/33388555","33388555")</f>
        <v>33388555</v>
      </c>
      <c r="B1209">
        <f t="shared" si="79"/>
        <v>1</v>
      </c>
      <c r="C1209">
        <f t="shared" si="79"/>
        <v>0</v>
      </c>
      <c r="D1209">
        <f t="shared" si="79"/>
        <v>0</v>
      </c>
      <c r="E1209">
        <f t="shared" si="76"/>
        <v>1</v>
      </c>
      <c r="F1209">
        <v>2021</v>
      </c>
      <c r="G1209" t="s">
        <v>1157</v>
      </c>
      <c r="H1209">
        <v>0</v>
      </c>
      <c r="I1209" s="65">
        <v>0</v>
      </c>
      <c r="J1209" t="s">
        <v>1158</v>
      </c>
      <c r="K1209" s="35" t="s">
        <v>914</v>
      </c>
      <c r="L1209" s="35" t="s">
        <v>6567</v>
      </c>
      <c r="M1209" s="39" t="str">
        <f>HYPERLINK("http://dx.doi.org/10.1016/j.ttbdis.2020.101643","10.1016/j.ttbdis.2020.101643")</f>
        <v>10.1016/j.ttbdis.2020.101643</v>
      </c>
      <c r="N1209" s="40" t="s">
        <v>915</v>
      </c>
      <c r="O1209" s="40" t="s">
        <v>744</v>
      </c>
      <c r="P1209" s="40" t="s">
        <v>1159</v>
      </c>
      <c r="Q1209" t="s">
        <v>316</v>
      </c>
    </row>
    <row r="1210" spans="1:17" x14ac:dyDescent="0.25">
      <c r="A1210" s="2" t="str">
        <f>HYPERLINK("https://www.ncbi.nlm.nih.gov/pubmed/33313757","33313757")</f>
        <v>33313757</v>
      </c>
      <c r="B1210">
        <f t="shared" si="79"/>
        <v>1</v>
      </c>
      <c r="C1210">
        <f t="shared" si="79"/>
        <v>0</v>
      </c>
      <c r="D1210">
        <f t="shared" si="79"/>
        <v>0</v>
      </c>
      <c r="E1210">
        <f t="shared" si="76"/>
        <v>1</v>
      </c>
      <c r="F1210">
        <v>2021</v>
      </c>
      <c r="G1210" t="s">
        <v>1189</v>
      </c>
      <c r="H1210">
        <v>0</v>
      </c>
      <c r="I1210" s="65">
        <v>0</v>
      </c>
      <c r="J1210" t="s">
        <v>1190</v>
      </c>
      <c r="K1210" s="35" t="s">
        <v>1191</v>
      </c>
      <c r="L1210" s="35" t="s">
        <v>6571</v>
      </c>
      <c r="M1210" s="39" t="str">
        <f>HYPERLINK("http://dx.doi.org/10.1093/ee/nvaa163","10.1093/ee/nvaa163")</f>
        <v>10.1093/ee/nvaa163</v>
      </c>
      <c r="N1210" s="40" t="s">
        <v>743</v>
      </c>
      <c r="O1210" s="40" t="s">
        <v>744</v>
      </c>
      <c r="P1210" s="40" t="s">
        <v>1192</v>
      </c>
      <c r="Q1210" t="s">
        <v>316</v>
      </c>
    </row>
    <row r="1211" spans="1:17" x14ac:dyDescent="0.25">
      <c r="A1211" s="2" t="str">
        <f>HYPERLINK("https://www.ncbi.nlm.nih.gov/pubmed/33201557","33201557")</f>
        <v>33201557</v>
      </c>
      <c r="B1211">
        <f t="shared" si="79"/>
        <v>1</v>
      </c>
      <c r="C1211">
        <f t="shared" si="79"/>
        <v>0</v>
      </c>
      <c r="D1211">
        <f t="shared" si="79"/>
        <v>0</v>
      </c>
      <c r="E1211">
        <f t="shared" si="76"/>
        <v>1</v>
      </c>
      <c r="F1211">
        <v>2021</v>
      </c>
      <c r="G1211" t="s">
        <v>1213</v>
      </c>
      <c r="H1211">
        <v>0</v>
      </c>
      <c r="I1211" s="65">
        <v>0</v>
      </c>
      <c r="J1211" t="s">
        <v>1215</v>
      </c>
      <c r="K1211" s="35" t="s">
        <v>968</v>
      </c>
      <c r="L1211" s="35" t="s">
        <v>1214</v>
      </c>
      <c r="M1211" s="39" t="str">
        <f>HYPERLINK("http://dx.doi.org/10.1002/ps.6179","10.1002/ps.6179")</f>
        <v>10.1002/ps.6179</v>
      </c>
      <c r="N1211" s="40" t="s">
        <v>1074</v>
      </c>
      <c r="O1211" s="40" t="s">
        <v>750</v>
      </c>
      <c r="P1211" s="40" t="s">
        <v>1216</v>
      </c>
      <c r="Q1211" t="s">
        <v>316</v>
      </c>
    </row>
    <row r="1212" spans="1:17" x14ac:dyDescent="0.25">
      <c r="A1212" s="2" t="str">
        <f>HYPERLINK("https://www.ncbi.nlm.nih.gov/pubmed/33163644","33163644")</f>
        <v>33163644</v>
      </c>
      <c r="B1212">
        <f t="shared" si="79"/>
        <v>1</v>
      </c>
      <c r="C1212">
        <f t="shared" si="79"/>
        <v>0</v>
      </c>
      <c r="D1212">
        <f t="shared" si="79"/>
        <v>0</v>
      </c>
      <c r="E1212">
        <f t="shared" si="76"/>
        <v>1</v>
      </c>
      <c r="F1212">
        <v>2020</v>
      </c>
      <c r="G1212" t="s">
        <v>1231</v>
      </c>
      <c r="H1212">
        <v>0</v>
      </c>
      <c r="I1212" s="64" t="str">
        <f>HYPERLINK("https://www.ncbi.nlm.nih.gov/research/pubtator/?view=docsum&amp;query=PMC7610237","1")</f>
        <v>1</v>
      </c>
      <c r="J1212" t="s">
        <v>1232</v>
      </c>
      <c r="K1212" s="35" t="s">
        <v>947</v>
      </c>
      <c r="L1212" s="35" t="s">
        <v>6577</v>
      </c>
      <c r="M1212" s="39" t="str">
        <f>HYPERLINK("http://dx.doi.org/10.1016/j.heliyon.2020.e05274","10.1016/j.heliyon.2020.e05274")</f>
        <v>10.1016/j.heliyon.2020.e05274</v>
      </c>
      <c r="N1212" s="40" t="s">
        <v>741</v>
      </c>
      <c r="O1212" s="40" t="s">
        <v>802</v>
      </c>
      <c r="P1212" s="40" t="s">
        <v>1233</v>
      </c>
      <c r="Q1212" t="s">
        <v>316</v>
      </c>
    </row>
    <row r="1213" spans="1:17" x14ac:dyDescent="0.25">
      <c r="A1213" s="2" t="str">
        <f>HYPERLINK("https://www.ncbi.nlm.nih.gov/pubmed/33121779","33121779")</f>
        <v>33121779</v>
      </c>
      <c r="B1213">
        <f t="shared" si="79"/>
        <v>1</v>
      </c>
      <c r="C1213">
        <f t="shared" si="79"/>
        <v>1</v>
      </c>
      <c r="D1213">
        <f t="shared" si="79"/>
        <v>0</v>
      </c>
      <c r="E1213">
        <f t="shared" si="76"/>
        <v>2</v>
      </c>
      <c r="F1213">
        <v>2021</v>
      </c>
      <c r="G1213" t="s">
        <v>1256</v>
      </c>
      <c r="H1213">
        <v>0</v>
      </c>
      <c r="I1213" s="65">
        <v>0</v>
      </c>
      <c r="J1213" t="s">
        <v>1257</v>
      </c>
      <c r="K1213" s="35" t="s">
        <v>670</v>
      </c>
      <c r="L1213" s="35" t="s">
        <v>6582</v>
      </c>
      <c r="M1213" s="39" t="str">
        <f>HYPERLINK("http://dx.doi.org/10.1016/j.scitotenv.2020.142747","10.1016/j.scitotenv.2020.142747")</f>
        <v>10.1016/j.scitotenv.2020.142747</v>
      </c>
      <c r="N1213" s="40" t="s">
        <v>1258</v>
      </c>
      <c r="O1213" s="40" t="s">
        <v>383</v>
      </c>
      <c r="P1213" s="40" t="s">
        <v>1259</v>
      </c>
      <c r="Q1213" t="s">
        <v>316</v>
      </c>
    </row>
    <row r="1214" spans="1:17" x14ac:dyDescent="0.25">
      <c r="A1214" s="2" t="str">
        <f>HYPERLINK("https://www.ncbi.nlm.nih.gov/pubmed/33117555","33117555")</f>
        <v>33117555</v>
      </c>
      <c r="B1214">
        <f t="shared" si="79"/>
        <v>1</v>
      </c>
      <c r="C1214">
        <f t="shared" si="79"/>
        <v>0</v>
      </c>
      <c r="D1214">
        <f t="shared" si="79"/>
        <v>0</v>
      </c>
      <c r="E1214">
        <f t="shared" si="76"/>
        <v>1</v>
      </c>
      <c r="F1214">
        <v>2020</v>
      </c>
      <c r="G1214" t="s">
        <v>1260</v>
      </c>
      <c r="H1214">
        <v>0</v>
      </c>
      <c r="I1214" s="64" t="str">
        <f>HYPERLINK("https://www.ncbi.nlm.nih.gov/research/pubtator/?view=docsum&amp;query=PMC7570782","1")</f>
        <v>1</v>
      </c>
      <c r="J1214" t="s">
        <v>1262</v>
      </c>
      <c r="K1214" s="35" t="s">
        <v>1263</v>
      </c>
      <c r="L1214" s="35" t="s">
        <v>1261</v>
      </c>
      <c r="M1214" s="39" t="str">
        <f>HYPERLINK("http://dx.doi.org/10.1177/2055116920964001","10.1177/2055116920964001")</f>
        <v>10.1177/2055116920964001</v>
      </c>
      <c r="N1214" s="40" t="s">
        <v>741</v>
      </c>
      <c r="O1214" s="40" t="s">
        <v>744</v>
      </c>
      <c r="P1214" s="40" t="s">
        <v>1264</v>
      </c>
      <c r="Q1214" t="s">
        <v>316</v>
      </c>
    </row>
    <row r="1215" spans="1:17" x14ac:dyDescent="0.25">
      <c r="A1215" s="2" t="str">
        <f>HYPERLINK("https://www.ncbi.nlm.nih.gov/pubmed/33068168","33068168")</f>
        <v>33068168</v>
      </c>
      <c r="B1215">
        <f t="shared" si="79"/>
        <v>1</v>
      </c>
      <c r="C1215">
        <f t="shared" si="79"/>
        <v>0</v>
      </c>
      <c r="D1215">
        <f t="shared" si="79"/>
        <v>0</v>
      </c>
      <c r="E1215">
        <f t="shared" si="76"/>
        <v>1</v>
      </c>
      <c r="F1215">
        <v>2020</v>
      </c>
      <c r="G1215" t="s">
        <v>1292</v>
      </c>
      <c r="H1215">
        <v>0</v>
      </c>
      <c r="I1215" s="65">
        <v>0</v>
      </c>
      <c r="J1215" t="s">
        <v>1293</v>
      </c>
      <c r="K1215" s="35" t="s">
        <v>1294</v>
      </c>
      <c r="L1215" s="35" t="s">
        <v>6586</v>
      </c>
      <c r="M1215" s="39" t="str">
        <f>HYPERLINK("http://dx.doi.org/10.1007/s11274-020-02949-5","10.1007/s11274-020-02949-5")</f>
        <v>10.1007/s11274-020-02949-5</v>
      </c>
      <c r="N1215" s="40" t="s">
        <v>639</v>
      </c>
      <c r="O1215" s="40" t="s">
        <v>678</v>
      </c>
      <c r="P1215" s="40" t="s">
        <v>725</v>
      </c>
      <c r="Q1215" t="s">
        <v>316</v>
      </c>
    </row>
    <row r="1216" spans="1:17" x14ac:dyDescent="0.25">
      <c r="A1216" s="2" t="str">
        <f>HYPERLINK("https://www.ncbi.nlm.nih.gov/pubmed/33041051","33041051")</f>
        <v>33041051</v>
      </c>
      <c r="B1216">
        <f t="shared" si="79"/>
        <v>1</v>
      </c>
      <c r="C1216">
        <f t="shared" si="79"/>
        <v>0</v>
      </c>
      <c r="D1216">
        <f t="shared" si="79"/>
        <v>0</v>
      </c>
      <c r="E1216">
        <f t="shared" si="76"/>
        <v>1</v>
      </c>
      <c r="F1216">
        <v>2020</v>
      </c>
      <c r="G1216" t="s">
        <v>1300</v>
      </c>
      <c r="H1216">
        <v>0</v>
      </c>
      <c r="I1216" s="65">
        <v>0</v>
      </c>
      <c r="J1216" t="s">
        <v>1302</v>
      </c>
      <c r="K1216" s="35" t="s">
        <v>1303</v>
      </c>
      <c r="L1216" s="35" t="s">
        <v>1301</v>
      </c>
      <c r="M1216" s="39" t="str">
        <f>HYPERLINK("http://dx.doi.org/10.1016/j.lfs.2020.118539","10.1016/j.lfs.2020.118539")</f>
        <v>10.1016/j.lfs.2020.118539</v>
      </c>
      <c r="N1216" s="40" t="s">
        <v>1304</v>
      </c>
      <c r="O1216" s="40" t="s">
        <v>383</v>
      </c>
      <c r="P1216" s="40" t="s">
        <v>1305</v>
      </c>
      <c r="Q1216" t="s">
        <v>316</v>
      </c>
    </row>
    <row r="1217" spans="1:17" x14ac:dyDescent="0.25">
      <c r="A1217" s="2" t="str">
        <f>HYPERLINK("https://www.ncbi.nlm.nih.gov/pubmed/33003488","33003488")</f>
        <v>33003488</v>
      </c>
      <c r="B1217">
        <f t="shared" si="79"/>
        <v>1</v>
      </c>
      <c r="C1217">
        <f t="shared" si="79"/>
        <v>0</v>
      </c>
      <c r="D1217">
        <f t="shared" si="79"/>
        <v>0</v>
      </c>
      <c r="E1217">
        <f t="shared" si="76"/>
        <v>1</v>
      </c>
      <c r="F1217">
        <v>2020</v>
      </c>
      <c r="G1217" t="s">
        <v>1319</v>
      </c>
      <c r="H1217">
        <v>1</v>
      </c>
      <c r="I1217" s="64" t="str">
        <f>HYPERLINK("https://www.ncbi.nlm.nih.gov/research/pubtator/?view=docsum&amp;query=PMC7600267","1")</f>
        <v>1</v>
      </c>
      <c r="J1217" t="s">
        <v>1321</v>
      </c>
      <c r="K1217" s="35" t="s">
        <v>925</v>
      </c>
      <c r="L1217" s="35" t="s">
        <v>1320</v>
      </c>
      <c r="M1217" s="39" t="str">
        <f>HYPERLINK("http://dx.doi.org/10.3390/insects11100668","10.3390/insects11100668")</f>
        <v>10.3390/insects11100668</v>
      </c>
      <c r="N1217" s="40" t="s">
        <v>678</v>
      </c>
      <c r="O1217" s="40" t="s">
        <v>802</v>
      </c>
      <c r="P1217" s="40" t="s">
        <v>383</v>
      </c>
      <c r="Q1217" t="s">
        <v>316</v>
      </c>
    </row>
    <row r="1218" spans="1:17" x14ac:dyDescent="0.25">
      <c r="A1218" s="2" t="str">
        <f>HYPERLINK("https://www.ncbi.nlm.nih.gov/pubmed/33002298","33002298")</f>
        <v>33002298</v>
      </c>
      <c r="B1218">
        <f t="shared" si="79"/>
        <v>1</v>
      </c>
      <c r="C1218">
        <f t="shared" si="79"/>
        <v>4</v>
      </c>
      <c r="D1218">
        <f t="shared" si="79"/>
        <v>0</v>
      </c>
      <c r="E1218">
        <f t="shared" si="76"/>
        <v>5</v>
      </c>
      <c r="F1218">
        <v>2021</v>
      </c>
      <c r="G1218" t="s">
        <v>1322</v>
      </c>
      <c r="H1218">
        <v>0</v>
      </c>
      <c r="I1218" s="65">
        <v>0</v>
      </c>
      <c r="J1218" t="s">
        <v>1323</v>
      </c>
      <c r="K1218" s="35" t="s">
        <v>968</v>
      </c>
      <c r="L1218" s="35" t="s">
        <v>6589</v>
      </c>
      <c r="M1218" s="39" t="str">
        <f>HYPERLINK("http://dx.doi.org/10.1002/ps.6113","10.1002/ps.6113")</f>
        <v>10.1002/ps.6113</v>
      </c>
      <c r="N1218" s="40" t="s">
        <v>1074</v>
      </c>
      <c r="O1218" s="40" t="s">
        <v>744</v>
      </c>
      <c r="P1218" s="40" t="s">
        <v>1324</v>
      </c>
      <c r="Q1218" t="s">
        <v>316</v>
      </c>
    </row>
    <row r="1219" spans="1:17" x14ac:dyDescent="0.25">
      <c r="A1219" s="2" t="str">
        <f>HYPERLINK("https://www.ncbi.nlm.nih.gov/pubmed/33002272","33002272")</f>
        <v>33002272</v>
      </c>
      <c r="B1219">
        <f t="shared" si="79"/>
        <v>1</v>
      </c>
      <c r="C1219">
        <f t="shared" si="79"/>
        <v>0</v>
      </c>
      <c r="D1219">
        <f t="shared" si="79"/>
        <v>0</v>
      </c>
      <c r="E1219">
        <f t="shared" si="76"/>
        <v>1</v>
      </c>
      <c r="F1219">
        <v>2021</v>
      </c>
      <c r="G1219" t="s">
        <v>1325</v>
      </c>
      <c r="H1219">
        <v>0</v>
      </c>
      <c r="I1219" s="65">
        <v>0</v>
      </c>
      <c r="J1219" t="s">
        <v>1326</v>
      </c>
      <c r="K1219" s="35" t="s">
        <v>968</v>
      </c>
      <c r="L1219" s="35" t="s">
        <v>6590</v>
      </c>
      <c r="M1219" s="39" t="str">
        <f>HYPERLINK("http://dx.doi.org/10.1002/ps.6116","10.1002/ps.6116")</f>
        <v>10.1002/ps.6116</v>
      </c>
      <c r="N1219" s="40" t="s">
        <v>1074</v>
      </c>
      <c r="O1219" s="40" t="s">
        <v>781</v>
      </c>
      <c r="P1219" s="40" t="s">
        <v>1327</v>
      </c>
      <c r="Q1219" t="s">
        <v>316</v>
      </c>
    </row>
    <row r="1220" spans="1:17" x14ac:dyDescent="0.25">
      <c r="A1220" s="2" t="str">
        <f>HYPERLINK("https://www.ncbi.nlm.nih.gov/pubmed/32954620","32954620")</f>
        <v>32954620</v>
      </c>
      <c r="B1220">
        <f t="shared" si="79"/>
        <v>1</v>
      </c>
      <c r="C1220">
        <f t="shared" si="79"/>
        <v>0</v>
      </c>
      <c r="D1220">
        <f t="shared" si="79"/>
        <v>0</v>
      </c>
      <c r="E1220">
        <f t="shared" ref="E1220:E1283" si="80">SUM(B1220:D1220)</f>
        <v>1</v>
      </c>
      <c r="F1220">
        <v>2021</v>
      </c>
      <c r="G1220" t="s">
        <v>1347</v>
      </c>
      <c r="H1220">
        <v>0</v>
      </c>
      <c r="I1220" s="65">
        <v>0</v>
      </c>
      <c r="J1220" t="s">
        <v>1348</v>
      </c>
      <c r="K1220" s="35" t="s">
        <v>968</v>
      </c>
      <c r="L1220" s="35" t="s">
        <v>6593</v>
      </c>
      <c r="M1220" s="39" t="str">
        <f>HYPERLINK("http://dx.doi.org/10.1002/ps.6096","10.1002/ps.6096")</f>
        <v>10.1002/ps.6096</v>
      </c>
      <c r="N1220" s="40" t="s">
        <v>1074</v>
      </c>
      <c r="O1220" s="40" t="s">
        <v>781</v>
      </c>
      <c r="P1220" s="40" t="s">
        <v>1349</v>
      </c>
      <c r="Q1220" t="s">
        <v>316</v>
      </c>
    </row>
    <row r="1221" spans="1:17" x14ac:dyDescent="0.25">
      <c r="A1221" s="2" t="str">
        <f>HYPERLINK("https://www.ncbi.nlm.nih.gov/pubmed/32943215","32943215")</f>
        <v>32943215</v>
      </c>
      <c r="B1221">
        <f t="shared" si="79"/>
        <v>1</v>
      </c>
      <c r="C1221">
        <f t="shared" si="79"/>
        <v>0</v>
      </c>
      <c r="D1221">
        <f t="shared" si="79"/>
        <v>0</v>
      </c>
      <c r="E1221">
        <f t="shared" si="80"/>
        <v>1</v>
      </c>
      <c r="F1221">
        <v>2020</v>
      </c>
      <c r="G1221" t="s">
        <v>1350</v>
      </c>
      <c r="H1221">
        <v>0</v>
      </c>
      <c r="I1221" s="65">
        <v>0</v>
      </c>
      <c r="J1221" t="s">
        <v>1351</v>
      </c>
      <c r="K1221" s="35" t="s">
        <v>670</v>
      </c>
      <c r="L1221" s="35" t="s">
        <v>6594</v>
      </c>
      <c r="M1221" s="39" t="str">
        <f>HYPERLINK("http://dx.doi.org/10.1016/j.scitotenv.2020.141285","10.1016/j.scitotenv.2020.141285")</f>
        <v>10.1016/j.scitotenv.2020.141285</v>
      </c>
      <c r="N1221" s="40" t="s">
        <v>1352</v>
      </c>
      <c r="O1221" s="40" t="s">
        <v>383</v>
      </c>
      <c r="P1221" s="40" t="s">
        <v>1353</v>
      </c>
      <c r="Q1221" t="s">
        <v>316</v>
      </c>
    </row>
    <row r="1222" spans="1:17" x14ac:dyDescent="0.25">
      <c r="A1222" s="2" t="str">
        <f>HYPERLINK("https://www.ncbi.nlm.nih.gov/pubmed/32904247","32904247")</f>
        <v>32904247</v>
      </c>
      <c r="B1222">
        <f t="shared" si="79"/>
        <v>1</v>
      </c>
      <c r="C1222">
        <f t="shared" si="79"/>
        <v>0</v>
      </c>
      <c r="D1222">
        <f t="shared" si="79"/>
        <v>0</v>
      </c>
      <c r="E1222">
        <f t="shared" si="80"/>
        <v>1</v>
      </c>
      <c r="F1222">
        <v>2020</v>
      </c>
      <c r="G1222" t="s">
        <v>1378</v>
      </c>
      <c r="H1222">
        <v>0</v>
      </c>
      <c r="I1222" s="64" t="str">
        <f>HYPERLINK("https://www.ncbi.nlm.nih.gov/research/pubtator/?view=docsum&amp;query=PMC7452539","1")</f>
        <v>1</v>
      </c>
      <c r="J1222" t="s">
        <v>1380</v>
      </c>
      <c r="K1222" s="35" t="s">
        <v>947</v>
      </c>
      <c r="L1222" s="35" t="s">
        <v>1379</v>
      </c>
      <c r="M1222" s="39" t="str">
        <f>HYPERLINK("http://dx.doi.org/10.1016/j.heliyon.2020.e04768","10.1016/j.heliyon.2020.e04768")</f>
        <v>10.1016/j.heliyon.2020.e04768</v>
      </c>
      <c r="N1222" s="40" t="s">
        <v>741</v>
      </c>
      <c r="O1222" s="40" t="s">
        <v>781</v>
      </c>
      <c r="P1222" s="40" t="s">
        <v>1381</v>
      </c>
      <c r="Q1222" t="s">
        <v>316</v>
      </c>
    </row>
    <row r="1223" spans="1:17" x14ac:dyDescent="0.25">
      <c r="A1223" s="2" t="str">
        <f>HYPERLINK("https://www.ncbi.nlm.nih.gov/pubmed/32814213","32814213")</f>
        <v>32814213</v>
      </c>
      <c r="B1223">
        <f t="shared" si="79"/>
        <v>1</v>
      </c>
      <c r="C1223">
        <f t="shared" si="79"/>
        <v>0</v>
      </c>
      <c r="D1223">
        <f t="shared" si="79"/>
        <v>0</v>
      </c>
      <c r="E1223">
        <f t="shared" si="80"/>
        <v>1</v>
      </c>
      <c r="F1223">
        <v>2020</v>
      </c>
      <c r="G1223" t="s">
        <v>1405</v>
      </c>
      <c r="H1223">
        <v>0</v>
      </c>
      <c r="I1223" s="65">
        <v>0</v>
      </c>
      <c r="J1223" t="s">
        <v>1406</v>
      </c>
      <c r="K1223" s="35" t="s">
        <v>1407</v>
      </c>
      <c r="L1223" s="35" t="s">
        <v>6604</v>
      </c>
      <c r="M1223" s="39" t="str">
        <f>HYPERLINK("http://dx.doi.org/10.1016/j.jenvman.2020.111208","10.1016/j.jenvman.2020.111208")</f>
        <v>10.1016/j.jenvman.2020.111208</v>
      </c>
      <c r="N1223" s="40" t="s">
        <v>1408</v>
      </c>
      <c r="O1223" s="40" t="s">
        <v>383</v>
      </c>
      <c r="P1223" s="40" t="s">
        <v>1409</v>
      </c>
      <c r="Q1223" t="s">
        <v>316</v>
      </c>
    </row>
    <row r="1224" spans="1:17" x14ac:dyDescent="0.25">
      <c r="A1224" s="2" t="str">
        <f>HYPERLINK("https://www.ncbi.nlm.nih.gov/pubmed/32783869","32783869")</f>
        <v>32783869</v>
      </c>
      <c r="B1224">
        <f t="shared" ref="B1224:D1243" si="81">IF(ISBLANK(B$3),0,(LEN($L1224) - LEN(SUBSTITUTE(LOWER($L1224),LOWER(B$3),"")))/LEN(B$3))</f>
        <v>1</v>
      </c>
      <c r="C1224">
        <f t="shared" si="81"/>
        <v>0</v>
      </c>
      <c r="D1224">
        <f t="shared" si="81"/>
        <v>0</v>
      </c>
      <c r="E1224">
        <f t="shared" si="80"/>
        <v>1</v>
      </c>
      <c r="F1224">
        <v>2020</v>
      </c>
      <c r="G1224" t="s">
        <v>1424</v>
      </c>
      <c r="H1224">
        <v>0</v>
      </c>
      <c r="I1224" s="65">
        <v>0</v>
      </c>
      <c r="J1224" t="s">
        <v>1425</v>
      </c>
      <c r="K1224" s="35" t="s">
        <v>670</v>
      </c>
      <c r="L1224" s="35" t="s">
        <v>6606</v>
      </c>
      <c r="M1224" s="39" t="str">
        <f>HYPERLINK("http://dx.doi.org/10.1016/j.scitotenv.2020.140304","10.1016/j.scitotenv.2020.140304")</f>
        <v>10.1016/j.scitotenv.2020.140304</v>
      </c>
      <c r="N1224" s="40" t="s">
        <v>1426</v>
      </c>
      <c r="O1224" s="40" t="s">
        <v>383</v>
      </c>
      <c r="P1224" s="40" t="s">
        <v>1427</v>
      </c>
      <c r="Q1224" t="s">
        <v>316</v>
      </c>
    </row>
    <row r="1225" spans="1:17" x14ac:dyDescent="0.25">
      <c r="A1225" s="2" t="str">
        <f>HYPERLINK("https://www.ncbi.nlm.nih.gov/pubmed/32783180","32783180")</f>
        <v>32783180</v>
      </c>
      <c r="B1225">
        <f t="shared" si="81"/>
        <v>1</v>
      </c>
      <c r="C1225">
        <f t="shared" si="81"/>
        <v>0</v>
      </c>
      <c r="D1225">
        <f t="shared" si="81"/>
        <v>0</v>
      </c>
      <c r="E1225">
        <f t="shared" si="80"/>
        <v>1</v>
      </c>
      <c r="F1225">
        <v>2020</v>
      </c>
      <c r="G1225" t="s">
        <v>1428</v>
      </c>
      <c r="H1225">
        <v>0</v>
      </c>
      <c r="I1225" s="65">
        <v>0</v>
      </c>
      <c r="J1225" t="s">
        <v>1430</v>
      </c>
      <c r="K1225" s="35" t="s">
        <v>810</v>
      </c>
      <c r="L1225" s="35" t="s">
        <v>1429</v>
      </c>
      <c r="M1225" s="39" t="str">
        <f>HYPERLINK("http://dx.doi.org/10.1007/s11356-020-10406-x","10.1007/s11356-020-10406-x")</f>
        <v>10.1007/s11356-020-10406-x</v>
      </c>
      <c r="N1225" s="40" t="s">
        <v>1116</v>
      </c>
      <c r="O1225" s="40" t="s">
        <v>639</v>
      </c>
      <c r="P1225" s="40" t="s">
        <v>1431</v>
      </c>
      <c r="Q1225" t="s">
        <v>316</v>
      </c>
    </row>
    <row r="1226" spans="1:17" x14ac:dyDescent="0.25">
      <c r="A1226" s="2" t="str">
        <f>HYPERLINK("https://www.ncbi.nlm.nih.gov/pubmed/32756773","32756773")</f>
        <v>32756773</v>
      </c>
      <c r="B1226">
        <f t="shared" si="81"/>
        <v>1</v>
      </c>
      <c r="C1226">
        <f t="shared" si="81"/>
        <v>0</v>
      </c>
      <c r="D1226">
        <f t="shared" si="81"/>
        <v>0</v>
      </c>
      <c r="E1226">
        <f t="shared" si="80"/>
        <v>1</v>
      </c>
      <c r="F1226">
        <v>2020</v>
      </c>
      <c r="G1226" t="s">
        <v>1435</v>
      </c>
      <c r="H1226">
        <v>0</v>
      </c>
      <c r="I1226" s="65">
        <v>0</v>
      </c>
      <c r="J1226" t="s">
        <v>1437</v>
      </c>
      <c r="K1226" s="35" t="s">
        <v>1008</v>
      </c>
      <c r="L1226" s="35" t="s">
        <v>1436</v>
      </c>
      <c r="M1226" s="39" t="str">
        <f>HYPERLINK("http://dx.doi.org/10.1590/S1984-29612020052","10.1590/S1984-29612020052")</f>
        <v>10.1590/S1984-29612020052</v>
      </c>
      <c r="N1226" s="40" t="s">
        <v>858</v>
      </c>
      <c r="O1226" s="40" t="s">
        <v>750</v>
      </c>
      <c r="P1226" s="40" t="s">
        <v>1438</v>
      </c>
      <c r="Q1226" t="s">
        <v>316</v>
      </c>
    </row>
    <row r="1227" spans="1:17" x14ac:dyDescent="0.25">
      <c r="A1227" s="2" t="str">
        <f>HYPERLINK("https://www.ncbi.nlm.nih.gov/pubmed/32711767","32711767")</f>
        <v>32711767</v>
      </c>
      <c r="B1227">
        <f t="shared" si="81"/>
        <v>1</v>
      </c>
      <c r="C1227">
        <f t="shared" si="81"/>
        <v>0</v>
      </c>
      <c r="D1227">
        <f t="shared" si="81"/>
        <v>0</v>
      </c>
      <c r="E1227">
        <f t="shared" si="80"/>
        <v>1</v>
      </c>
      <c r="F1227">
        <v>2020</v>
      </c>
      <c r="G1227" t="s">
        <v>1452</v>
      </c>
      <c r="H1227">
        <v>0</v>
      </c>
      <c r="I1227" s="65">
        <v>0</v>
      </c>
      <c r="J1227" t="s">
        <v>1454</v>
      </c>
      <c r="K1227" s="35" t="s">
        <v>831</v>
      </c>
      <c r="L1227" s="35" t="s">
        <v>1453</v>
      </c>
      <c r="M1227" s="39" t="str">
        <f>HYPERLINK("http://dx.doi.org/10.1016/j.pestbp.2020.104633","10.1016/j.pestbp.2020.104633")</f>
        <v>10.1016/j.pestbp.2020.104633</v>
      </c>
      <c r="N1227" s="40" t="s">
        <v>1455</v>
      </c>
      <c r="O1227" s="40" t="s">
        <v>383</v>
      </c>
      <c r="P1227" s="40" t="s">
        <v>1456</v>
      </c>
      <c r="Q1227" t="s">
        <v>316</v>
      </c>
    </row>
    <row r="1228" spans="1:17" x14ac:dyDescent="0.25">
      <c r="A1228" s="2" t="str">
        <f>HYPERLINK("https://www.ncbi.nlm.nih.gov/pubmed/32711758","32711758")</f>
        <v>32711758</v>
      </c>
      <c r="B1228">
        <f t="shared" si="81"/>
        <v>1</v>
      </c>
      <c r="C1228">
        <f t="shared" si="81"/>
        <v>0</v>
      </c>
      <c r="D1228">
        <f t="shared" si="81"/>
        <v>0</v>
      </c>
      <c r="E1228">
        <f t="shared" si="80"/>
        <v>1</v>
      </c>
      <c r="F1228">
        <v>2020</v>
      </c>
      <c r="G1228" t="s">
        <v>1457</v>
      </c>
      <c r="H1228">
        <v>0</v>
      </c>
      <c r="I1228" s="65">
        <v>0</v>
      </c>
      <c r="J1228" t="s">
        <v>1458</v>
      </c>
      <c r="K1228" s="35" t="s">
        <v>831</v>
      </c>
      <c r="L1228" s="35" t="s">
        <v>6612</v>
      </c>
      <c r="M1228" s="39" t="str">
        <f>HYPERLINK("http://dx.doi.org/10.1016/j.pestbp.2020.104648","10.1016/j.pestbp.2020.104648")</f>
        <v>10.1016/j.pestbp.2020.104648</v>
      </c>
      <c r="N1228" s="40" t="s">
        <v>1455</v>
      </c>
      <c r="O1228" s="40" t="s">
        <v>383</v>
      </c>
      <c r="P1228" s="40" t="s">
        <v>1459</v>
      </c>
      <c r="Q1228" t="s">
        <v>316</v>
      </c>
    </row>
    <row r="1229" spans="1:17" x14ac:dyDescent="0.25">
      <c r="A1229" s="2" t="str">
        <f>HYPERLINK("https://www.ncbi.nlm.nih.gov/pubmed/32711309","32711309")</f>
        <v>32711309</v>
      </c>
      <c r="B1229">
        <f t="shared" si="81"/>
        <v>1</v>
      </c>
      <c r="C1229">
        <f t="shared" si="81"/>
        <v>0</v>
      </c>
      <c r="D1229">
        <f t="shared" si="81"/>
        <v>0</v>
      </c>
      <c r="E1229">
        <f t="shared" si="80"/>
        <v>1</v>
      </c>
      <c r="F1229">
        <v>2020</v>
      </c>
      <c r="G1229" t="s">
        <v>1460</v>
      </c>
      <c r="H1229">
        <v>0</v>
      </c>
      <c r="I1229" s="65">
        <v>0</v>
      </c>
      <c r="J1229" t="s">
        <v>1461</v>
      </c>
      <c r="K1229" s="35" t="s">
        <v>670</v>
      </c>
      <c r="L1229" s="35" t="s">
        <v>6613</v>
      </c>
      <c r="M1229" s="39" t="str">
        <f>HYPERLINK("http://dx.doi.org/10.1016/j.scitotenv.2020.140820","10.1016/j.scitotenv.2020.140820")</f>
        <v>10.1016/j.scitotenv.2020.140820</v>
      </c>
      <c r="N1229" s="40" t="s">
        <v>1462</v>
      </c>
      <c r="O1229" s="40" t="s">
        <v>383</v>
      </c>
      <c r="P1229" s="40" t="s">
        <v>1463</v>
      </c>
      <c r="Q1229" t="s">
        <v>316</v>
      </c>
    </row>
    <row r="1230" spans="1:17" x14ac:dyDescent="0.25">
      <c r="A1230" s="2" t="str">
        <f>HYPERLINK("https://www.ncbi.nlm.nih.gov/pubmed/32460093","32460093")</f>
        <v>32460093</v>
      </c>
      <c r="B1230">
        <f t="shared" si="81"/>
        <v>1</v>
      </c>
      <c r="C1230">
        <f t="shared" si="81"/>
        <v>0</v>
      </c>
      <c r="D1230">
        <f t="shared" si="81"/>
        <v>0</v>
      </c>
      <c r="E1230">
        <f t="shared" si="80"/>
        <v>1</v>
      </c>
      <c r="F1230">
        <v>2020</v>
      </c>
      <c r="G1230" t="s">
        <v>1514</v>
      </c>
      <c r="H1230">
        <v>0</v>
      </c>
      <c r="I1230" s="65">
        <v>0</v>
      </c>
      <c r="J1230" t="s">
        <v>1515</v>
      </c>
      <c r="K1230" s="35" t="s">
        <v>664</v>
      </c>
      <c r="L1230" s="35" t="s">
        <v>6621</v>
      </c>
      <c r="M1230" s="39" t="str">
        <f>HYPERLINK("http://dx.doi.org/10.1016/j.envres.2020.109646","10.1016/j.envres.2020.109646")</f>
        <v>10.1016/j.envres.2020.109646</v>
      </c>
      <c r="N1230" s="40" t="s">
        <v>1516</v>
      </c>
      <c r="O1230" s="40" t="s">
        <v>383</v>
      </c>
      <c r="P1230" s="40" t="s">
        <v>1517</v>
      </c>
      <c r="Q1230" t="s">
        <v>316</v>
      </c>
    </row>
    <row r="1231" spans="1:17" x14ac:dyDescent="0.25">
      <c r="A1231" s="2" t="str">
        <f>HYPERLINK("https://www.ncbi.nlm.nih.gov/pubmed/32415153","32415153")</f>
        <v>32415153</v>
      </c>
      <c r="B1231">
        <f t="shared" si="81"/>
        <v>1</v>
      </c>
      <c r="C1231">
        <f t="shared" si="81"/>
        <v>0</v>
      </c>
      <c r="D1231">
        <f t="shared" si="81"/>
        <v>0</v>
      </c>
      <c r="E1231">
        <f t="shared" si="80"/>
        <v>1</v>
      </c>
      <c r="F1231">
        <v>2020</v>
      </c>
      <c r="G1231" t="s">
        <v>1525</v>
      </c>
      <c r="H1231">
        <v>0</v>
      </c>
      <c r="I1231" s="64" t="str">
        <f>HYPERLINK("https://www.ncbi.nlm.nih.gov/research/pubtator/?view=docsum&amp;query=PMC7229043","1")</f>
        <v>1</v>
      </c>
      <c r="J1231" t="s">
        <v>1526</v>
      </c>
      <c r="K1231" s="35" t="s">
        <v>747</v>
      </c>
      <c r="L1231" s="35" t="s">
        <v>6623</v>
      </c>
      <c r="M1231" s="39" t="str">
        <f>HYPERLINK("http://dx.doi.org/10.1038/s41598-020-65030-z","10.1038/s41598-020-65030-z")</f>
        <v>10.1038/s41598-020-65030-z</v>
      </c>
      <c r="N1231" s="40" t="s">
        <v>802</v>
      </c>
      <c r="O1231" s="40" t="s">
        <v>638</v>
      </c>
      <c r="P1231" s="40" t="s">
        <v>1527</v>
      </c>
      <c r="Q1231" t="s">
        <v>316</v>
      </c>
    </row>
    <row r="1232" spans="1:17" x14ac:dyDescent="0.25">
      <c r="A1232" s="2" t="str">
        <f>HYPERLINK("https://www.ncbi.nlm.nih.gov/pubmed/32344224","32344224")</f>
        <v>32344224</v>
      </c>
      <c r="B1232">
        <f t="shared" si="81"/>
        <v>1</v>
      </c>
      <c r="C1232">
        <f t="shared" si="81"/>
        <v>0</v>
      </c>
      <c r="D1232">
        <f t="shared" si="81"/>
        <v>0</v>
      </c>
      <c r="E1232">
        <f t="shared" si="80"/>
        <v>1</v>
      </c>
      <c r="F1232">
        <v>2020</v>
      </c>
      <c r="G1232" t="s">
        <v>1542</v>
      </c>
      <c r="H1232">
        <v>0</v>
      </c>
      <c r="I1232" s="65">
        <v>0</v>
      </c>
      <c r="J1232" t="s">
        <v>1543</v>
      </c>
      <c r="K1232" s="35" t="s">
        <v>670</v>
      </c>
      <c r="L1232" s="35" t="s">
        <v>6624</v>
      </c>
      <c r="M1232" s="39" t="str">
        <f>HYPERLINK("http://dx.doi.org/10.1016/j.scitotenv.2020.138765","10.1016/j.scitotenv.2020.138765")</f>
        <v>10.1016/j.scitotenv.2020.138765</v>
      </c>
      <c r="N1232" s="40" t="s">
        <v>1544</v>
      </c>
      <c r="O1232" s="40" t="s">
        <v>383</v>
      </c>
      <c r="P1232" s="40" t="s">
        <v>1545</v>
      </c>
      <c r="Q1232" t="s">
        <v>316</v>
      </c>
    </row>
    <row r="1233" spans="1:17" x14ac:dyDescent="0.25">
      <c r="A1233" s="2" t="str">
        <f>HYPERLINK("https://www.ncbi.nlm.nih.gov/pubmed/32251944","32251944")</f>
        <v>32251944</v>
      </c>
      <c r="B1233">
        <f t="shared" si="81"/>
        <v>1</v>
      </c>
      <c r="C1233">
        <f t="shared" si="81"/>
        <v>5</v>
      </c>
      <c r="D1233">
        <f t="shared" si="81"/>
        <v>0</v>
      </c>
      <c r="E1233">
        <f t="shared" si="80"/>
        <v>6</v>
      </c>
      <c r="F1233">
        <v>2020</v>
      </c>
      <c r="G1233" t="s">
        <v>1564</v>
      </c>
      <c r="H1233">
        <v>0</v>
      </c>
      <c r="I1233" s="65">
        <v>0</v>
      </c>
      <c r="J1233" t="s">
        <v>1565</v>
      </c>
      <c r="K1233" s="35" t="s">
        <v>1289</v>
      </c>
      <c r="L1233" s="35" t="s">
        <v>6627</v>
      </c>
      <c r="M1233" s="39" t="str">
        <f>HYPERLINK("http://dx.doi.org/10.1016/j.watres.2020.115744","10.1016/j.watres.2020.115744")</f>
        <v>10.1016/j.watres.2020.115744</v>
      </c>
      <c r="N1233" s="40" t="s">
        <v>904</v>
      </c>
      <c r="O1233" s="40" t="s">
        <v>383</v>
      </c>
      <c r="P1233" s="40" t="s">
        <v>1566</v>
      </c>
      <c r="Q1233" t="s">
        <v>316</v>
      </c>
    </row>
    <row r="1234" spans="1:17" x14ac:dyDescent="0.25">
      <c r="A1234" s="2" t="str">
        <f>HYPERLINK("https://www.ncbi.nlm.nih.gov/pubmed/31961273","31961273")</f>
        <v>31961273</v>
      </c>
      <c r="B1234">
        <f t="shared" si="81"/>
        <v>1</v>
      </c>
      <c r="C1234">
        <f t="shared" si="81"/>
        <v>0</v>
      </c>
      <c r="D1234">
        <f t="shared" si="81"/>
        <v>0</v>
      </c>
      <c r="E1234">
        <f t="shared" si="80"/>
        <v>1</v>
      </c>
      <c r="F1234">
        <v>2020</v>
      </c>
      <c r="G1234" t="s">
        <v>1646</v>
      </c>
      <c r="H1234">
        <v>0</v>
      </c>
      <c r="I1234" s="65">
        <v>0</v>
      </c>
      <c r="J1234" t="s">
        <v>1648</v>
      </c>
      <c r="K1234" s="35" t="s">
        <v>1649</v>
      </c>
      <c r="L1234" s="35" t="s">
        <v>1647</v>
      </c>
      <c r="M1234" s="39" t="str">
        <f>HYPERLINK("http://dx.doi.org/10.2460/javma.256.3.362","10.2460/javma.256.3.362")</f>
        <v>10.2460/javma.256.3.362</v>
      </c>
      <c r="N1234" s="40" t="s">
        <v>1650</v>
      </c>
      <c r="O1234" s="40" t="s">
        <v>750</v>
      </c>
      <c r="P1234" s="40" t="s">
        <v>1651</v>
      </c>
      <c r="Q1234" t="s">
        <v>316</v>
      </c>
    </row>
    <row r="1235" spans="1:17" x14ac:dyDescent="0.25">
      <c r="A1235" s="2" t="str">
        <f>HYPERLINK("https://www.ncbi.nlm.nih.gov/pubmed/31880201","31880201")</f>
        <v>31880201</v>
      </c>
      <c r="B1235">
        <f t="shared" si="81"/>
        <v>1</v>
      </c>
      <c r="C1235">
        <f t="shared" si="81"/>
        <v>0</v>
      </c>
      <c r="D1235">
        <f t="shared" si="81"/>
        <v>0</v>
      </c>
      <c r="E1235">
        <f t="shared" si="80"/>
        <v>1</v>
      </c>
      <c r="F1235">
        <v>2020</v>
      </c>
      <c r="G1235" t="s">
        <v>1679</v>
      </c>
      <c r="H1235">
        <v>0</v>
      </c>
      <c r="I1235" s="65">
        <v>0</v>
      </c>
      <c r="J1235" t="s">
        <v>1681</v>
      </c>
      <c r="K1235" s="35" t="s">
        <v>1413</v>
      </c>
      <c r="L1235" s="35" t="s">
        <v>1680</v>
      </c>
      <c r="M1235" s="39" t="str">
        <f>HYPERLINK("http://dx.doi.org/10.1080/03601234.2019.1707585","10.1080/03601234.2019.1707585")</f>
        <v>10.1080/03601234.2019.1707585</v>
      </c>
      <c r="N1235" s="40" t="s">
        <v>1059</v>
      </c>
      <c r="O1235" s="40" t="s">
        <v>746</v>
      </c>
      <c r="P1235" s="40" t="s">
        <v>1682</v>
      </c>
      <c r="Q1235" t="s">
        <v>316</v>
      </c>
    </row>
    <row r="1236" spans="1:17" x14ac:dyDescent="0.25">
      <c r="A1236" s="2" t="str">
        <f>HYPERLINK("https://www.ncbi.nlm.nih.gov/pubmed/31840405","31840405")</f>
        <v>31840405</v>
      </c>
      <c r="B1236">
        <f t="shared" si="81"/>
        <v>1</v>
      </c>
      <c r="C1236">
        <f t="shared" si="81"/>
        <v>0</v>
      </c>
      <c r="D1236">
        <f t="shared" si="81"/>
        <v>0</v>
      </c>
      <c r="E1236">
        <f t="shared" si="80"/>
        <v>1</v>
      </c>
      <c r="F1236">
        <v>2020</v>
      </c>
      <c r="G1236" t="s">
        <v>1705</v>
      </c>
      <c r="H1236">
        <v>0</v>
      </c>
      <c r="I1236" s="65">
        <v>0</v>
      </c>
      <c r="J1236" t="s">
        <v>1043</v>
      </c>
      <c r="K1236" s="35" t="s">
        <v>968</v>
      </c>
      <c r="L1236" s="35" t="s">
        <v>6646</v>
      </c>
      <c r="M1236" s="39" t="str">
        <f>HYPERLINK("http://dx.doi.org/10.1002/ps.5716","10.1002/ps.5716")</f>
        <v>10.1002/ps.5716</v>
      </c>
      <c r="N1236" s="40" t="s">
        <v>1485</v>
      </c>
      <c r="O1236" s="40" t="s">
        <v>746</v>
      </c>
      <c r="P1236" s="40" t="s">
        <v>1706</v>
      </c>
      <c r="Q1236" t="s">
        <v>316</v>
      </c>
    </row>
    <row r="1237" spans="1:17" x14ac:dyDescent="0.25">
      <c r="A1237" s="2" t="str">
        <f>HYPERLINK("https://www.ncbi.nlm.nih.gov/pubmed/31778093","31778093")</f>
        <v>31778093</v>
      </c>
      <c r="B1237">
        <f t="shared" si="81"/>
        <v>1</v>
      </c>
      <c r="C1237">
        <f t="shared" si="81"/>
        <v>0</v>
      </c>
      <c r="D1237">
        <f t="shared" si="81"/>
        <v>0</v>
      </c>
      <c r="E1237">
        <f t="shared" si="80"/>
        <v>1</v>
      </c>
      <c r="F1237">
        <v>2020</v>
      </c>
      <c r="G1237" t="s">
        <v>1743</v>
      </c>
      <c r="H1237">
        <v>0</v>
      </c>
      <c r="I1237" s="65">
        <v>0</v>
      </c>
      <c r="J1237" t="s">
        <v>1745</v>
      </c>
      <c r="K1237" s="35" t="s">
        <v>1413</v>
      </c>
      <c r="L1237" s="35" t="s">
        <v>1744</v>
      </c>
      <c r="M1237" s="39" t="str">
        <f>HYPERLINK("http://dx.doi.org/10.1080/03601234.2019.1693835","10.1080/03601234.2019.1693835")</f>
        <v>10.1080/03601234.2019.1693835</v>
      </c>
      <c r="N1237" s="40" t="s">
        <v>1059</v>
      </c>
      <c r="O1237" s="40" t="s">
        <v>750</v>
      </c>
      <c r="P1237" s="40" t="s">
        <v>1746</v>
      </c>
      <c r="Q1237" t="s">
        <v>316</v>
      </c>
    </row>
    <row r="1238" spans="1:17" x14ac:dyDescent="0.25">
      <c r="A1238" s="2" t="str">
        <f>HYPERLINK("https://www.ncbi.nlm.nih.gov/pubmed/31718837","31718837")</f>
        <v>31718837</v>
      </c>
      <c r="B1238">
        <f t="shared" si="81"/>
        <v>1</v>
      </c>
      <c r="C1238">
        <f t="shared" si="81"/>
        <v>0</v>
      </c>
      <c r="D1238">
        <f t="shared" si="81"/>
        <v>0</v>
      </c>
      <c r="E1238">
        <f t="shared" si="80"/>
        <v>1</v>
      </c>
      <c r="F1238">
        <v>2020</v>
      </c>
      <c r="G1238" t="s">
        <v>1782</v>
      </c>
      <c r="H1238">
        <v>0</v>
      </c>
      <c r="I1238" s="65">
        <v>0</v>
      </c>
      <c r="J1238" t="s">
        <v>1784</v>
      </c>
      <c r="K1238" s="35" t="s">
        <v>786</v>
      </c>
      <c r="L1238" s="35" t="s">
        <v>1783</v>
      </c>
      <c r="M1238" s="39" t="str">
        <f>HYPERLINK("http://dx.doi.org/10.1016/j.foodchem.2019.125746","10.1016/j.foodchem.2019.125746")</f>
        <v>10.1016/j.foodchem.2019.125746</v>
      </c>
      <c r="N1238" s="40" t="s">
        <v>1785</v>
      </c>
      <c r="O1238" s="40" t="s">
        <v>383</v>
      </c>
      <c r="P1238" s="40" t="s">
        <v>1786</v>
      </c>
      <c r="Q1238" t="s">
        <v>316</v>
      </c>
    </row>
    <row r="1239" spans="1:17" x14ac:dyDescent="0.25">
      <c r="A1239" s="2" t="str">
        <f>HYPERLINK("https://www.ncbi.nlm.nih.gov/pubmed/31619253","31619253")</f>
        <v>31619253</v>
      </c>
      <c r="B1239">
        <f t="shared" si="81"/>
        <v>1</v>
      </c>
      <c r="C1239">
        <f t="shared" si="81"/>
        <v>0</v>
      </c>
      <c r="D1239">
        <f t="shared" si="81"/>
        <v>0</v>
      </c>
      <c r="E1239">
        <f t="shared" si="80"/>
        <v>1</v>
      </c>
      <c r="F1239">
        <v>2019</v>
      </c>
      <c r="G1239" t="s">
        <v>1828</v>
      </c>
      <c r="H1239">
        <v>0</v>
      </c>
      <c r="I1239" s="64" t="str">
        <f>HYPERLINK("https://www.ncbi.nlm.nih.gov/research/pubtator/?view=docsum&amp;query=PMC6796375","1")</f>
        <v>1</v>
      </c>
      <c r="J1239" t="s">
        <v>1830</v>
      </c>
      <c r="K1239" s="35" t="s">
        <v>1831</v>
      </c>
      <c r="L1239" s="35" t="s">
        <v>1829</v>
      </c>
      <c r="M1239" s="39" t="str">
        <f>HYPERLINK("http://dx.doi.org/10.1186/s12917-019-2116-1","10.1186/s12917-019-2116-1")</f>
        <v>10.1186/s12917-019-2116-1</v>
      </c>
      <c r="N1239" s="40" t="s">
        <v>929</v>
      </c>
      <c r="O1239" s="40" t="s">
        <v>638</v>
      </c>
      <c r="P1239" s="40" t="s">
        <v>1832</v>
      </c>
      <c r="Q1239" t="s">
        <v>316</v>
      </c>
    </row>
    <row r="1240" spans="1:17" x14ac:dyDescent="0.25">
      <c r="A1240" s="2" t="str">
        <f>HYPERLINK("https://www.ncbi.nlm.nih.gov/pubmed/31521460","31521460")</f>
        <v>31521460</v>
      </c>
      <c r="B1240">
        <f t="shared" si="81"/>
        <v>1</v>
      </c>
      <c r="C1240">
        <f t="shared" si="81"/>
        <v>0</v>
      </c>
      <c r="D1240">
        <f t="shared" si="81"/>
        <v>0</v>
      </c>
      <c r="E1240">
        <f t="shared" si="80"/>
        <v>1</v>
      </c>
      <c r="F1240">
        <v>2019</v>
      </c>
      <c r="G1240" t="s">
        <v>1856</v>
      </c>
      <c r="H1240">
        <v>0</v>
      </c>
      <c r="I1240" s="65">
        <v>0</v>
      </c>
      <c r="J1240" t="s">
        <v>1858</v>
      </c>
      <c r="K1240" s="35" t="s">
        <v>1859</v>
      </c>
      <c r="L1240" s="35" t="s">
        <v>1857</v>
      </c>
      <c r="M1240" s="39" t="str">
        <f>HYPERLINK("http://dx.doi.org/10.1016/j.bmc.2019.115092","10.1016/j.bmc.2019.115092")</f>
        <v>10.1016/j.bmc.2019.115092</v>
      </c>
      <c r="N1240" s="40" t="s">
        <v>1116</v>
      </c>
      <c r="O1240" s="40" t="s">
        <v>1364</v>
      </c>
      <c r="P1240" s="40" t="s">
        <v>1860</v>
      </c>
      <c r="Q1240" t="s">
        <v>316</v>
      </c>
    </row>
    <row r="1241" spans="1:17" x14ac:dyDescent="0.25">
      <c r="A1241" s="2" t="str">
        <f>HYPERLINK("https://www.ncbi.nlm.nih.gov/pubmed/31470472","31470472")</f>
        <v>31470472</v>
      </c>
      <c r="B1241">
        <f t="shared" si="81"/>
        <v>1</v>
      </c>
      <c r="C1241">
        <f t="shared" si="81"/>
        <v>0</v>
      </c>
      <c r="D1241">
        <f t="shared" si="81"/>
        <v>0</v>
      </c>
      <c r="E1241">
        <f t="shared" si="80"/>
        <v>1</v>
      </c>
      <c r="F1241">
        <v>2019</v>
      </c>
      <c r="G1241" t="s">
        <v>1875</v>
      </c>
      <c r="H1241">
        <v>1</v>
      </c>
      <c r="I1241" s="65">
        <v>0</v>
      </c>
      <c r="J1241" t="s">
        <v>1876</v>
      </c>
      <c r="K1241" s="35" t="s">
        <v>670</v>
      </c>
      <c r="L1241" s="35" t="s">
        <v>6665</v>
      </c>
      <c r="M1241" s="39" t="str">
        <f>HYPERLINK("http://dx.doi.org/10.1016/j.scitotenv.2019.07.052","10.1016/j.scitotenv.2019.07.052")</f>
        <v>10.1016/j.scitotenv.2019.07.052</v>
      </c>
      <c r="N1241" s="40" t="s">
        <v>1877</v>
      </c>
      <c r="O1241" s="40" t="s">
        <v>383</v>
      </c>
      <c r="P1241" s="40" t="s">
        <v>1878</v>
      </c>
      <c r="Q1241" t="s">
        <v>316</v>
      </c>
    </row>
    <row r="1242" spans="1:17" x14ac:dyDescent="0.25">
      <c r="A1242" s="2" t="str">
        <f>HYPERLINK("https://www.ncbi.nlm.nih.gov/pubmed/31463660","31463660")</f>
        <v>31463660</v>
      </c>
      <c r="B1242">
        <f t="shared" si="81"/>
        <v>1</v>
      </c>
      <c r="C1242">
        <f t="shared" si="81"/>
        <v>0</v>
      </c>
      <c r="D1242">
        <f t="shared" si="81"/>
        <v>0</v>
      </c>
      <c r="E1242">
        <f t="shared" si="80"/>
        <v>1</v>
      </c>
      <c r="F1242">
        <v>2020</v>
      </c>
      <c r="G1242" t="s">
        <v>1883</v>
      </c>
      <c r="H1242">
        <v>0</v>
      </c>
      <c r="I1242" s="65">
        <v>0</v>
      </c>
      <c r="J1242" t="s">
        <v>1885</v>
      </c>
      <c r="K1242" s="35" t="s">
        <v>1886</v>
      </c>
      <c r="L1242" s="35" t="s">
        <v>1884</v>
      </c>
      <c r="M1242" s="39" t="str">
        <f>HYPERLINK("http://dx.doi.org/10.1007/s11250-019-02048-0","10.1007/s11250-019-02048-0")</f>
        <v>10.1007/s11250-019-02048-0</v>
      </c>
      <c r="N1242" s="40" t="s">
        <v>756</v>
      </c>
      <c r="O1242" s="40" t="s">
        <v>744</v>
      </c>
      <c r="P1242" s="40" t="s">
        <v>1887</v>
      </c>
      <c r="Q1242" t="s">
        <v>316</v>
      </c>
    </row>
    <row r="1243" spans="1:17" x14ac:dyDescent="0.25">
      <c r="A1243" s="2" t="str">
        <f>HYPERLINK("https://www.ncbi.nlm.nih.gov/pubmed/31428841","31428841")</f>
        <v>31428841</v>
      </c>
      <c r="B1243">
        <f t="shared" si="81"/>
        <v>1</v>
      </c>
      <c r="C1243">
        <f t="shared" si="81"/>
        <v>1</v>
      </c>
      <c r="D1243">
        <f t="shared" si="81"/>
        <v>0</v>
      </c>
      <c r="E1243">
        <f t="shared" si="80"/>
        <v>2</v>
      </c>
      <c r="F1243">
        <v>2019</v>
      </c>
      <c r="G1243" t="s">
        <v>1897</v>
      </c>
      <c r="H1243">
        <v>0</v>
      </c>
      <c r="I1243" s="65">
        <v>0</v>
      </c>
      <c r="J1243" t="s">
        <v>1898</v>
      </c>
      <c r="K1243" s="35" t="s">
        <v>1899</v>
      </c>
      <c r="L1243" s="35" t="s">
        <v>6667</v>
      </c>
      <c r="M1243" s="39" t="str">
        <f>HYPERLINK("http://dx.doi.org/10.1007/s00204-019-02546-y","10.1007/s00204-019-02546-y")</f>
        <v>10.1007/s00204-019-02546-y</v>
      </c>
      <c r="N1243" s="40" t="s">
        <v>1900</v>
      </c>
      <c r="O1243" s="40" t="s">
        <v>802</v>
      </c>
      <c r="P1243" s="40" t="s">
        <v>1901</v>
      </c>
      <c r="Q1243" t="s">
        <v>316</v>
      </c>
    </row>
    <row r="1244" spans="1:17" x14ac:dyDescent="0.25">
      <c r="A1244" s="2" t="str">
        <f>HYPERLINK("https://www.ncbi.nlm.nih.gov/pubmed/31302480","31302480")</f>
        <v>31302480</v>
      </c>
      <c r="B1244">
        <f t="shared" ref="B1244:D1263" si="82">IF(ISBLANK(B$3),0,(LEN($L1244) - LEN(SUBSTITUTE(LOWER($L1244),LOWER(B$3),"")))/LEN(B$3))</f>
        <v>1</v>
      </c>
      <c r="C1244">
        <f t="shared" si="82"/>
        <v>0</v>
      </c>
      <c r="D1244">
        <f t="shared" si="82"/>
        <v>0</v>
      </c>
      <c r="E1244">
        <f t="shared" si="80"/>
        <v>1</v>
      </c>
      <c r="F1244">
        <v>2019</v>
      </c>
      <c r="G1244" t="s">
        <v>1924</v>
      </c>
      <c r="H1244">
        <v>1</v>
      </c>
      <c r="I1244" s="65">
        <v>0</v>
      </c>
      <c r="J1244" t="s">
        <v>1925</v>
      </c>
      <c r="K1244" s="35" t="s">
        <v>1734</v>
      </c>
      <c r="L1244" s="35" t="s">
        <v>6670</v>
      </c>
      <c r="M1244" s="39" t="str">
        <f>HYPERLINK("http://dx.doi.org/10.1016/j.envint.2019.104994","10.1016/j.envint.2019.104994")</f>
        <v>10.1016/j.envint.2019.104994</v>
      </c>
      <c r="N1244" s="40" t="s">
        <v>1926</v>
      </c>
      <c r="O1244" s="40" t="s">
        <v>383</v>
      </c>
      <c r="P1244" s="40" t="s">
        <v>1927</v>
      </c>
      <c r="Q1244" t="s">
        <v>316</v>
      </c>
    </row>
    <row r="1245" spans="1:17" x14ac:dyDescent="0.25">
      <c r="A1245" s="2" t="str">
        <f>HYPERLINK("https://www.ncbi.nlm.nih.gov/pubmed/31199990","31199990")</f>
        <v>31199990</v>
      </c>
      <c r="B1245">
        <f t="shared" si="82"/>
        <v>1</v>
      </c>
      <c r="C1245">
        <f t="shared" si="82"/>
        <v>0</v>
      </c>
      <c r="D1245">
        <f t="shared" si="82"/>
        <v>0</v>
      </c>
      <c r="E1245">
        <f t="shared" si="80"/>
        <v>1</v>
      </c>
      <c r="F1245">
        <v>2019</v>
      </c>
      <c r="G1245" t="s">
        <v>1959</v>
      </c>
      <c r="H1245">
        <v>0</v>
      </c>
      <c r="I1245" s="65">
        <v>0</v>
      </c>
      <c r="J1245" t="s">
        <v>1960</v>
      </c>
      <c r="K1245" s="35" t="s">
        <v>695</v>
      </c>
      <c r="L1245" s="35" t="s">
        <v>6674</v>
      </c>
      <c r="M1245" s="39" t="str">
        <f>HYPERLINK("http://dx.doi.org/10.1016/j.fct.2019.110576","10.1016/j.fct.2019.110576")</f>
        <v>10.1016/j.fct.2019.110576</v>
      </c>
      <c r="N1245" s="40" t="s">
        <v>1926</v>
      </c>
      <c r="O1245" s="40" t="s">
        <v>383</v>
      </c>
      <c r="P1245" s="40" t="s">
        <v>1961</v>
      </c>
      <c r="Q1245" t="s">
        <v>316</v>
      </c>
    </row>
    <row r="1246" spans="1:17" x14ac:dyDescent="0.25">
      <c r="A1246" s="2" t="str">
        <f>HYPERLINK("https://www.ncbi.nlm.nih.gov/pubmed/31175749","31175749")</f>
        <v>31175749</v>
      </c>
      <c r="B1246">
        <f t="shared" si="82"/>
        <v>1</v>
      </c>
      <c r="C1246">
        <f t="shared" si="82"/>
        <v>0</v>
      </c>
      <c r="D1246">
        <f t="shared" si="82"/>
        <v>0</v>
      </c>
      <c r="E1246">
        <f t="shared" si="80"/>
        <v>1</v>
      </c>
      <c r="F1246">
        <v>2019</v>
      </c>
      <c r="G1246" t="s">
        <v>1966</v>
      </c>
      <c r="H1246">
        <v>0</v>
      </c>
      <c r="I1246" s="65">
        <v>0</v>
      </c>
      <c r="J1246" t="s">
        <v>1968</v>
      </c>
      <c r="K1246" s="35" t="s">
        <v>1969</v>
      </c>
      <c r="L1246" s="35" t="s">
        <v>1967</v>
      </c>
      <c r="M1246" s="39" t="str">
        <f>HYPERLINK("http://dx.doi.org/","")</f>
        <v/>
      </c>
      <c r="N1246" s="40" t="s">
        <v>1970</v>
      </c>
      <c r="O1246" s="40" t="s">
        <v>1971</v>
      </c>
      <c r="P1246" s="40" t="s">
        <v>1972</v>
      </c>
      <c r="Q1246" t="s">
        <v>316</v>
      </c>
    </row>
    <row r="1247" spans="1:17" x14ac:dyDescent="0.25">
      <c r="A1247" s="2" t="str">
        <f>HYPERLINK("https://www.ncbi.nlm.nih.gov/pubmed/31148939","31148939")</f>
        <v>31148939</v>
      </c>
      <c r="B1247">
        <f t="shared" si="82"/>
        <v>1</v>
      </c>
      <c r="C1247">
        <f t="shared" si="82"/>
        <v>0</v>
      </c>
      <c r="D1247">
        <f t="shared" si="82"/>
        <v>0</v>
      </c>
      <c r="E1247">
        <f t="shared" si="80"/>
        <v>1</v>
      </c>
      <c r="F1247">
        <v>2019</v>
      </c>
      <c r="G1247" t="s">
        <v>1998</v>
      </c>
      <c r="H1247">
        <v>0</v>
      </c>
      <c r="I1247" s="64" t="str">
        <f>HYPERLINK("https://www.ncbi.nlm.nih.gov/research/pubtator/?view=docsum&amp;query=PMC6529747","1")</f>
        <v>1</v>
      </c>
      <c r="J1247" t="s">
        <v>2000</v>
      </c>
      <c r="K1247" s="35" t="s">
        <v>1196</v>
      </c>
      <c r="L1247" s="35" t="s">
        <v>1999</v>
      </c>
      <c r="M1247" s="39" t="str">
        <f>HYPERLINK("http://dx.doi.org/10.1584/jpestics.D18-080","10.1584/jpestics.D18-080")</f>
        <v>10.1584/jpestics.D18-080</v>
      </c>
      <c r="N1247" s="40" t="s">
        <v>2001</v>
      </c>
      <c r="O1247" s="40" t="s">
        <v>744</v>
      </c>
      <c r="P1247" s="40" t="s">
        <v>2002</v>
      </c>
      <c r="Q1247" t="s">
        <v>316</v>
      </c>
    </row>
    <row r="1248" spans="1:17" x14ac:dyDescent="0.25">
      <c r="A1248" s="2" t="str">
        <f>HYPERLINK("https://www.ncbi.nlm.nih.gov/pubmed/31148937","31148937")</f>
        <v>31148937</v>
      </c>
      <c r="B1248">
        <f t="shared" si="82"/>
        <v>1</v>
      </c>
      <c r="C1248">
        <f t="shared" si="82"/>
        <v>0</v>
      </c>
      <c r="D1248">
        <f t="shared" si="82"/>
        <v>0</v>
      </c>
      <c r="E1248">
        <f t="shared" si="80"/>
        <v>1</v>
      </c>
      <c r="F1248">
        <v>2019</v>
      </c>
      <c r="G1248" t="s">
        <v>2003</v>
      </c>
      <c r="H1248">
        <v>0</v>
      </c>
      <c r="I1248" s="64" t="str">
        <f>HYPERLINK("https://www.ncbi.nlm.nih.gov/research/pubtator/?view=docsum&amp;query=PMC6529749","1")</f>
        <v>1</v>
      </c>
      <c r="J1248" t="s">
        <v>2005</v>
      </c>
      <c r="K1248" s="35" t="s">
        <v>1196</v>
      </c>
      <c r="L1248" s="35" t="s">
        <v>2004</v>
      </c>
      <c r="M1248" s="39" t="str">
        <f>HYPERLINK("http://dx.doi.org/10.1584/jpestics.D18-067","10.1584/jpestics.D18-067")</f>
        <v>10.1584/jpestics.D18-067</v>
      </c>
      <c r="N1248" s="40" t="s">
        <v>2001</v>
      </c>
      <c r="O1248" s="40" t="s">
        <v>744</v>
      </c>
      <c r="P1248" s="40" t="s">
        <v>2006</v>
      </c>
      <c r="Q1248" t="s">
        <v>316</v>
      </c>
    </row>
    <row r="1249" spans="1:17" x14ac:dyDescent="0.25">
      <c r="A1249" s="2" t="str">
        <f>HYPERLINK("https://www.ncbi.nlm.nih.gov/pubmed/31121031","31121031")</f>
        <v>31121031</v>
      </c>
      <c r="B1249">
        <f t="shared" si="82"/>
        <v>1</v>
      </c>
      <c r="C1249">
        <f t="shared" si="82"/>
        <v>0</v>
      </c>
      <c r="D1249">
        <f t="shared" si="82"/>
        <v>0</v>
      </c>
      <c r="E1249">
        <f t="shared" si="80"/>
        <v>1</v>
      </c>
      <c r="F1249">
        <v>2019</v>
      </c>
      <c r="G1249" t="s">
        <v>2024</v>
      </c>
      <c r="H1249">
        <v>0</v>
      </c>
      <c r="I1249" s="64" t="str">
        <f>HYPERLINK("https://www.ncbi.nlm.nih.gov/research/pubtator/?view=docsum&amp;query=PMC6756776","1")</f>
        <v>1</v>
      </c>
      <c r="J1249" t="s">
        <v>2025</v>
      </c>
      <c r="K1249" s="35" t="s">
        <v>909</v>
      </c>
      <c r="L1249" s="35" t="s">
        <v>6683</v>
      </c>
      <c r="M1249" s="39" t="str">
        <f>HYPERLINK("http://dx.doi.org/10.1093/jee/toz120","10.1093/jee/toz120")</f>
        <v>10.1093/jee/toz120</v>
      </c>
      <c r="N1249" s="40" t="s">
        <v>2026</v>
      </c>
      <c r="O1249" s="40" t="s">
        <v>746</v>
      </c>
      <c r="P1249" s="40" t="s">
        <v>2027</v>
      </c>
      <c r="Q1249" t="s">
        <v>316</v>
      </c>
    </row>
    <row r="1250" spans="1:17" x14ac:dyDescent="0.25">
      <c r="A1250" s="2" t="str">
        <f>HYPERLINK("https://www.ncbi.nlm.nih.gov/pubmed/31108421","31108421")</f>
        <v>31108421</v>
      </c>
      <c r="B1250">
        <f t="shared" si="82"/>
        <v>1</v>
      </c>
      <c r="C1250">
        <f t="shared" si="82"/>
        <v>0</v>
      </c>
      <c r="D1250">
        <f t="shared" si="82"/>
        <v>0</v>
      </c>
      <c r="E1250">
        <f t="shared" si="80"/>
        <v>1</v>
      </c>
      <c r="F1250">
        <v>2019</v>
      </c>
      <c r="G1250" t="s">
        <v>2028</v>
      </c>
      <c r="H1250">
        <v>0</v>
      </c>
      <c r="I1250" s="65">
        <v>0</v>
      </c>
      <c r="J1250" t="s">
        <v>2029</v>
      </c>
      <c r="K1250" s="35" t="s">
        <v>2030</v>
      </c>
      <c r="L1250" s="35" t="s">
        <v>6684</v>
      </c>
      <c r="M1250" s="39" t="str">
        <f>HYPERLINK("http://dx.doi.org/10.1016/j.jpba.2019.05.018","10.1016/j.jpba.2019.05.018")</f>
        <v>10.1016/j.jpba.2019.05.018</v>
      </c>
      <c r="N1250" s="40" t="s">
        <v>1037</v>
      </c>
      <c r="O1250" s="40" t="s">
        <v>383</v>
      </c>
      <c r="P1250" s="40" t="s">
        <v>2031</v>
      </c>
      <c r="Q1250" t="s">
        <v>316</v>
      </c>
    </row>
    <row r="1251" spans="1:17" x14ac:dyDescent="0.25">
      <c r="A1251" s="2" t="str">
        <f>HYPERLINK("https://www.ncbi.nlm.nih.gov/pubmed/31081291","31081291")</f>
        <v>31081291</v>
      </c>
      <c r="B1251">
        <f t="shared" si="82"/>
        <v>1</v>
      </c>
      <c r="C1251">
        <f t="shared" si="82"/>
        <v>0</v>
      </c>
      <c r="D1251">
        <f t="shared" si="82"/>
        <v>0</v>
      </c>
      <c r="E1251">
        <f t="shared" si="80"/>
        <v>1</v>
      </c>
      <c r="F1251">
        <v>2019</v>
      </c>
      <c r="G1251" t="s">
        <v>2038</v>
      </c>
      <c r="H1251">
        <v>0</v>
      </c>
      <c r="I1251" s="65">
        <v>0</v>
      </c>
      <c r="J1251" t="s">
        <v>2040</v>
      </c>
      <c r="K1251" s="35" t="s">
        <v>968</v>
      </c>
      <c r="L1251" s="35" t="s">
        <v>2039</v>
      </c>
      <c r="M1251" s="39" t="str">
        <f>HYPERLINK("http://dx.doi.org/10.1002/ps.5483","10.1002/ps.5483")</f>
        <v>10.1002/ps.5483</v>
      </c>
      <c r="N1251" s="40" t="s">
        <v>2041</v>
      </c>
      <c r="O1251" s="40" t="s">
        <v>678</v>
      </c>
      <c r="P1251" s="40" t="s">
        <v>2042</v>
      </c>
      <c r="Q1251" t="s">
        <v>316</v>
      </c>
    </row>
    <row r="1252" spans="1:17" x14ac:dyDescent="0.25">
      <c r="A1252" s="2" t="str">
        <f>HYPERLINK("https://www.ncbi.nlm.nih.gov/pubmed/30999177","30999177")</f>
        <v>30999177</v>
      </c>
      <c r="B1252">
        <f t="shared" si="82"/>
        <v>1</v>
      </c>
      <c r="C1252">
        <f t="shared" si="82"/>
        <v>0</v>
      </c>
      <c r="D1252">
        <f t="shared" si="82"/>
        <v>0</v>
      </c>
      <c r="E1252">
        <f t="shared" si="80"/>
        <v>1</v>
      </c>
      <c r="F1252">
        <v>2019</v>
      </c>
      <c r="G1252" t="s">
        <v>2054</v>
      </c>
      <c r="H1252">
        <v>0</v>
      </c>
      <c r="I1252" s="65">
        <v>0</v>
      </c>
      <c r="J1252" t="s">
        <v>2055</v>
      </c>
      <c r="K1252" s="35" t="s">
        <v>822</v>
      </c>
      <c r="L1252" s="35" t="s">
        <v>6688</v>
      </c>
      <c r="M1252" s="39" t="str">
        <f>HYPERLINK("http://dx.doi.org/10.1016/j.chemosphere.2019.04.073","10.1016/j.chemosphere.2019.04.073")</f>
        <v>10.1016/j.chemosphere.2019.04.073</v>
      </c>
      <c r="N1252" s="40" t="s">
        <v>2056</v>
      </c>
      <c r="O1252" s="40" t="s">
        <v>383</v>
      </c>
      <c r="P1252" s="40" t="s">
        <v>2057</v>
      </c>
      <c r="Q1252" t="s">
        <v>316</v>
      </c>
    </row>
    <row r="1253" spans="1:17" x14ac:dyDescent="0.25">
      <c r="A1253" s="2" t="str">
        <f>HYPERLINK("https://www.ncbi.nlm.nih.gov/pubmed/30981933","30981933")</f>
        <v>30981933</v>
      </c>
      <c r="B1253">
        <f t="shared" si="82"/>
        <v>1</v>
      </c>
      <c r="C1253">
        <f t="shared" si="82"/>
        <v>0</v>
      </c>
      <c r="D1253">
        <f t="shared" si="82"/>
        <v>0</v>
      </c>
      <c r="E1253">
        <f t="shared" si="80"/>
        <v>1</v>
      </c>
      <c r="F1253">
        <v>2019</v>
      </c>
      <c r="G1253" t="s">
        <v>2063</v>
      </c>
      <c r="H1253">
        <v>0</v>
      </c>
      <c r="I1253" s="65">
        <v>0</v>
      </c>
      <c r="J1253" t="s">
        <v>2064</v>
      </c>
      <c r="K1253" s="35" t="s">
        <v>707</v>
      </c>
      <c r="L1253" s="35" t="s">
        <v>6689</v>
      </c>
      <c r="M1253" s="39" t="str">
        <f>HYPERLINK("http://dx.doi.org/10.1016/j.envpol.2019.03.125","10.1016/j.envpol.2019.03.125")</f>
        <v>10.1016/j.envpol.2019.03.125</v>
      </c>
      <c r="N1253" s="40" t="s">
        <v>2045</v>
      </c>
      <c r="O1253" s="40" t="s">
        <v>383</v>
      </c>
      <c r="P1253" s="40" t="s">
        <v>2065</v>
      </c>
      <c r="Q1253" t="s">
        <v>316</v>
      </c>
    </row>
    <row r="1254" spans="1:17" x14ac:dyDescent="0.25">
      <c r="A1254" s="2" t="str">
        <f>HYPERLINK("https://www.ncbi.nlm.nih.gov/pubmed/30904621","30904621")</f>
        <v>30904621</v>
      </c>
      <c r="B1254">
        <f t="shared" si="82"/>
        <v>1</v>
      </c>
      <c r="C1254">
        <f t="shared" si="82"/>
        <v>0</v>
      </c>
      <c r="D1254">
        <f t="shared" si="82"/>
        <v>0</v>
      </c>
      <c r="E1254">
        <f t="shared" si="80"/>
        <v>1</v>
      </c>
      <c r="F1254">
        <v>2019</v>
      </c>
      <c r="G1254" t="s">
        <v>2082</v>
      </c>
      <c r="H1254">
        <v>0</v>
      </c>
      <c r="I1254" s="65">
        <v>0</v>
      </c>
      <c r="J1254" t="s">
        <v>2083</v>
      </c>
      <c r="K1254" s="35" t="s">
        <v>2084</v>
      </c>
      <c r="L1254" s="35" t="s">
        <v>6693</v>
      </c>
      <c r="M1254" s="39" t="str">
        <f>HYPERLINK("http://dx.doi.org/10.1016/j.ijpara.2018.12.008","10.1016/j.ijpara.2018.12.008")</f>
        <v>10.1016/j.ijpara.2018.12.008</v>
      </c>
      <c r="N1254" s="40" t="s">
        <v>2085</v>
      </c>
      <c r="O1254" s="40" t="s">
        <v>741</v>
      </c>
      <c r="P1254" s="40" t="s">
        <v>2086</v>
      </c>
      <c r="Q1254" t="s">
        <v>316</v>
      </c>
    </row>
    <row r="1255" spans="1:17" x14ac:dyDescent="0.25">
      <c r="A1255" s="2" t="str">
        <f>HYPERLINK("https://www.ncbi.nlm.nih.gov/pubmed/30901782","30901782")</f>
        <v>30901782</v>
      </c>
      <c r="B1255">
        <f t="shared" si="82"/>
        <v>1</v>
      </c>
      <c r="C1255">
        <f t="shared" si="82"/>
        <v>0</v>
      </c>
      <c r="D1255">
        <f t="shared" si="82"/>
        <v>0</v>
      </c>
      <c r="E1255">
        <f t="shared" si="80"/>
        <v>1</v>
      </c>
      <c r="F1255">
        <v>2019</v>
      </c>
      <c r="G1255" t="s">
        <v>2087</v>
      </c>
      <c r="H1255">
        <v>0</v>
      </c>
      <c r="I1255" s="65">
        <v>0</v>
      </c>
      <c r="J1255" t="s">
        <v>2089</v>
      </c>
      <c r="K1255" s="35" t="s">
        <v>670</v>
      </c>
      <c r="L1255" s="35" t="s">
        <v>2088</v>
      </c>
      <c r="M1255" s="39" t="str">
        <f>HYPERLINK("http://dx.doi.org/10.1016/j.scitotenv.2019.02.038","10.1016/j.scitotenv.2019.02.038")</f>
        <v>10.1016/j.scitotenv.2019.02.038</v>
      </c>
      <c r="N1255" s="40" t="s">
        <v>2090</v>
      </c>
      <c r="O1255" s="40" t="s">
        <v>383</v>
      </c>
      <c r="P1255" s="40" t="s">
        <v>2091</v>
      </c>
      <c r="Q1255" t="s">
        <v>316</v>
      </c>
    </row>
    <row r="1256" spans="1:17" x14ac:dyDescent="0.25">
      <c r="A1256" s="2" t="str">
        <f>HYPERLINK("https://www.ncbi.nlm.nih.gov/pubmed/30900451","30900451")</f>
        <v>30900451</v>
      </c>
      <c r="B1256">
        <f t="shared" si="82"/>
        <v>1</v>
      </c>
      <c r="C1256">
        <f t="shared" si="82"/>
        <v>0</v>
      </c>
      <c r="D1256">
        <f t="shared" si="82"/>
        <v>0</v>
      </c>
      <c r="E1256">
        <f t="shared" si="80"/>
        <v>1</v>
      </c>
      <c r="F1256">
        <v>2019</v>
      </c>
      <c r="G1256" t="s">
        <v>2092</v>
      </c>
      <c r="H1256">
        <v>0</v>
      </c>
      <c r="I1256" s="65">
        <v>0</v>
      </c>
      <c r="J1256" t="s">
        <v>2094</v>
      </c>
      <c r="K1256" s="35" t="s">
        <v>1058</v>
      </c>
      <c r="L1256" s="35" t="s">
        <v>2093</v>
      </c>
      <c r="M1256" s="39" t="str">
        <f>HYPERLINK("http://dx.doi.org/10.1021/acs.est.8b05833","10.1021/acs.est.8b05833")</f>
        <v>10.1021/acs.est.8b05833</v>
      </c>
      <c r="N1256" s="40" t="s">
        <v>1730</v>
      </c>
      <c r="O1256" s="40" t="s">
        <v>748</v>
      </c>
      <c r="P1256" s="40" t="s">
        <v>2095</v>
      </c>
      <c r="Q1256" t="s">
        <v>316</v>
      </c>
    </row>
    <row r="1257" spans="1:17" x14ac:dyDescent="0.25">
      <c r="A1257" s="2" t="str">
        <f>HYPERLINK("https://www.ncbi.nlm.nih.gov/pubmed/30888411","30888411")</f>
        <v>30888411</v>
      </c>
      <c r="B1257">
        <f t="shared" si="82"/>
        <v>1</v>
      </c>
      <c r="C1257">
        <f t="shared" si="82"/>
        <v>0</v>
      </c>
      <c r="D1257">
        <f t="shared" si="82"/>
        <v>0</v>
      </c>
      <c r="E1257">
        <f t="shared" si="80"/>
        <v>1</v>
      </c>
      <c r="F1257">
        <v>2020</v>
      </c>
      <c r="G1257" t="s">
        <v>2102</v>
      </c>
      <c r="H1257">
        <v>0</v>
      </c>
      <c r="I1257" s="65">
        <v>0</v>
      </c>
      <c r="J1257" t="s">
        <v>2103</v>
      </c>
      <c r="K1257" s="35" t="s">
        <v>2104</v>
      </c>
      <c r="L1257" s="35" t="s">
        <v>6695</v>
      </c>
      <c r="M1257" s="39" t="str">
        <f>HYPERLINK("http://dx.doi.org/10.1093/mmy/myz018","10.1093/mmy/myz018")</f>
        <v>10.1093/mmy/myz018</v>
      </c>
      <c r="N1257" s="40" t="s">
        <v>1028</v>
      </c>
      <c r="O1257" s="40" t="s">
        <v>638</v>
      </c>
      <c r="P1257" s="40" t="s">
        <v>2105</v>
      </c>
      <c r="Q1257" t="s">
        <v>316</v>
      </c>
    </row>
    <row r="1258" spans="1:17" x14ac:dyDescent="0.25">
      <c r="A1258" s="2" t="str">
        <f>HYPERLINK("https://www.ncbi.nlm.nih.gov/pubmed/30878078","30878078")</f>
        <v>30878078</v>
      </c>
      <c r="B1258">
        <f t="shared" si="82"/>
        <v>1</v>
      </c>
      <c r="C1258">
        <f t="shared" si="82"/>
        <v>0</v>
      </c>
      <c r="D1258">
        <f t="shared" si="82"/>
        <v>0</v>
      </c>
      <c r="E1258">
        <f t="shared" si="80"/>
        <v>1</v>
      </c>
      <c r="F1258">
        <v>2019</v>
      </c>
      <c r="G1258" t="s">
        <v>2106</v>
      </c>
      <c r="H1258">
        <v>0</v>
      </c>
      <c r="I1258" s="65">
        <v>0</v>
      </c>
      <c r="J1258" t="s">
        <v>2108</v>
      </c>
      <c r="K1258" s="35" t="s">
        <v>1052</v>
      </c>
      <c r="L1258" s="35" t="s">
        <v>2107</v>
      </c>
      <c r="M1258" s="39" t="str">
        <f>HYPERLINK("http://dx.doi.org/10.1016/j.vetpar.2019.01.007","10.1016/j.vetpar.2019.01.007")</f>
        <v>10.1016/j.vetpar.2019.01.007</v>
      </c>
      <c r="N1258" s="40" t="s">
        <v>2109</v>
      </c>
      <c r="O1258" s="40" t="s">
        <v>383</v>
      </c>
      <c r="P1258" s="40" t="s">
        <v>2110</v>
      </c>
      <c r="Q1258" t="s">
        <v>316</v>
      </c>
    </row>
    <row r="1259" spans="1:17" x14ac:dyDescent="0.25">
      <c r="A1259" s="2" t="str">
        <f>HYPERLINK("https://www.ncbi.nlm.nih.gov/pubmed/30825884","30825884")</f>
        <v>30825884</v>
      </c>
      <c r="B1259">
        <f t="shared" si="82"/>
        <v>1</v>
      </c>
      <c r="C1259">
        <f t="shared" si="82"/>
        <v>0</v>
      </c>
      <c r="D1259">
        <f t="shared" si="82"/>
        <v>0</v>
      </c>
      <c r="E1259">
        <f t="shared" si="80"/>
        <v>1</v>
      </c>
      <c r="F1259">
        <v>2019</v>
      </c>
      <c r="G1259" t="s">
        <v>2129</v>
      </c>
      <c r="H1259">
        <v>0</v>
      </c>
      <c r="I1259" s="65">
        <v>0</v>
      </c>
      <c r="J1259" t="s">
        <v>2130</v>
      </c>
      <c r="K1259" s="35" t="s">
        <v>2131</v>
      </c>
      <c r="L1259" s="35" t="s">
        <v>6698</v>
      </c>
      <c r="M1259" s="39" t="str">
        <f>HYPERLINK("http://dx.doi.org/10.1016/j.tvjl.2018.11.009","10.1016/j.tvjl.2018.11.009")</f>
        <v>10.1016/j.tvjl.2018.11.009</v>
      </c>
      <c r="N1259" s="40" t="s">
        <v>2132</v>
      </c>
      <c r="O1259" s="40" t="s">
        <v>383</v>
      </c>
      <c r="P1259" s="40" t="s">
        <v>1004</v>
      </c>
      <c r="Q1259" t="s">
        <v>316</v>
      </c>
    </row>
    <row r="1260" spans="1:17" x14ac:dyDescent="0.25">
      <c r="A1260" s="2" t="str">
        <f>HYPERLINK("https://www.ncbi.nlm.nih.gov/pubmed/30810751","30810751")</f>
        <v>30810751</v>
      </c>
      <c r="B1260">
        <f t="shared" si="82"/>
        <v>1</v>
      </c>
      <c r="C1260">
        <f t="shared" si="82"/>
        <v>0</v>
      </c>
      <c r="D1260">
        <f t="shared" si="82"/>
        <v>0</v>
      </c>
      <c r="E1260">
        <f t="shared" si="80"/>
        <v>1</v>
      </c>
      <c r="F1260">
        <v>2019</v>
      </c>
      <c r="G1260" t="s">
        <v>2133</v>
      </c>
      <c r="H1260">
        <v>0</v>
      </c>
      <c r="I1260" s="65">
        <v>0</v>
      </c>
      <c r="J1260" t="s">
        <v>2134</v>
      </c>
      <c r="K1260" s="35" t="s">
        <v>1027</v>
      </c>
      <c r="L1260" s="35" t="s">
        <v>6699</v>
      </c>
      <c r="M1260" s="39" t="str">
        <f>HYPERLINK("http://dx.doi.org/10.1093/jme/tjz019","10.1093/jme/tjz019")</f>
        <v>10.1093/jme/tjz019</v>
      </c>
      <c r="N1260" s="40" t="s">
        <v>751</v>
      </c>
      <c r="O1260" s="40" t="s">
        <v>690</v>
      </c>
      <c r="P1260" s="40" t="s">
        <v>2135</v>
      </c>
      <c r="Q1260" t="s">
        <v>316</v>
      </c>
    </row>
    <row r="1261" spans="1:17" x14ac:dyDescent="0.25">
      <c r="A1261" s="2" t="str">
        <f>HYPERLINK("https://www.ncbi.nlm.nih.gov/pubmed/30743940","30743940")</f>
        <v>30743940</v>
      </c>
      <c r="B1261">
        <f t="shared" si="82"/>
        <v>1</v>
      </c>
      <c r="C1261">
        <f t="shared" si="82"/>
        <v>1</v>
      </c>
      <c r="D1261">
        <f t="shared" si="82"/>
        <v>0</v>
      </c>
      <c r="E1261">
        <f t="shared" si="80"/>
        <v>2</v>
      </c>
      <c r="F1261">
        <v>2019</v>
      </c>
      <c r="G1261" t="s">
        <v>2142</v>
      </c>
      <c r="H1261">
        <v>0</v>
      </c>
      <c r="I1261" s="65">
        <v>0</v>
      </c>
      <c r="J1261" t="s">
        <v>2143</v>
      </c>
      <c r="K1261" s="35" t="s">
        <v>670</v>
      </c>
      <c r="L1261" s="35" t="s">
        <v>6701</v>
      </c>
      <c r="M1261" s="39" t="str">
        <f>HYPERLINK("http://dx.doi.org/10.1016/j.scitotenv.2018.12.240","10.1016/j.scitotenv.2018.12.240")</f>
        <v>10.1016/j.scitotenv.2018.12.240</v>
      </c>
      <c r="N1261" s="40" t="s">
        <v>2144</v>
      </c>
      <c r="O1261" s="40" t="s">
        <v>383</v>
      </c>
      <c r="P1261" s="40" t="s">
        <v>2145</v>
      </c>
      <c r="Q1261" t="s">
        <v>316</v>
      </c>
    </row>
    <row r="1262" spans="1:17" x14ac:dyDescent="0.25">
      <c r="A1262" s="2" t="str">
        <f>HYPERLINK("https://www.ncbi.nlm.nih.gov/pubmed/30724230","30724230")</f>
        <v>30724230</v>
      </c>
      <c r="B1262">
        <f t="shared" si="82"/>
        <v>1</v>
      </c>
      <c r="C1262">
        <f t="shared" si="82"/>
        <v>0</v>
      </c>
      <c r="D1262">
        <f t="shared" si="82"/>
        <v>0</v>
      </c>
      <c r="E1262">
        <f t="shared" si="80"/>
        <v>1</v>
      </c>
      <c r="F1262">
        <v>2019</v>
      </c>
      <c r="G1262" t="s">
        <v>2146</v>
      </c>
      <c r="H1262">
        <v>0</v>
      </c>
      <c r="I1262" s="65">
        <v>0</v>
      </c>
      <c r="J1262" t="s">
        <v>2147</v>
      </c>
      <c r="K1262" s="35" t="s">
        <v>786</v>
      </c>
      <c r="L1262" s="35" t="s">
        <v>6702</v>
      </c>
      <c r="M1262" s="39" t="str">
        <f>HYPERLINK("http://dx.doi.org/10.1016/j.foodchem.2018.09.142","10.1016/j.foodchem.2018.09.142")</f>
        <v>10.1016/j.foodchem.2018.09.142</v>
      </c>
      <c r="N1262" s="40" t="s">
        <v>2148</v>
      </c>
      <c r="O1262" s="40" t="s">
        <v>383</v>
      </c>
      <c r="P1262" s="40" t="s">
        <v>2149</v>
      </c>
      <c r="Q1262" t="s">
        <v>316</v>
      </c>
    </row>
    <row r="1263" spans="1:17" x14ac:dyDescent="0.25">
      <c r="A1263" s="2" t="str">
        <f>HYPERLINK("https://www.ncbi.nlm.nih.gov/pubmed/30704711","30704711")</f>
        <v>30704711</v>
      </c>
      <c r="B1263">
        <f t="shared" si="82"/>
        <v>1</v>
      </c>
      <c r="C1263">
        <f t="shared" si="82"/>
        <v>0</v>
      </c>
      <c r="D1263">
        <f t="shared" si="82"/>
        <v>0</v>
      </c>
      <c r="E1263">
        <f t="shared" si="80"/>
        <v>1</v>
      </c>
      <c r="F1263">
        <v>2018</v>
      </c>
      <c r="G1263" t="s">
        <v>2165</v>
      </c>
      <c r="H1263">
        <v>0</v>
      </c>
      <c r="I1263" s="65">
        <v>0</v>
      </c>
      <c r="J1263" t="s">
        <v>2167</v>
      </c>
      <c r="K1263" s="35" t="s">
        <v>831</v>
      </c>
      <c r="L1263" s="35" t="s">
        <v>2166</v>
      </c>
      <c r="M1263" s="39" t="str">
        <f>HYPERLINK("http://dx.doi.org/10.1016/j.pestbp.2018.08.006","10.1016/j.pestbp.2018.08.006")</f>
        <v>10.1016/j.pestbp.2018.08.006</v>
      </c>
      <c r="N1263" s="40" t="s">
        <v>2163</v>
      </c>
      <c r="O1263" s="40" t="s">
        <v>383</v>
      </c>
      <c r="P1263" s="40" t="s">
        <v>2168</v>
      </c>
      <c r="Q1263" t="s">
        <v>316</v>
      </c>
    </row>
    <row r="1264" spans="1:17" x14ac:dyDescent="0.25">
      <c r="A1264" s="2" t="str">
        <f>HYPERLINK("https://www.ncbi.nlm.nih.gov/pubmed/30660036","30660036")</f>
        <v>30660036</v>
      </c>
      <c r="B1264">
        <f t="shared" ref="B1264:D1283" si="83">IF(ISBLANK(B$3),0,(LEN($L1264) - LEN(SUBSTITUTE(LOWER($L1264),LOWER(B$3),"")))/LEN(B$3))</f>
        <v>1</v>
      </c>
      <c r="C1264">
        <f t="shared" si="83"/>
        <v>0</v>
      </c>
      <c r="D1264">
        <f t="shared" si="83"/>
        <v>0</v>
      </c>
      <c r="E1264">
        <f t="shared" si="80"/>
        <v>1</v>
      </c>
      <c r="F1264">
        <v>2019</v>
      </c>
      <c r="G1264" t="s">
        <v>2178</v>
      </c>
      <c r="H1264">
        <v>0</v>
      </c>
      <c r="I1264" s="65">
        <v>0</v>
      </c>
      <c r="J1264" t="s">
        <v>2179</v>
      </c>
      <c r="K1264" s="35" t="s">
        <v>2030</v>
      </c>
      <c r="L1264" s="35" t="s">
        <v>6707</v>
      </c>
      <c r="M1264" s="39" t="str">
        <f>HYPERLINK("http://dx.doi.org/10.1016/j.jpba.2019.01.018","10.1016/j.jpba.2019.01.018")</f>
        <v>10.1016/j.jpba.2019.01.018</v>
      </c>
      <c r="N1264" s="40" t="s">
        <v>2180</v>
      </c>
      <c r="O1264" s="40" t="s">
        <v>383</v>
      </c>
      <c r="P1264" s="40" t="s">
        <v>2181</v>
      </c>
      <c r="Q1264" t="s">
        <v>316</v>
      </c>
    </row>
    <row r="1265" spans="1:17" x14ac:dyDescent="0.25">
      <c r="A1265" s="2" t="str">
        <f>HYPERLINK("https://www.ncbi.nlm.nih.gov/pubmed/30580138","30580138")</f>
        <v>30580138</v>
      </c>
      <c r="B1265">
        <f t="shared" si="83"/>
        <v>1</v>
      </c>
      <c r="C1265">
        <f t="shared" si="83"/>
        <v>0</v>
      </c>
      <c r="D1265">
        <f t="shared" si="83"/>
        <v>0</v>
      </c>
      <c r="E1265">
        <f t="shared" si="80"/>
        <v>1</v>
      </c>
      <c r="F1265">
        <v>2019</v>
      </c>
      <c r="G1265" t="s">
        <v>2199</v>
      </c>
      <c r="H1265">
        <v>0</v>
      </c>
      <c r="I1265" s="65">
        <v>0</v>
      </c>
      <c r="J1265" t="s">
        <v>2201</v>
      </c>
      <c r="K1265" s="35" t="s">
        <v>768</v>
      </c>
      <c r="L1265" s="35" t="s">
        <v>2200</v>
      </c>
      <c r="M1265" s="39" t="str">
        <f>HYPERLINK("http://dx.doi.org/10.1016/j.jhazmat.2018.11.085","10.1016/j.jhazmat.2018.11.085")</f>
        <v>10.1016/j.jhazmat.2018.11.085</v>
      </c>
      <c r="N1265" s="40" t="s">
        <v>2202</v>
      </c>
      <c r="O1265" s="40" t="s">
        <v>383</v>
      </c>
      <c r="P1265" s="40" t="s">
        <v>2203</v>
      </c>
      <c r="Q1265" t="s">
        <v>316</v>
      </c>
    </row>
    <row r="1266" spans="1:17" x14ac:dyDescent="0.25">
      <c r="A1266" s="2" t="str">
        <f>HYPERLINK("https://www.ncbi.nlm.nih.gov/pubmed/30511429","30511429")</f>
        <v>30511429</v>
      </c>
      <c r="B1266">
        <f t="shared" si="83"/>
        <v>1</v>
      </c>
      <c r="C1266">
        <f t="shared" si="83"/>
        <v>1</v>
      </c>
      <c r="D1266">
        <f t="shared" si="83"/>
        <v>0</v>
      </c>
      <c r="E1266">
        <f t="shared" si="80"/>
        <v>2</v>
      </c>
      <c r="F1266">
        <v>2019</v>
      </c>
      <c r="G1266" t="s">
        <v>2218</v>
      </c>
      <c r="H1266">
        <v>0</v>
      </c>
      <c r="I1266" s="65">
        <v>0</v>
      </c>
      <c r="J1266" t="s">
        <v>2219</v>
      </c>
      <c r="K1266" s="35" t="s">
        <v>2220</v>
      </c>
      <c r="L1266" s="35" t="s">
        <v>6711</v>
      </c>
      <c r="M1266" s="39" t="str">
        <f>HYPERLINK("http://dx.doi.org/10.1002/arch.21525","10.1002/arch.21525")</f>
        <v>10.1002/arch.21525</v>
      </c>
      <c r="N1266" s="40" t="s">
        <v>2221</v>
      </c>
      <c r="O1266" s="40" t="s">
        <v>744</v>
      </c>
      <c r="P1266" s="40" t="s">
        <v>2222</v>
      </c>
      <c r="Q1266" t="s">
        <v>316</v>
      </c>
    </row>
    <row r="1267" spans="1:17" x14ac:dyDescent="0.25">
      <c r="A1267" s="2" t="str">
        <f>HYPERLINK("https://www.ncbi.nlm.nih.gov/pubmed/30421825","30421825")</f>
        <v>30421825</v>
      </c>
      <c r="B1267">
        <f t="shared" si="83"/>
        <v>1</v>
      </c>
      <c r="C1267">
        <f t="shared" si="83"/>
        <v>0</v>
      </c>
      <c r="D1267">
        <f t="shared" si="83"/>
        <v>0</v>
      </c>
      <c r="E1267">
        <f t="shared" si="80"/>
        <v>1</v>
      </c>
      <c r="F1267">
        <v>2019</v>
      </c>
      <c r="G1267" t="s">
        <v>2236</v>
      </c>
      <c r="H1267">
        <v>0</v>
      </c>
      <c r="I1267" s="65">
        <v>0</v>
      </c>
      <c r="J1267" t="s">
        <v>2237</v>
      </c>
      <c r="K1267" s="35" t="s">
        <v>2238</v>
      </c>
      <c r="L1267" s="35" t="s">
        <v>6715</v>
      </c>
      <c r="M1267" s="39" t="str">
        <f>HYPERLINK("http://dx.doi.org/10.1111/imb.12552","10.1111/imb.12552")</f>
        <v>10.1111/imb.12552</v>
      </c>
      <c r="N1267" s="40" t="s">
        <v>731</v>
      </c>
      <c r="O1267" s="40" t="s">
        <v>750</v>
      </c>
      <c r="P1267" s="40" t="s">
        <v>2239</v>
      </c>
      <c r="Q1267" t="s">
        <v>316</v>
      </c>
    </row>
    <row r="1268" spans="1:17" x14ac:dyDescent="0.25">
      <c r="A1268" s="2" t="str">
        <f>HYPERLINK("https://www.ncbi.nlm.nih.gov/pubmed/30383248","30383248")</f>
        <v>30383248</v>
      </c>
      <c r="B1268">
        <f t="shared" si="83"/>
        <v>1</v>
      </c>
      <c r="C1268">
        <f t="shared" si="83"/>
        <v>0</v>
      </c>
      <c r="D1268">
        <f t="shared" si="83"/>
        <v>0</v>
      </c>
      <c r="E1268">
        <f t="shared" si="80"/>
        <v>1</v>
      </c>
      <c r="F1268">
        <v>2019</v>
      </c>
      <c r="G1268" t="s">
        <v>2255</v>
      </c>
      <c r="H1268">
        <v>0</v>
      </c>
      <c r="I1268" s="65">
        <v>0</v>
      </c>
      <c r="J1268" t="s">
        <v>2256</v>
      </c>
      <c r="K1268" s="35" t="s">
        <v>1027</v>
      </c>
      <c r="L1268" s="35" t="s">
        <v>6719</v>
      </c>
      <c r="M1268" s="39" t="str">
        <f>HYPERLINK("http://dx.doi.org/10.1093/jme/tjy193","10.1093/jme/tjy193")</f>
        <v>10.1093/jme/tjy193</v>
      </c>
      <c r="N1268" s="40" t="s">
        <v>751</v>
      </c>
      <c r="O1268" s="40" t="s">
        <v>744</v>
      </c>
      <c r="P1268" s="40" t="s">
        <v>2257</v>
      </c>
      <c r="Q1268" t="s">
        <v>316</v>
      </c>
    </row>
    <row r="1269" spans="1:17" x14ac:dyDescent="0.25">
      <c r="A1269" s="2" t="str">
        <f>HYPERLINK("https://www.ncbi.nlm.nih.gov/pubmed/30371797","30371797")</f>
        <v>30371797</v>
      </c>
      <c r="B1269">
        <f t="shared" si="83"/>
        <v>1</v>
      </c>
      <c r="C1269">
        <f t="shared" si="83"/>
        <v>1</v>
      </c>
      <c r="D1269">
        <f t="shared" si="83"/>
        <v>0</v>
      </c>
      <c r="E1269">
        <f t="shared" si="80"/>
        <v>2</v>
      </c>
      <c r="F1269">
        <v>2019</v>
      </c>
      <c r="G1269" t="s">
        <v>2265</v>
      </c>
      <c r="H1269">
        <v>0</v>
      </c>
      <c r="I1269" s="65">
        <v>0</v>
      </c>
      <c r="J1269" t="s">
        <v>2267</v>
      </c>
      <c r="K1269" s="35" t="s">
        <v>909</v>
      </c>
      <c r="L1269" s="35" t="s">
        <v>2266</v>
      </c>
      <c r="M1269" s="39" t="str">
        <f>HYPERLINK("http://dx.doi.org/10.1093/jee/toy334","10.1093/jee/toy334")</f>
        <v>10.1093/jee/toy334</v>
      </c>
      <c r="N1269" s="40" t="s">
        <v>2026</v>
      </c>
      <c r="O1269" s="40" t="s">
        <v>638</v>
      </c>
      <c r="P1269" s="40" t="s">
        <v>2268</v>
      </c>
      <c r="Q1269" t="s">
        <v>316</v>
      </c>
    </row>
    <row r="1270" spans="1:17" x14ac:dyDescent="0.25">
      <c r="A1270" s="2" t="str">
        <f>HYPERLINK("https://www.ncbi.nlm.nih.gov/pubmed/30129114","30129114")</f>
        <v>30129114</v>
      </c>
      <c r="B1270">
        <f t="shared" si="83"/>
        <v>1</v>
      </c>
      <c r="C1270">
        <f t="shared" si="83"/>
        <v>0</v>
      </c>
      <c r="D1270">
        <f t="shared" si="83"/>
        <v>0</v>
      </c>
      <c r="E1270">
        <f t="shared" si="80"/>
        <v>1</v>
      </c>
      <c r="F1270">
        <v>2018</v>
      </c>
      <c r="G1270" t="s">
        <v>2354</v>
      </c>
      <c r="H1270">
        <v>0</v>
      </c>
      <c r="I1270" s="65">
        <v>0</v>
      </c>
      <c r="J1270" t="s">
        <v>2356</v>
      </c>
      <c r="K1270" s="35" t="s">
        <v>2357</v>
      </c>
      <c r="L1270" s="35" t="s">
        <v>2355</v>
      </c>
      <c r="M1270" s="39" t="str">
        <f>HYPERLINK("http://dx.doi.org/10.1002/smll.201802520","10.1002/smll.201802520")</f>
        <v>10.1002/smll.201802520</v>
      </c>
      <c r="N1270" s="40" t="s">
        <v>871</v>
      </c>
      <c r="O1270" s="40" t="s">
        <v>1494</v>
      </c>
      <c r="P1270" s="40" t="s">
        <v>2358</v>
      </c>
      <c r="Q1270" t="s">
        <v>316</v>
      </c>
    </row>
    <row r="1271" spans="1:17" x14ac:dyDescent="0.25">
      <c r="A1271" s="2" t="str">
        <f>HYPERLINK("https://www.ncbi.nlm.nih.gov/pubmed/29996451","29996451")</f>
        <v>29996451</v>
      </c>
      <c r="B1271">
        <f t="shared" si="83"/>
        <v>1</v>
      </c>
      <c r="C1271">
        <f t="shared" si="83"/>
        <v>0</v>
      </c>
      <c r="D1271">
        <f t="shared" si="83"/>
        <v>0</v>
      </c>
      <c r="E1271">
        <f t="shared" si="80"/>
        <v>1</v>
      </c>
      <c r="F1271">
        <v>2018</v>
      </c>
      <c r="G1271" t="s">
        <v>2403</v>
      </c>
      <c r="H1271">
        <v>0</v>
      </c>
      <c r="I1271" s="65">
        <v>0</v>
      </c>
      <c r="J1271" t="s">
        <v>2089</v>
      </c>
      <c r="K1271" s="35" t="s">
        <v>670</v>
      </c>
      <c r="L1271" s="35" t="s">
        <v>2404</v>
      </c>
      <c r="M1271" s="39" t="str">
        <f>HYPERLINK("http://dx.doi.org/10.1016/j.scitotenv.2018.01.049","10.1016/j.scitotenv.2018.01.049")</f>
        <v>10.1016/j.scitotenv.2018.01.049</v>
      </c>
      <c r="N1271" s="40" t="s">
        <v>2405</v>
      </c>
      <c r="O1271" s="40" t="s">
        <v>383</v>
      </c>
      <c r="P1271" s="40" t="s">
        <v>2406</v>
      </c>
      <c r="Q1271" t="s">
        <v>316</v>
      </c>
    </row>
    <row r="1272" spans="1:17" x14ac:dyDescent="0.25">
      <c r="A1272" s="2" t="str">
        <f>HYPERLINK("https://www.ncbi.nlm.nih.gov/pubmed/29960737","29960737")</f>
        <v>29960737</v>
      </c>
      <c r="B1272">
        <f t="shared" si="83"/>
        <v>1</v>
      </c>
      <c r="C1272">
        <f t="shared" si="83"/>
        <v>0</v>
      </c>
      <c r="D1272">
        <f t="shared" si="83"/>
        <v>0</v>
      </c>
      <c r="E1272">
        <f t="shared" si="80"/>
        <v>1</v>
      </c>
      <c r="F1272">
        <v>2018</v>
      </c>
      <c r="G1272" t="s">
        <v>2410</v>
      </c>
      <c r="H1272">
        <v>0</v>
      </c>
      <c r="I1272" s="65">
        <v>0</v>
      </c>
      <c r="J1272" t="s">
        <v>2411</v>
      </c>
      <c r="K1272" s="35" t="s">
        <v>1340</v>
      </c>
      <c r="L1272" s="35" t="s">
        <v>6746</v>
      </c>
      <c r="M1272" s="39" t="str">
        <f>HYPERLINK("http://dx.doi.org/10.1016/j.chroma.2018.06.062","10.1016/j.chroma.2018.06.062")</f>
        <v>10.1016/j.chroma.2018.06.062</v>
      </c>
      <c r="N1272" s="40" t="s">
        <v>2412</v>
      </c>
      <c r="O1272" s="40" t="s">
        <v>383</v>
      </c>
      <c r="P1272" s="40" t="s">
        <v>2413</v>
      </c>
      <c r="Q1272" t="s">
        <v>316</v>
      </c>
    </row>
    <row r="1273" spans="1:17" x14ac:dyDescent="0.25">
      <c r="A1273" s="2" t="str">
        <f>HYPERLINK("https://www.ncbi.nlm.nih.gov/pubmed/29957333","29957333")</f>
        <v>29957333</v>
      </c>
      <c r="B1273">
        <f t="shared" si="83"/>
        <v>1</v>
      </c>
      <c r="C1273">
        <f t="shared" si="83"/>
        <v>0</v>
      </c>
      <c r="D1273">
        <f t="shared" si="83"/>
        <v>0</v>
      </c>
      <c r="E1273">
        <f t="shared" si="80"/>
        <v>1</v>
      </c>
      <c r="F1273">
        <v>2018</v>
      </c>
      <c r="G1273" t="s">
        <v>2414</v>
      </c>
      <c r="H1273">
        <v>0</v>
      </c>
      <c r="I1273" s="64" t="str">
        <f>HYPERLINK("https://www.ncbi.nlm.nih.gov/research/pubtator/?view=docsum&amp;query=PMC6039357","1")</f>
        <v>1</v>
      </c>
      <c r="J1273" t="s">
        <v>2415</v>
      </c>
      <c r="K1273" s="35" t="s">
        <v>2368</v>
      </c>
      <c r="L1273" s="35" t="s">
        <v>6747</v>
      </c>
      <c r="M1273" s="39" t="str">
        <f>HYPERLINK("http://dx.doi.org/10.1016/j.ijpddr.2018.06.001","10.1016/j.ijpddr.2018.06.001")</f>
        <v>10.1016/j.ijpddr.2018.06.001</v>
      </c>
      <c r="N1273" s="40" t="s">
        <v>781</v>
      </c>
      <c r="O1273" s="40" t="s">
        <v>744</v>
      </c>
      <c r="P1273" s="40" t="s">
        <v>2416</v>
      </c>
      <c r="Q1273" t="s">
        <v>316</v>
      </c>
    </row>
    <row r="1274" spans="1:17" x14ac:dyDescent="0.25">
      <c r="A1274" s="2" t="str">
        <f>HYPERLINK("https://www.ncbi.nlm.nih.gov/pubmed/29940533","29940533")</f>
        <v>29940533</v>
      </c>
      <c r="B1274">
        <f t="shared" si="83"/>
        <v>1</v>
      </c>
      <c r="C1274">
        <f t="shared" si="83"/>
        <v>0</v>
      </c>
      <c r="D1274">
        <f t="shared" si="83"/>
        <v>0</v>
      </c>
      <c r="E1274">
        <f t="shared" si="80"/>
        <v>1</v>
      </c>
      <c r="F1274">
        <v>2018</v>
      </c>
      <c r="G1274" t="s">
        <v>2426</v>
      </c>
      <c r="H1274">
        <v>0</v>
      </c>
      <c r="I1274" s="65">
        <v>0</v>
      </c>
      <c r="J1274" t="s">
        <v>2428</v>
      </c>
      <c r="K1274" s="35" t="s">
        <v>822</v>
      </c>
      <c r="L1274" s="35" t="s">
        <v>2427</v>
      </c>
      <c r="M1274" s="39" t="str">
        <f>HYPERLINK("http://dx.doi.org/10.1016/j.chemosphere.2018.06.116","10.1016/j.chemosphere.2018.06.116")</f>
        <v>10.1016/j.chemosphere.2018.06.116</v>
      </c>
      <c r="N1274" s="40" t="s">
        <v>1177</v>
      </c>
      <c r="O1274" s="40" t="s">
        <v>383</v>
      </c>
      <c r="P1274" s="40" t="s">
        <v>2429</v>
      </c>
      <c r="Q1274" t="s">
        <v>316</v>
      </c>
    </row>
    <row r="1275" spans="1:17" x14ac:dyDescent="0.25">
      <c r="A1275" s="2" t="str">
        <f>HYPERLINK("https://www.ncbi.nlm.nih.gov/pubmed/29655473","29655473")</f>
        <v>29655473</v>
      </c>
      <c r="B1275">
        <f t="shared" si="83"/>
        <v>1</v>
      </c>
      <c r="C1275">
        <f t="shared" si="83"/>
        <v>0</v>
      </c>
      <c r="D1275">
        <f t="shared" si="83"/>
        <v>0</v>
      </c>
      <c r="E1275">
        <f t="shared" si="80"/>
        <v>1</v>
      </c>
      <c r="F1275">
        <v>2018</v>
      </c>
      <c r="G1275" t="s">
        <v>2496</v>
      </c>
      <c r="H1275">
        <v>1</v>
      </c>
      <c r="I1275" s="65">
        <v>0</v>
      </c>
      <c r="J1275" t="s">
        <v>2498</v>
      </c>
      <c r="K1275" s="35" t="s">
        <v>2499</v>
      </c>
      <c r="L1275" s="35" t="s">
        <v>2497</v>
      </c>
      <c r="M1275" s="39" t="str">
        <f>HYPERLINK("http://dx.doi.org/10.1016/j.cvex.2018.01.004","10.1016/j.cvex.2018.01.004")</f>
        <v>10.1016/j.cvex.2018.01.004</v>
      </c>
      <c r="N1275" s="40" t="s">
        <v>1364</v>
      </c>
      <c r="O1275" s="40" t="s">
        <v>744</v>
      </c>
      <c r="P1275" s="40" t="s">
        <v>2500</v>
      </c>
      <c r="Q1275" t="s">
        <v>316</v>
      </c>
    </row>
    <row r="1276" spans="1:17" x14ac:dyDescent="0.25">
      <c r="A1276" s="2" t="str">
        <f>HYPERLINK("https://www.ncbi.nlm.nih.gov/pubmed/29496188","29496188")</f>
        <v>29496188</v>
      </c>
      <c r="B1276">
        <f t="shared" si="83"/>
        <v>1</v>
      </c>
      <c r="C1276">
        <f t="shared" si="83"/>
        <v>0</v>
      </c>
      <c r="D1276">
        <f t="shared" si="83"/>
        <v>0</v>
      </c>
      <c r="E1276">
        <f t="shared" si="80"/>
        <v>1</v>
      </c>
      <c r="F1276">
        <v>2018</v>
      </c>
      <c r="G1276" t="s">
        <v>2531</v>
      </c>
      <c r="H1276">
        <v>0</v>
      </c>
      <c r="I1276" s="65">
        <v>0</v>
      </c>
      <c r="J1276" t="s">
        <v>2532</v>
      </c>
      <c r="K1276" s="35" t="s">
        <v>1340</v>
      </c>
      <c r="L1276" s="35" t="s">
        <v>6763</v>
      </c>
      <c r="M1276" s="39" t="str">
        <f>HYPERLINK("http://dx.doi.org/10.1016/j.chroma.2018.02.048","10.1016/j.chroma.2018.02.048")</f>
        <v>10.1016/j.chroma.2018.02.048</v>
      </c>
      <c r="N1276" s="40" t="s">
        <v>2533</v>
      </c>
      <c r="O1276" s="40" t="s">
        <v>383</v>
      </c>
      <c r="P1276" s="40" t="s">
        <v>2534</v>
      </c>
      <c r="Q1276" t="s">
        <v>316</v>
      </c>
    </row>
    <row r="1277" spans="1:17" x14ac:dyDescent="0.25">
      <c r="A1277" s="2" t="str">
        <f>HYPERLINK("https://www.ncbi.nlm.nih.gov/pubmed/29407797","29407797")</f>
        <v>29407797</v>
      </c>
      <c r="B1277">
        <f t="shared" si="83"/>
        <v>1</v>
      </c>
      <c r="C1277">
        <f t="shared" si="83"/>
        <v>0</v>
      </c>
      <c r="D1277">
        <f t="shared" si="83"/>
        <v>0</v>
      </c>
      <c r="E1277">
        <f t="shared" si="80"/>
        <v>1</v>
      </c>
      <c r="F1277">
        <v>2018</v>
      </c>
      <c r="G1277" t="s">
        <v>2552</v>
      </c>
      <c r="H1277">
        <v>0</v>
      </c>
      <c r="I1277" s="65">
        <v>0</v>
      </c>
      <c r="J1277" t="s">
        <v>2554</v>
      </c>
      <c r="K1277" s="35" t="s">
        <v>763</v>
      </c>
      <c r="L1277" s="35" t="s">
        <v>2553</v>
      </c>
      <c r="M1277" s="39" t="str">
        <f>HYPERLINK("http://dx.doi.org/10.1016/j.aquatox.2018.01.018","10.1016/j.aquatox.2018.01.018")</f>
        <v>10.1016/j.aquatox.2018.01.018</v>
      </c>
      <c r="N1277" s="40" t="s">
        <v>665</v>
      </c>
      <c r="O1277" s="40" t="s">
        <v>383</v>
      </c>
      <c r="P1277" s="40" t="s">
        <v>2555</v>
      </c>
      <c r="Q1277" t="s">
        <v>316</v>
      </c>
    </row>
    <row r="1278" spans="1:17" x14ac:dyDescent="0.25">
      <c r="A1278" s="2" t="str">
        <f>HYPERLINK("https://www.ncbi.nlm.nih.gov/pubmed/29337424","29337424")</f>
        <v>29337424</v>
      </c>
      <c r="B1278">
        <f t="shared" si="83"/>
        <v>1</v>
      </c>
      <c r="C1278">
        <f t="shared" si="83"/>
        <v>0</v>
      </c>
      <c r="D1278">
        <f t="shared" si="83"/>
        <v>0</v>
      </c>
      <c r="E1278">
        <f t="shared" si="80"/>
        <v>1</v>
      </c>
      <c r="F1278">
        <v>2018</v>
      </c>
      <c r="G1278" t="s">
        <v>2571</v>
      </c>
      <c r="H1278">
        <v>0</v>
      </c>
      <c r="I1278" s="65">
        <v>0</v>
      </c>
      <c r="J1278" t="s">
        <v>2573</v>
      </c>
      <c r="K1278" s="35" t="s">
        <v>2574</v>
      </c>
      <c r="L1278" s="35" t="s">
        <v>2572</v>
      </c>
      <c r="M1278" s="39" t="str">
        <f>HYPERLINK("http://dx.doi.org/10.1002/jssc.201701039","10.1002/jssc.201701039")</f>
        <v>10.1002/jssc.201701039</v>
      </c>
      <c r="N1278" s="40" t="s">
        <v>1104</v>
      </c>
      <c r="O1278" s="40" t="s">
        <v>741</v>
      </c>
      <c r="P1278" s="40" t="s">
        <v>2575</v>
      </c>
      <c r="Q1278" t="s">
        <v>316</v>
      </c>
    </row>
    <row r="1279" spans="1:17" x14ac:dyDescent="0.25">
      <c r="A1279" s="2" t="str">
        <f>HYPERLINK("https://www.ncbi.nlm.nih.gov/pubmed/29183589","29183589")</f>
        <v>29183589</v>
      </c>
      <c r="B1279">
        <f t="shared" si="83"/>
        <v>1</v>
      </c>
      <c r="C1279">
        <f t="shared" si="83"/>
        <v>0</v>
      </c>
      <c r="D1279">
        <f t="shared" si="83"/>
        <v>0</v>
      </c>
      <c r="E1279">
        <f t="shared" si="80"/>
        <v>1</v>
      </c>
      <c r="F1279">
        <v>2017</v>
      </c>
      <c r="G1279" t="s">
        <v>2612</v>
      </c>
      <c r="H1279">
        <v>0</v>
      </c>
      <c r="I1279" s="65">
        <v>0</v>
      </c>
      <c r="J1279" t="s">
        <v>2613</v>
      </c>
      <c r="K1279" s="35" t="s">
        <v>831</v>
      </c>
      <c r="L1279" s="35" t="s">
        <v>6774</v>
      </c>
      <c r="M1279" s="39" t="str">
        <f>HYPERLINK("http://dx.doi.org/10.1016/j.pestbp.2017.07.010","10.1016/j.pestbp.2017.07.010")</f>
        <v>10.1016/j.pestbp.2017.07.010</v>
      </c>
      <c r="N1279" s="40" t="s">
        <v>2321</v>
      </c>
      <c r="O1279" s="40" t="s">
        <v>383</v>
      </c>
      <c r="P1279" s="40" t="s">
        <v>2614</v>
      </c>
      <c r="Q1279" t="s">
        <v>316</v>
      </c>
    </row>
    <row r="1280" spans="1:17" x14ac:dyDescent="0.25">
      <c r="A1280" s="2" t="str">
        <f>HYPERLINK("https://www.ncbi.nlm.nih.gov/pubmed/29077073","29077073")</f>
        <v>29077073</v>
      </c>
      <c r="B1280">
        <f t="shared" si="83"/>
        <v>1</v>
      </c>
      <c r="C1280">
        <f t="shared" si="83"/>
        <v>0</v>
      </c>
      <c r="D1280">
        <f t="shared" si="83"/>
        <v>0</v>
      </c>
      <c r="E1280">
        <f t="shared" si="80"/>
        <v>1</v>
      </c>
      <c r="F1280">
        <v>2017</v>
      </c>
      <c r="G1280" t="s">
        <v>2650</v>
      </c>
      <c r="H1280">
        <v>1</v>
      </c>
      <c r="I1280" s="64" t="str">
        <f>HYPERLINK("https://www.ncbi.nlm.nih.gov/research/pubtator/?view=docsum&amp;query=PMC5746801","1")</f>
        <v>1</v>
      </c>
      <c r="J1280" t="s">
        <v>1321</v>
      </c>
      <c r="K1280" s="35" t="s">
        <v>925</v>
      </c>
      <c r="L1280" s="35" t="s">
        <v>6784</v>
      </c>
      <c r="M1280" s="39" t="str">
        <f>HYPERLINK("http://dx.doi.org/10.3390/insects8040118","10.3390/insects8040118")</f>
        <v>10.3390/insects8040118</v>
      </c>
      <c r="N1280" s="40" t="s">
        <v>781</v>
      </c>
      <c r="O1280" s="40" t="s">
        <v>690</v>
      </c>
      <c r="P1280" s="40" t="s">
        <v>383</v>
      </c>
      <c r="Q1280" t="s">
        <v>316</v>
      </c>
    </row>
    <row r="1281" spans="1:17" x14ac:dyDescent="0.25">
      <c r="A1281" s="2" t="str">
        <f>HYPERLINK("https://www.ncbi.nlm.nih.gov/pubmed/29020877","29020877")</f>
        <v>29020877</v>
      </c>
      <c r="B1281">
        <f t="shared" si="83"/>
        <v>1</v>
      </c>
      <c r="C1281">
        <f t="shared" si="83"/>
        <v>0</v>
      </c>
      <c r="D1281">
        <f t="shared" si="83"/>
        <v>0</v>
      </c>
      <c r="E1281">
        <f t="shared" si="80"/>
        <v>1</v>
      </c>
      <c r="F1281">
        <v>2018</v>
      </c>
      <c r="G1281" t="s">
        <v>2657</v>
      </c>
      <c r="H1281">
        <v>0</v>
      </c>
      <c r="I1281" s="65">
        <v>0</v>
      </c>
      <c r="J1281" t="s">
        <v>2659</v>
      </c>
      <c r="K1281" s="35" t="s">
        <v>2660</v>
      </c>
      <c r="L1281" s="35" t="s">
        <v>2658</v>
      </c>
      <c r="M1281" s="39" t="str">
        <f>HYPERLINK("http://dx.doi.org/10.1080/00480169.2017.1391140","10.1080/00480169.2017.1391140")</f>
        <v>10.1080/00480169.2017.1391140</v>
      </c>
      <c r="N1281" s="40" t="s">
        <v>2424</v>
      </c>
      <c r="O1281" s="40" t="s">
        <v>638</v>
      </c>
      <c r="P1281" s="40" t="s">
        <v>2661</v>
      </c>
      <c r="Q1281" t="s">
        <v>316</v>
      </c>
    </row>
    <row r="1282" spans="1:17" x14ac:dyDescent="0.25">
      <c r="A1282" s="2" t="str">
        <f>HYPERLINK("https://www.ncbi.nlm.nih.gov/pubmed/28981681","28981681")</f>
        <v>28981681</v>
      </c>
      <c r="B1282">
        <f t="shared" si="83"/>
        <v>1</v>
      </c>
      <c r="C1282">
        <f t="shared" si="83"/>
        <v>0</v>
      </c>
      <c r="D1282">
        <f t="shared" si="83"/>
        <v>0</v>
      </c>
      <c r="E1282">
        <f t="shared" si="80"/>
        <v>1</v>
      </c>
      <c r="F1282">
        <v>2017</v>
      </c>
      <c r="G1282" t="s">
        <v>2667</v>
      </c>
      <c r="H1282">
        <v>0</v>
      </c>
      <c r="I1282" s="65">
        <v>0</v>
      </c>
      <c r="J1282" t="s">
        <v>2668</v>
      </c>
      <c r="K1282" s="35" t="s">
        <v>1027</v>
      </c>
      <c r="L1282" s="35" t="s">
        <v>6789</v>
      </c>
      <c r="M1282" s="39" t="str">
        <f>HYPERLINK("http://dx.doi.org/10.1093/jme/tjx143","10.1093/jme/tjx143")</f>
        <v>10.1093/jme/tjx143</v>
      </c>
      <c r="N1282" s="40" t="s">
        <v>2010</v>
      </c>
      <c r="O1282" s="40" t="s">
        <v>741</v>
      </c>
      <c r="P1282" s="40" t="s">
        <v>2669</v>
      </c>
      <c r="Q1282" t="s">
        <v>316</v>
      </c>
    </row>
    <row r="1283" spans="1:17" x14ac:dyDescent="0.25">
      <c r="A1283" s="2" t="str">
        <f>HYPERLINK("https://www.ncbi.nlm.nih.gov/pubmed/28858251","28858251")</f>
        <v>28858251</v>
      </c>
      <c r="B1283">
        <f t="shared" si="83"/>
        <v>1</v>
      </c>
      <c r="C1283">
        <f t="shared" si="83"/>
        <v>0</v>
      </c>
      <c r="D1283">
        <f t="shared" si="83"/>
        <v>0</v>
      </c>
      <c r="E1283">
        <f t="shared" si="80"/>
        <v>1</v>
      </c>
      <c r="F1283">
        <v>2017</v>
      </c>
      <c r="G1283" t="s">
        <v>2694</v>
      </c>
      <c r="H1283">
        <v>0</v>
      </c>
      <c r="I1283" s="64" t="str">
        <f>HYPERLINK("https://www.ncbi.nlm.nih.gov/research/pubtator/?view=docsum&amp;query=PMC5620713","1")</f>
        <v>1</v>
      </c>
      <c r="J1283" t="s">
        <v>2696</v>
      </c>
      <c r="K1283" s="35" t="s">
        <v>925</v>
      </c>
      <c r="L1283" s="35" t="s">
        <v>2695</v>
      </c>
      <c r="M1283" s="39" t="str">
        <f>HYPERLINK("http://dx.doi.org/10.3390/insects8030093","10.3390/insects8030093")</f>
        <v>10.3390/insects8030093</v>
      </c>
      <c r="N1283" s="40" t="s">
        <v>781</v>
      </c>
      <c r="O1283" s="40" t="s">
        <v>750</v>
      </c>
      <c r="P1283" s="40" t="s">
        <v>383</v>
      </c>
      <c r="Q1283" t="s">
        <v>316</v>
      </c>
    </row>
    <row r="1284" spans="1:17" x14ac:dyDescent="0.25">
      <c r="A1284" s="2" t="str">
        <f>HYPERLINK("https://www.ncbi.nlm.nih.gov/pubmed/28803989","28803989")</f>
        <v>28803989</v>
      </c>
      <c r="B1284">
        <f t="shared" ref="B1284:D1303" si="84">IF(ISBLANK(B$3),0,(LEN($L1284) - LEN(SUBSTITUTE(LOWER($L1284),LOWER(B$3),"")))/LEN(B$3))</f>
        <v>1</v>
      </c>
      <c r="C1284">
        <f t="shared" si="84"/>
        <v>0</v>
      </c>
      <c r="D1284">
        <f t="shared" si="84"/>
        <v>0</v>
      </c>
      <c r="E1284">
        <f t="shared" ref="E1284:E1347" si="85">SUM(B1284:D1284)</f>
        <v>1</v>
      </c>
      <c r="F1284">
        <v>2017</v>
      </c>
      <c r="G1284" t="s">
        <v>2707</v>
      </c>
      <c r="H1284">
        <v>0</v>
      </c>
      <c r="I1284" s="65">
        <v>0</v>
      </c>
      <c r="J1284" t="s">
        <v>2708</v>
      </c>
      <c r="K1284" s="35" t="s">
        <v>2206</v>
      </c>
      <c r="L1284" s="35" t="s">
        <v>6795</v>
      </c>
      <c r="M1284" s="39" t="str">
        <f>HYPERLINK("http://dx.doi.org/10.1016/j.ibmb.2017.08.002","10.1016/j.ibmb.2017.08.002")</f>
        <v>10.1016/j.ibmb.2017.08.002</v>
      </c>
      <c r="N1284" s="40" t="s">
        <v>2709</v>
      </c>
      <c r="O1284" s="40" t="s">
        <v>383</v>
      </c>
      <c r="P1284" s="40" t="s">
        <v>2710</v>
      </c>
      <c r="Q1284" t="s">
        <v>316</v>
      </c>
    </row>
    <row r="1285" spans="1:17" x14ac:dyDescent="0.25">
      <c r="A1285" s="2" t="str">
        <f>HYPERLINK("https://www.ncbi.nlm.nih.gov/pubmed/28802893","28802893")</f>
        <v>28802893</v>
      </c>
      <c r="B1285">
        <f t="shared" si="84"/>
        <v>1</v>
      </c>
      <c r="C1285">
        <f t="shared" si="84"/>
        <v>0</v>
      </c>
      <c r="D1285">
        <f t="shared" si="84"/>
        <v>0</v>
      </c>
      <c r="E1285">
        <f t="shared" si="85"/>
        <v>1</v>
      </c>
      <c r="F1285">
        <v>2018</v>
      </c>
      <c r="G1285" t="s">
        <v>2711</v>
      </c>
      <c r="H1285">
        <v>0</v>
      </c>
      <c r="I1285" s="65">
        <v>0</v>
      </c>
      <c r="J1285" t="s">
        <v>2712</v>
      </c>
      <c r="K1285" s="35" t="s">
        <v>670</v>
      </c>
      <c r="L1285" s="35" t="s">
        <v>6796</v>
      </c>
      <c r="M1285" s="39" t="str">
        <f>HYPERLINK("http://dx.doi.org/10.1016/j.scitotenv.2017.06.156","10.1016/j.scitotenv.2017.06.156")</f>
        <v>10.1016/j.scitotenv.2017.06.156</v>
      </c>
      <c r="N1285" s="40" t="s">
        <v>2713</v>
      </c>
      <c r="O1285" s="40" t="s">
        <v>383</v>
      </c>
      <c r="P1285" s="40" t="s">
        <v>2714</v>
      </c>
      <c r="Q1285" t="s">
        <v>316</v>
      </c>
    </row>
    <row r="1286" spans="1:17" x14ac:dyDescent="0.25">
      <c r="A1286" s="2" t="str">
        <f>HYPERLINK("https://www.ncbi.nlm.nih.gov/pubmed/28786535","28786535")</f>
        <v>28786535</v>
      </c>
      <c r="B1286">
        <f t="shared" si="84"/>
        <v>1</v>
      </c>
      <c r="C1286">
        <f t="shared" si="84"/>
        <v>0</v>
      </c>
      <c r="D1286">
        <f t="shared" si="84"/>
        <v>0</v>
      </c>
      <c r="E1286">
        <f t="shared" si="85"/>
        <v>1</v>
      </c>
      <c r="F1286">
        <v>2018</v>
      </c>
      <c r="G1286" t="s">
        <v>2715</v>
      </c>
      <c r="H1286">
        <v>0</v>
      </c>
      <c r="I1286" s="64" t="str">
        <f>HYPERLINK("https://www.ncbi.nlm.nih.gov/research/pubtator/?view=docsum&amp;query=PMC6098700","1")</f>
        <v>1</v>
      </c>
      <c r="J1286" t="s">
        <v>2716</v>
      </c>
      <c r="K1286" s="35" t="s">
        <v>755</v>
      </c>
      <c r="L1286" s="35" t="s">
        <v>6797</v>
      </c>
      <c r="M1286" s="39" t="str">
        <f>HYPERLINK("http://dx.doi.org/10.1002/etc.3938","10.1002/etc.3938")</f>
        <v>10.1002/etc.3938</v>
      </c>
      <c r="N1286" s="40" t="s">
        <v>1869</v>
      </c>
      <c r="O1286" s="40" t="s">
        <v>638</v>
      </c>
      <c r="P1286" s="40" t="s">
        <v>2717</v>
      </c>
      <c r="Q1286" t="s">
        <v>316</v>
      </c>
    </row>
    <row r="1287" spans="1:17" x14ac:dyDescent="0.25">
      <c r="A1287" s="2" t="str">
        <f>HYPERLINK("https://www.ncbi.nlm.nih.gov/pubmed/32625585","32625585")</f>
        <v>32625585</v>
      </c>
      <c r="B1287">
        <f t="shared" si="84"/>
        <v>1</v>
      </c>
      <c r="C1287">
        <f t="shared" si="84"/>
        <v>0</v>
      </c>
      <c r="D1287">
        <f t="shared" si="84"/>
        <v>0</v>
      </c>
      <c r="E1287">
        <f t="shared" si="85"/>
        <v>1</v>
      </c>
      <c r="F1287">
        <v>2017</v>
      </c>
      <c r="G1287" t="s">
        <v>2727</v>
      </c>
      <c r="H1287">
        <v>0</v>
      </c>
      <c r="I1287" s="64" t="str">
        <f>HYPERLINK("https://www.ncbi.nlm.nih.gov/research/pubtator/?view=docsum&amp;query=PMC7009878","1")</f>
        <v>1</v>
      </c>
      <c r="K1287" s="35" t="s">
        <v>2479</v>
      </c>
      <c r="L1287" s="35" t="s">
        <v>2728</v>
      </c>
      <c r="M1287" s="39" t="str">
        <f>HYPERLINK("http://dx.doi.org/10.2903/j.efsa.2017.4929","10.2903/j.efsa.2017.4929")</f>
        <v>10.2903/j.efsa.2017.4929</v>
      </c>
      <c r="N1287" s="40" t="s">
        <v>929</v>
      </c>
      <c r="O1287" s="40" t="s">
        <v>748</v>
      </c>
      <c r="P1287" s="40" t="s">
        <v>2729</v>
      </c>
      <c r="Q1287" t="s">
        <v>316</v>
      </c>
    </row>
    <row r="1288" spans="1:17" x14ac:dyDescent="0.25">
      <c r="A1288" s="2" t="str">
        <f>HYPERLINK("https://www.ncbi.nlm.nih.gov/pubmed/28716199","28716199")</f>
        <v>28716199</v>
      </c>
      <c r="B1288">
        <f t="shared" si="84"/>
        <v>1</v>
      </c>
      <c r="C1288">
        <f t="shared" si="84"/>
        <v>0</v>
      </c>
      <c r="D1288">
        <f t="shared" si="84"/>
        <v>0</v>
      </c>
      <c r="E1288">
        <f t="shared" si="85"/>
        <v>1</v>
      </c>
      <c r="F1288">
        <v>2017</v>
      </c>
      <c r="G1288" t="s">
        <v>2733</v>
      </c>
      <c r="H1288">
        <v>0</v>
      </c>
      <c r="I1288" s="65">
        <v>0</v>
      </c>
      <c r="J1288" t="s">
        <v>2734</v>
      </c>
      <c r="K1288" s="35" t="s">
        <v>1581</v>
      </c>
      <c r="L1288" s="35" t="s">
        <v>6800</v>
      </c>
      <c r="M1288" s="39" t="str">
        <f>HYPERLINK("http://dx.doi.org/10.1016/j.prevetmed.2017.06.006","10.1016/j.prevetmed.2017.06.006")</f>
        <v>10.1016/j.prevetmed.2017.06.006</v>
      </c>
      <c r="N1288" s="40" t="s">
        <v>696</v>
      </c>
      <c r="O1288" s="40" t="s">
        <v>383</v>
      </c>
      <c r="P1288" s="40" t="s">
        <v>2735</v>
      </c>
      <c r="Q1288" t="s">
        <v>316</v>
      </c>
    </row>
    <row r="1289" spans="1:17" x14ac:dyDescent="0.25">
      <c r="A1289" s="2" t="str">
        <f>HYPERLINK("https://www.ncbi.nlm.nih.gov/pubmed/28691193","28691193")</f>
        <v>28691193</v>
      </c>
      <c r="B1289">
        <f t="shared" si="84"/>
        <v>1</v>
      </c>
      <c r="C1289">
        <f t="shared" si="84"/>
        <v>2</v>
      </c>
      <c r="D1289">
        <f t="shared" si="84"/>
        <v>0</v>
      </c>
      <c r="E1289">
        <f t="shared" si="85"/>
        <v>3</v>
      </c>
      <c r="F1289">
        <v>2017</v>
      </c>
      <c r="G1289" t="s">
        <v>2740</v>
      </c>
      <c r="H1289">
        <v>0</v>
      </c>
      <c r="I1289" s="65">
        <v>0</v>
      </c>
      <c r="J1289" t="s">
        <v>2742</v>
      </c>
      <c r="K1289" s="35" t="s">
        <v>2743</v>
      </c>
      <c r="L1289" s="35" t="s">
        <v>2741</v>
      </c>
      <c r="M1289" s="39" t="str">
        <f>HYPERLINK("http://dx.doi.org/10.1111/vde.12465","10.1111/vde.12465")</f>
        <v>10.1111/vde.12465</v>
      </c>
      <c r="N1289" s="40" t="s">
        <v>731</v>
      </c>
      <c r="O1289" s="40" t="s">
        <v>741</v>
      </c>
      <c r="P1289" s="40" t="s">
        <v>2744</v>
      </c>
      <c r="Q1289" t="s">
        <v>316</v>
      </c>
    </row>
    <row r="1290" spans="1:17" x14ac:dyDescent="0.25">
      <c r="A1290" s="2" t="str">
        <f>HYPERLINK("https://www.ncbi.nlm.nih.gov/pubmed/28629112","28629112")</f>
        <v>28629112</v>
      </c>
      <c r="B1290">
        <f t="shared" si="84"/>
        <v>1</v>
      </c>
      <c r="C1290">
        <f t="shared" si="84"/>
        <v>0</v>
      </c>
      <c r="D1290">
        <f t="shared" si="84"/>
        <v>0</v>
      </c>
      <c r="E1290">
        <f t="shared" si="85"/>
        <v>1</v>
      </c>
      <c r="F1290">
        <v>2017</v>
      </c>
      <c r="G1290" t="s">
        <v>2762</v>
      </c>
      <c r="H1290">
        <v>0</v>
      </c>
      <c r="I1290" s="65">
        <v>0</v>
      </c>
      <c r="J1290" t="s">
        <v>2763</v>
      </c>
      <c r="K1290" s="35" t="s">
        <v>670</v>
      </c>
      <c r="L1290" s="35" t="s">
        <v>6804</v>
      </c>
      <c r="M1290" s="39" t="str">
        <f>HYPERLINK("http://dx.doi.org/10.1016/j.scitotenv.2017.06.032","10.1016/j.scitotenv.2017.06.032")</f>
        <v>10.1016/j.scitotenv.2017.06.032</v>
      </c>
      <c r="N1290" s="40" t="s">
        <v>2764</v>
      </c>
      <c r="O1290" s="40" t="s">
        <v>383</v>
      </c>
      <c r="P1290" s="40" t="s">
        <v>2765</v>
      </c>
      <c r="Q1290" t="s">
        <v>316</v>
      </c>
    </row>
    <row r="1291" spans="1:17" x14ac:dyDescent="0.25">
      <c r="A1291" s="2" t="str">
        <f>HYPERLINK("https://www.ncbi.nlm.nih.gov/pubmed/28628297","28628297")</f>
        <v>28628297</v>
      </c>
      <c r="B1291">
        <f t="shared" si="84"/>
        <v>1</v>
      </c>
      <c r="C1291">
        <f t="shared" si="84"/>
        <v>0</v>
      </c>
      <c r="D1291">
        <f t="shared" si="84"/>
        <v>0</v>
      </c>
      <c r="E1291">
        <f t="shared" si="85"/>
        <v>1</v>
      </c>
      <c r="F1291">
        <v>2017</v>
      </c>
      <c r="G1291" t="s">
        <v>2766</v>
      </c>
      <c r="H1291">
        <v>0</v>
      </c>
      <c r="I1291" s="65">
        <v>0</v>
      </c>
      <c r="J1291" t="s">
        <v>2768</v>
      </c>
      <c r="K1291" s="35" t="s">
        <v>1058</v>
      </c>
      <c r="L1291" s="35" t="s">
        <v>2767</v>
      </c>
      <c r="M1291" s="39" t="str">
        <f>HYPERLINK("http://dx.doi.org/10.1021/acs.est.7b01164","10.1021/acs.est.7b01164")</f>
        <v>10.1021/acs.est.7b01164</v>
      </c>
      <c r="N1291" s="40" t="s">
        <v>1780</v>
      </c>
      <c r="O1291" s="40" t="s">
        <v>780</v>
      </c>
      <c r="P1291" s="40" t="s">
        <v>2769</v>
      </c>
      <c r="Q1291" t="s">
        <v>316</v>
      </c>
    </row>
    <row r="1292" spans="1:17" x14ac:dyDescent="0.25">
      <c r="A1292" s="2" t="str">
        <f>HYPERLINK("https://www.ncbi.nlm.nih.gov/pubmed/28600808","28600808")</f>
        <v>28600808</v>
      </c>
      <c r="B1292">
        <f t="shared" si="84"/>
        <v>1</v>
      </c>
      <c r="C1292">
        <f t="shared" si="84"/>
        <v>0</v>
      </c>
      <c r="D1292">
        <f t="shared" si="84"/>
        <v>0</v>
      </c>
      <c r="E1292">
        <f t="shared" si="85"/>
        <v>1</v>
      </c>
      <c r="F1292">
        <v>2017</v>
      </c>
      <c r="G1292" t="s">
        <v>2774</v>
      </c>
      <c r="H1292">
        <v>0</v>
      </c>
      <c r="I1292" s="65">
        <v>0</v>
      </c>
      <c r="J1292" t="s">
        <v>2775</v>
      </c>
      <c r="K1292" s="35" t="s">
        <v>968</v>
      </c>
      <c r="L1292" s="35" t="s">
        <v>6806</v>
      </c>
      <c r="M1292" s="39" t="str">
        <f>HYPERLINK("http://dx.doi.org/10.1002/ps.4639","10.1002/ps.4639")</f>
        <v>10.1002/ps.4639</v>
      </c>
      <c r="N1292" s="40" t="s">
        <v>2599</v>
      </c>
      <c r="O1292" s="40" t="s">
        <v>915</v>
      </c>
      <c r="P1292" s="40" t="s">
        <v>2776</v>
      </c>
      <c r="Q1292" t="s">
        <v>316</v>
      </c>
    </row>
    <row r="1293" spans="1:17" x14ac:dyDescent="0.25">
      <c r="A1293" s="2" t="str">
        <f>HYPERLINK("https://www.ncbi.nlm.nih.gov/pubmed/28528311","28528311")</f>
        <v>28528311</v>
      </c>
      <c r="B1293">
        <f t="shared" si="84"/>
        <v>1</v>
      </c>
      <c r="C1293">
        <f t="shared" si="84"/>
        <v>0</v>
      </c>
      <c r="D1293">
        <f t="shared" si="84"/>
        <v>0</v>
      </c>
      <c r="E1293">
        <f t="shared" si="85"/>
        <v>1</v>
      </c>
      <c r="F1293">
        <v>2017</v>
      </c>
      <c r="G1293" t="s">
        <v>2789</v>
      </c>
      <c r="H1293">
        <v>0</v>
      </c>
      <c r="I1293" s="65">
        <v>0</v>
      </c>
      <c r="J1293" t="s">
        <v>2790</v>
      </c>
      <c r="K1293" s="35" t="s">
        <v>822</v>
      </c>
      <c r="L1293" s="35" t="s">
        <v>6811</v>
      </c>
      <c r="M1293" s="39" t="str">
        <f>HYPERLINK("http://dx.doi.org/10.1016/j.chemosphere.2017.05.071","10.1016/j.chemosphere.2017.05.071")</f>
        <v>10.1016/j.chemosphere.2017.05.071</v>
      </c>
      <c r="N1293" s="40" t="s">
        <v>2791</v>
      </c>
      <c r="O1293" s="40" t="s">
        <v>383</v>
      </c>
      <c r="P1293" s="40" t="s">
        <v>2792</v>
      </c>
      <c r="Q1293" t="s">
        <v>316</v>
      </c>
    </row>
    <row r="1294" spans="1:17" x14ac:dyDescent="0.25">
      <c r="A1294" s="2" t="str">
        <f>HYPERLINK("https://www.ncbi.nlm.nih.gov/pubmed/28455237","28455237")</f>
        <v>28455237</v>
      </c>
      <c r="B1294">
        <f t="shared" si="84"/>
        <v>1</v>
      </c>
      <c r="C1294">
        <f t="shared" si="84"/>
        <v>0</v>
      </c>
      <c r="D1294">
        <f t="shared" si="84"/>
        <v>0</v>
      </c>
      <c r="E1294">
        <f t="shared" si="85"/>
        <v>1</v>
      </c>
      <c r="F1294">
        <v>2017</v>
      </c>
      <c r="G1294" t="s">
        <v>2812</v>
      </c>
      <c r="H1294">
        <v>0</v>
      </c>
      <c r="I1294" s="65">
        <v>0</v>
      </c>
      <c r="J1294" t="s">
        <v>2813</v>
      </c>
      <c r="K1294" s="35" t="s">
        <v>2084</v>
      </c>
      <c r="L1294" s="35" t="s">
        <v>6814</v>
      </c>
      <c r="M1294" s="39" t="str">
        <f>HYPERLINK("http://dx.doi.org/10.1016/j.ijpara.2017.02.003","10.1016/j.ijpara.2017.02.003")</f>
        <v>10.1016/j.ijpara.2017.02.003</v>
      </c>
      <c r="N1294" s="40" t="s">
        <v>2814</v>
      </c>
      <c r="O1294" s="40" t="s">
        <v>660</v>
      </c>
      <c r="P1294" s="40" t="s">
        <v>2815</v>
      </c>
      <c r="Q1294" t="s">
        <v>316</v>
      </c>
    </row>
    <row r="1295" spans="1:17" x14ac:dyDescent="0.25">
      <c r="A1295" s="2" t="str">
        <f>HYPERLINK("https://www.ncbi.nlm.nih.gov/pubmed/28428226","28428226")</f>
        <v>28428226</v>
      </c>
      <c r="B1295">
        <f t="shared" si="84"/>
        <v>1</v>
      </c>
      <c r="C1295">
        <f t="shared" si="84"/>
        <v>0</v>
      </c>
      <c r="D1295">
        <f t="shared" si="84"/>
        <v>0</v>
      </c>
      <c r="E1295">
        <f t="shared" si="85"/>
        <v>1</v>
      </c>
      <c r="F1295">
        <v>2017</v>
      </c>
      <c r="G1295" t="s">
        <v>2822</v>
      </c>
      <c r="H1295">
        <v>0</v>
      </c>
      <c r="I1295" s="64" t="str">
        <f>HYPERLINK("https://www.ncbi.nlm.nih.gov/research/pubtator/?view=docsum&amp;query=PMC5452057","1")</f>
        <v>1</v>
      </c>
      <c r="J1295" t="s">
        <v>2823</v>
      </c>
      <c r="K1295" s="35" t="s">
        <v>2824</v>
      </c>
      <c r="L1295" s="35" t="s">
        <v>6816</v>
      </c>
      <c r="M1295" s="39" t="str">
        <f>HYPERLINK("http://dx.doi.org/10.1124/mol.117.108563","10.1124/mol.117.108563")</f>
        <v>10.1124/mol.117.108563</v>
      </c>
      <c r="N1295" s="40" t="s">
        <v>2825</v>
      </c>
      <c r="O1295" s="40" t="s">
        <v>638</v>
      </c>
      <c r="P1295" s="40" t="s">
        <v>2699</v>
      </c>
      <c r="Q1295" t="s">
        <v>316</v>
      </c>
    </row>
    <row r="1296" spans="1:17" x14ac:dyDescent="0.25">
      <c r="A1296" s="2" t="str">
        <f>HYPERLINK("https://www.ncbi.nlm.nih.gov/pubmed/28407931","28407931")</f>
        <v>28407931</v>
      </c>
      <c r="B1296">
        <f t="shared" si="84"/>
        <v>1</v>
      </c>
      <c r="C1296">
        <f t="shared" si="84"/>
        <v>0</v>
      </c>
      <c r="D1296">
        <f t="shared" si="84"/>
        <v>0</v>
      </c>
      <c r="E1296">
        <f t="shared" si="85"/>
        <v>1</v>
      </c>
      <c r="F1296">
        <v>2017</v>
      </c>
      <c r="G1296" t="s">
        <v>2826</v>
      </c>
      <c r="H1296">
        <v>0</v>
      </c>
      <c r="I1296" s="65">
        <v>0</v>
      </c>
      <c r="J1296" t="s">
        <v>2828</v>
      </c>
      <c r="K1296" s="35" t="s">
        <v>786</v>
      </c>
      <c r="L1296" s="35" t="s">
        <v>2827</v>
      </c>
      <c r="M1296" s="39" t="str">
        <f>HYPERLINK("http://dx.doi.org/10.1016/j.foodchem.2017.03.082","10.1016/j.foodchem.2017.03.082")</f>
        <v>10.1016/j.foodchem.2017.03.082</v>
      </c>
      <c r="N1296" s="40" t="s">
        <v>2829</v>
      </c>
      <c r="O1296" s="40" t="s">
        <v>383</v>
      </c>
      <c r="P1296" s="40" t="s">
        <v>2830</v>
      </c>
      <c r="Q1296" t="s">
        <v>316</v>
      </c>
    </row>
    <row r="1297" spans="1:17" x14ac:dyDescent="0.25">
      <c r="A1297" s="2" t="str">
        <f>HYPERLINK("https://www.ncbi.nlm.nih.gov/pubmed/28334348","28334348")</f>
        <v>28334348</v>
      </c>
      <c r="B1297">
        <f t="shared" si="84"/>
        <v>1</v>
      </c>
      <c r="C1297">
        <f t="shared" si="84"/>
        <v>0</v>
      </c>
      <c r="D1297">
        <f t="shared" si="84"/>
        <v>0</v>
      </c>
      <c r="E1297">
        <f t="shared" si="85"/>
        <v>1</v>
      </c>
      <c r="F1297">
        <v>2017</v>
      </c>
      <c r="G1297" t="s">
        <v>2840</v>
      </c>
      <c r="H1297">
        <v>0</v>
      </c>
      <c r="I1297" s="64" t="str">
        <f>HYPERLINK("https://www.ncbi.nlm.nih.gov/research/pubtator/?view=docsum&amp;query=PMC6281325","1")</f>
        <v>1</v>
      </c>
      <c r="J1297" t="s">
        <v>2841</v>
      </c>
      <c r="K1297" s="35" t="s">
        <v>909</v>
      </c>
      <c r="L1297" s="35" t="s">
        <v>6818</v>
      </c>
      <c r="M1297" s="39" t="str">
        <f>HYPERLINK("http://dx.doi.org/10.1093/jee/tox082","10.1093/jee/tox082")</f>
        <v>10.1093/jee/tox082</v>
      </c>
      <c r="N1297" s="40" t="s">
        <v>766</v>
      </c>
      <c r="O1297" s="40" t="s">
        <v>750</v>
      </c>
      <c r="P1297" s="40" t="s">
        <v>2842</v>
      </c>
      <c r="Q1297" t="s">
        <v>316</v>
      </c>
    </row>
    <row r="1298" spans="1:17" x14ac:dyDescent="0.25">
      <c r="A1298" s="2" t="str">
        <f>HYPERLINK("https://www.ncbi.nlm.nih.gov/pubmed/28262987","28262987")</f>
        <v>28262987</v>
      </c>
      <c r="B1298">
        <f t="shared" si="84"/>
        <v>1</v>
      </c>
      <c r="C1298">
        <f t="shared" si="84"/>
        <v>0</v>
      </c>
      <c r="D1298">
        <f t="shared" si="84"/>
        <v>0</v>
      </c>
      <c r="E1298">
        <f t="shared" si="85"/>
        <v>1</v>
      </c>
      <c r="F1298">
        <v>2017</v>
      </c>
      <c r="G1298" t="s">
        <v>2865</v>
      </c>
      <c r="H1298">
        <v>0</v>
      </c>
      <c r="I1298" s="65">
        <v>0</v>
      </c>
      <c r="J1298" t="s">
        <v>2866</v>
      </c>
      <c r="K1298" s="35" t="s">
        <v>755</v>
      </c>
      <c r="L1298" s="35" t="s">
        <v>6823</v>
      </c>
      <c r="M1298" s="39" t="str">
        <f>HYPERLINK("http://dx.doi.org/10.1002/etc.3784","10.1002/etc.3784")</f>
        <v>10.1002/etc.3784</v>
      </c>
      <c r="N1298" s="40" t="s">
        <v>639</v>
      </c>
      <c r="O1298" s="40" t="s">
        <v>660</v>
      </c>
      <c r="P1298" s="40" t="s">
        <v>2867</v>
      </c>
      <c r="Q1298" t="s">
        <v>316</v>
      </c>
    </row>
    <row r="1299" spans="1:17" x14ac:dyDescent="0.25">
      <c r="A1299" s="2" t="str">
        <f>HYPERLINK("https://www.ncbi.nlm.nih.gov/pubmed/30677342","30677342")</f>
        <v>30677342</v>
      </c>
      <c r="B1299">
        <f t="shared" si="84"/>
        <v>1</v>
      </c>
      <c r="C1299">
        <f t="shared" si="84"/>
        <v>0</v>
      </c>
      <c r="D1299">
        <f t="shared" si="84"/>
        <v>0</v>
      </c>
      <c r="E1299">
        <f t="shared" si="85"/>
        <v>1</v>
      </c>
      <c r="F1299">
        <v>2017</v>
      </c>
      <c r="G1299" t="s">
        <v>2868</v>
      </c>
      <c r="H1299">
        <v>0</v>
      </c>
      <c r="I1299" s="65">
        <v>0</v>
      </c>
      <c r="J1299" t="s">
        <v>2870</v>
      </c>
      <c r="K1299" s="35" t="s">
        <v>2871</v>
      </c>
      <c r="L1299" s="35" t="s">
        <v>2869</v>
      </c>
      <c r="M1299" s="39" t="str">
        <f>HYPERLINK("http://dx.doi.org/10.1094/PDIS-06-16-0862-RE","10.1094/PDIS-06-16-0862-RE")</f>
        <v>10.1094/PDIS-06-16-0862-RE</v>
      </c>
      <c r="N1299" s="40" t="s">
        <v>2872</v>
      </c>
      <c r="O1299" s="40" t="s">
        <v>750</v>
      </c>
      <c r="P1299" s="40" t="s">
        <v>2873</v>
      </c>
      <c r="Q1299" t="s">
        <v>316</v>
      </c>
    </row>
    <row r="1300" spans="1:17" x14ac:dyDescent="0.25">
      <c r="A1300" s="2" t="str">
        <f>HYPERLINK("https://www.ncbi.nlm.nih.gov/pubmed/28011991","28011991")</f>
        <v>28011991</v>
      </c>
      <c r="B1300">
        <f t="shared" si="84"/>
        <v>1</v>
      </c>
      <c r="C1300">
        <f t="shared" si="84"/>
        <v>0</v>
      </c>
      <c r="D1300">
        <f t="shared" si="84"/>
        <v>0</v>
      </c>
      <c r="E1300">
        <f t="shared" si="85"/>
        <v>1</v>
      </c>
      <c r="F1300">
        <v>2017</v>
      </c>
      <c r="G1300" t="s">
        <v>2906</v>
      </c>
      <c r="H1300">
        <v>0</v>
      </c>
      <c r="I1300" s="64" t="str">
        <f>HYPERLINK("https://www.ncbi.nlm.nih.gov/research/pubtator/?view=docsum&amp;query=PMC5515982","1")</f>
        <v>1</v>
      </c>
      <c r="J1300" t="s">
        <v>2907</v>
      </c>
      <c r="K1300" s="35" t="s">
        <v>1899</v>
      </c>
      <c r="L1300" s="35" t="s">
        <v>6833</v>
      </c>
      <c r="M1300" s="39" t="str">
        <f>HYPERLINK("http://dx.doi.org/10.1007/s00204-016-1910-9","10.1007/s00204-016-1910-9")</f>
        <v>10.1007/s00204-016-1910-9</v>
      </c>
      <c r="N1300" s="40" t="s">
        <v>2216</v>
      </c>
      <c r="O1300" s="40" t="s">
        <v>781</v>
      </c>
      <c r="P1300" s="40" t="s">
        <v>2908</v>
      </c>
      <c r="Q1300" t="s">
        <v>316</v>
      </c>
    </row>
    <row r="1301" spans="1:17" x14ac:dyDescent="0.25">
      <c r="A1301" s="2" t="str">
        <f>HYPERLINK("https://www.ncbi.nlm.nih.gov/pubmed/27870235","27870235")</f>
        <v>27870235</v>
      </c>
      <c r="B1301">
        <f t="shared" si="84"/>
        <v>1</v>
      </c>
      <c r="C1301">
        <f t="shared" si="84"/>
        <v>1</v>
      </c>
      <c r="D1301">
        <f t="shared" si="84"/>
        <v>0</v>
      </c>
      <c r="E1301">
        <f t="shared" si="85"/>
        <v>2</v>
      </c>
      <c r="F1301">
        <v>2016</v>
      </c>
      <c r="G1301" t="s">
        <v>2940</v>
      </c>
      <c r="H1301">
        <v>0</v>
      </c>
      <c r="I1301" s="65">
        <v>0</v>
      </c>
      <c r="J1301" t="s">
        <v>2941</v>
      </c>
      <c r="K1301" s="35" t="s">
        <v>2743</v>
      </c>
      <c r="L1301" s="35" t="s">
        <v>6840</v>
      </c>
      <c r="M1301" s="39" t="str">
        <f>HYPERLINK("http://dx.doi.org/10.1111/vde.12390","10.1111/vde.12390")</f>
        <v>10.1111/vde.12390</v>
      </c>
      <c r="N1301" s="40" t="s">
        <v>1116</v>
      </c>
      <c r="O1301" s="40" t="s">
        <v>741</v>
      </c>
      <c r="P1301" s="40" t="s">
        <v>2942</v>
      </c>
      <c r="Q1301" t="s">
        <v>316</v>
      </c>
    </row>
    <row r="1302" spans="1:17" x14ac:dyDescent="0.25">
      <c r="A1302" s="2" t="str">
        <f>HYPERLINK("https://www.ncbi.nlm.nih.gov/pubmed/27607882","27607882")</f>
        <v>27607882</v>
      </c>
      <c r="B1302">
        <f t="shared" si="84"/>
        <v>1</v>
      </c>
      <c r="C1302">
        <f t="shared" si="84"/>
        <v>0</v>
      </c>
      <c r="D1302">
        <f t="shared" si="84"/>
        <v>0</v>
      </c>
      <c r="E1302">
        <f t="shared" si="85"/>
        <v>1</v>
      </c>
      <c r="F1302">
        <v>2017</v>
      </c>
      <c r="G1302" t="s">
        <v>2950</v>
      </c>
      <c r="H1302">
        <v>0</v>
      </c>
      <c r="I1302" s="65">
        <v>0</v>
      </c>
      <c r="J1302" t="s">
        <v>2952</v>
      </c>
      <c r="K1302" s="35" t="s">
        <v>968</v>
      </c>
      <c r="L1302" s="35" t="s">
        <v>2951</v>
      </c>
      <c r="M1302" s="39" t="str">
        <f>HYPERLINK("http://dx.doi.org/10.1002/ps.4431","10.1002/ps.4431")</f>
        <v>10.1002/ps.4431</v>
      </c>
      <c r="N1302" s="40" t="s">
        <v>2599</v>
      </c>
      <c r="O1302" s="40" t="s">
        <v>690</v>
      </c>
      <c r="P1302" s="40" t="s">
        <v>2953</v>
      </c>
      <c r="Q1302" t="s">
        <v>316</v>
      </c>
    </row>
    <row r="1303" spans="1:17" x14ac:dyDescent="0.25">
      <c r="A1303" s="2" t="str">
        <f>HYPERLINK("https://www.ncbi.nlm.nih.gov/pubmed/27779931","27779931")</f>
        <v>27779931</v>
      </c>
      <c r="B1303">
        <f t="shared" si="84"/>
        <v>1</v>
      </c>
      <c r="C1303">
        <f t="shared" si="84"/>
        <v>1</v>
      </c>
      <c r="D1303">
        <f t="shared" si="84"/>
        <v>0</v>
      </c>
      <c r="E1303">
        <f t="shared" si="85"/>
        <v>2</v>
      </c>
      <c r="F1303">
        <v>2016</v>
      </c>
      <c r="G1303" t="s">
        <v>2954</v>
      </c>
      <c r="H1303">
        <v>0</v>
      </c>
      <c r="I1303" s="65">
        <v>0</v>
      </c>
      <c r="J1303" t="s">
        <v>2955</v>
      </c>
      <c r="K1303" s="35" t="s">
        <v>2956</v>
      </c>
      <c r="L1303" s="35" t="s">
        <v>6843</v>
      </c>
      <c r="M1303" s="39" t="str">
        <f>HYPERLINK("http://dx.doi.org/10.2533/chimia.2016.721","10.2533/chimia.2016.721")</f>
        <v>10.2533/chimia.2016.721</v>
      </c>
      <c r="N1303" s="40" t="s">
        <v>2957</v>
      </c>
      <c r="O1303" s="40" t="s">
        <v>802</v>
      </c>
      <c r="P1303" s="40" t="s">
        <v>2958</v>
      </c>
      <c r="Q1303" t="s">
        <v>316</v>
      </c>
    </row>
    <row r="1304" spans="1:17" x14ac:dyDescent="0.25">
      <c r="A1304" s="2" t="str">
        <f>HYPERLINK("https://www.ncbi.nlm.nih.gov/pubmed/27028289","27028289")</f>
        <v>27028289</v>
      </c>
      <c r="B1304">
        <f t="shared" ref="B1304:D1323" si="86">IF(ISBLANK(B$3),0,(LEN($L1304) - LEN(SUBSTITUTE(LOWER($L1304),LOWER(B$3),"")))/LEN(B$3))</f>
        <v>1</v>
      </c>
      <c r="C1304">
        <f t="shared" si="86"/>
        <v>0</v>
      </c>
      <c r="D1304">
        <f t="shared" si="86"/>
        <v>0</v>
      </c>
      <c r="E1304">
        <f t="shared" si="85"/>
        <v>1</v>
      </c>
      <c r="F1304">
        <v>2016</v>
      </c>
      <c r="G1304" t="s">
        <v>2959</v>
      </c>
      <c r="H1304">
        <v>0</v>
      </c>
      <c r="I1304" s="65">
        <v>0</v>
      </c>
      <c r="J1304" t="s">
        <v>2960</v>
      </c>
      <c r="K1304" s="35" t="s">
        <v>755</v>
      </c>
      <c r="L1304" s="35" t="s">
        <v>6844</v>
      </c>
      <c r="M1304" s="39" t="str">
        <f>HYPERLINK("http://dx.doi.org/10.1002/etc.3439","10.1002/etc.3439")</f>
        <v>10.1002/etc.3439</v>
      </c>
      <c r="N1304" s="40" t="s">
        <v>2274</v>
      </c>
      <c r="O1304" s="40" t="s">
        <v>678</v>
      </c>
      <c r="P1304" s="40" t="s">
        <v>2961</v>
      </c>
      <c r="Q1304" t="s">
        <v>316</v>
      </c>
    </row>
    <row r="1305" spans="1:17" x14ac:dyDescent="0.25">
      <c r="A1305" s="2" t="str">
        <f>HYPERLINK("https://www.ncbi.nlm.nih.gov/pubmed/27754329","27754329")</f>
        <v>27754329</v>
      </c>
      <c r="B1305">
        <f t="shared" si="86"/>
        <v>1</v>
      </c>
      <c r="C1305">
        <f t="shared" si="86"/>
        <v>0</v>
      </c>
      <c r="D1305">
        <f t="shared" si="86"/>
        <v>0</v>
      </c>
      <c r="E1305">
        <f t="shared" si="85"/>
        <v>1</v>
      </c>
      <c r="F1305">
        <v>2016</v>
      </c>
      <c r="G1305" t="s">
        <v>2972</v>
      </c>
      <c r="H1305">
        <v>0</v>
      </c>
      <c r="I1305" s="64" t="str">
        <f>HYPERLINK("https://www.ncbi.nlm.nih.gov/research/pubtator/?view=docsum&amp;query=PMC5198201","1")</f>
        <v>1</v>
      </c>
      <c r="J1305" t="s">
        <v>2974</v>
      </c>
      <c r="K1305" s="35" t="s">
        <v>925</v>
      </c>
      <c r="L1305" s="35" t="s">
        <v>2973</v>
      </c>
      <c r="M1305" s="39" t="str">
        <f>HYPERLINK("http://dx.doi.org/10.3390/insects7040053","10.3390/insects7040053")</f>
        <v>10.3390/insects7040053</v>
      </c>
      <c r="N1305" s="40" t="s">
        <v>748</v>
      </c>
      <c r="O1305" s="40" t="s">
        <v>690</v>
      </c>
      <c r="P1305" s="40" t="s">
        <v>383</v>
      </c>
      <c r="Q1305" t="s">
        <v>316</v>
      </c>
    </row>
    <row r="1306" spans="1:17" x14ac:dyDescent="0.25">
      <c r="A1306" s="2" t="str">
        <f>HYPERLINK("https://www.ncbi.nlm.nih.gov/pubmed/27628441","27628441")</f>
        <v>27628441</v>
      </c>
      <c r="B1306">
        <f t="shared" si="86"/>
        <v>1</v>
      </c>
      <c r="C1306">
        <f t="shared" si="86"/>
        <v>0</v>
      </c>
      <c r="D1306">
        <f t="shared" si="86"/>
        <v>0</v>
      </c>
      <c r="E1306">
        <f t="shared" si="85"/>
        <v>1</v>
      </c>
      <c r="F1306">
        <v>2016</v>
      </c>
      <c r="G1306" t="s">
        <v>3012</v>
      </c>
      <c r="H1306">
        <v>0</v>
      </c>
      <c r="I1306" s="64" t="str">
        <f>HYPERLINK("https://www.ncbi.nlm.nih.gov/research/pubtator/?view=docsum&amp;query=PMC5024296","1")</f>
        <v>1</v>
      </c>
      <c r="J1306" t="s">
        <v>3014</v>
      </c>
      <c r="K1306" s="35" t="s">
        <v>747</v>
      </c>
      <c r="L1306" s="35" t="s">
        <v>3013</v>
      </c>
      <c r="M1306" s="39" t="str">
        <f>HYPERLINK("http://dx.doi.org/10.1038/srep33456","10.1038/srep33456")</f>
        <v>10.1038/srep33456</v>
      </c>
      <c r="N1306" s="40" t="s">
        <v>741</v>
      </c>
      <c r="O1306" s="40" t="s">
        <v>383</v>
      </c>
      <c r="P1306" s="40" t="s">
        <v>3015</v>
      </c>
      <c r="Q1306" t="s">
        <v>316</v>
      </c>
    </row>
    <row r="1307" spans="1:17" x14ac:dyDescent="0.25">
      <c r="A1307" s="2" t="str">
        <f>HYPERLINK("https://www.ncbi.nlm.nih.gov/pubmed/27530515","27530515")</f>
        <v>27530515</v>
      </c>
      <c r="B1307">
        <f t="shared" si="86"/>
        <v>1</v>
      </c>
      <c r="C1307">
        <f t="shared" si="86"/>
        <v>0</v>
      </c>
      <c r="D1307">
        <f t="shared" si="86"/>
        <v>0</v>
      </c>
      <c r="E1307">
        <f t="shared" si="85"/>
        <v>1</v>
      </c>
      <c r="F1307">
        <v>2016</v>
      </c>
      <c r="G1307" t="s">
        <v>3038</v>
      </c>
      <c r="H1307">
        <v>0</v>
      </c>
      <c r="I1307" s="65">
        <v>0</v>
      </c>
      <c r="J1307" t="s">
        <v>3039</v>
      </c>
      <c r="K1307" s="35" t="s">
        <v>1210</v>
      </c>
      <c r="L1307" s="35" t="s">
        <v>6854</v>
      </c>
      <c r="M1307" s="39" t="str">
        <f>HYPERLINK("http://dx.doi.org/10.1007/s00436-016-5218-8","10.1007/s00436-016-5218-8")</f>
        <v>10.1007/s00436-016-5218-8</v>
      </c>
      <c r="N1307" s="40" t="s">
        <v>2118</v>
      </c>
      <c r="O1307" s="40" t="s">
        <v>678</v>
      </c>
      <c r="P1307" s="40" t="s">
        <v>3040</v>
      </c>
      <c r="Q1307" t="s">
        <v>316</v>
      </c>
    </row>
    <row r="1308" spans="1:17" x14ac:dyDescent="0.25">
      <c r="A1308" s="2" t="str">
        <f>HYPERLINK("https://www.ncbi.nlm.nih.gov/pubmed/27524790","27524790")</f>
        <v>27524790</v>
      </c>
      <c r="B1308">
        <f t="shared" si="86"/>
        <v>1</v>
      </c>
      <c r="C1308">
        <f t="shared" si="86"/>
        <v>0</v>
      </c>
      <c r="D1308">
        <f t="shared" si="86"/>
        <v>0</v>
      </c>
      <c r="E1308">
        <f t="shared" si="85"/>
        <v>1</v>
      </c>
      <c r="F1308">
        <v>2016</v>
      </c>
      <c r="G1308" t="s">
        <v>3041</v>
      </c>
      <c r="H1308">
        <v>0</v>
      </c>
      <c r="I1308" s="65">
        <v>0</v>
      </c>
      <c r="J1308" t="s">
        <v>3043</v>
      </c>
      <c r="K1308" s="35" t="s">
        <v>3044</v>
      </c>
      <c r="L1308" s="35" t="s">
        <v>3042</v>
      </c>
      <c r="M1308" s="39" t="str">
        <f>HYPERLINK("http://dx.doi.org/10.1111/1753-6405.12551","10.1111/1753-6405.12551")</f>
        <v>10.1111/1753-6405.12551</v>
      </c>
      <c r="N1308" s="40" t="s">
        <v>1494</v>
      </c>
      <c r="O1308" s="40" t="s">
        <v>746</v>
      </c>
      <c r="P1308" s="40" t="s">
        <v>3045</v>
      </c>
      <c r="Q1308" t="s">
        <v>316</v>
      </c>
    </row>
    <row r="1309" spans="1:17" x14ac:dyDescent="0.25">
      <c r="A1309" s="2" t="str">
        <f>HYPERLINK("https://www.ncbi.nlm.nih.gov/pubmed/27445687","27445687")</f>
        <v>27445687</v>
      </c>
      <c r="B1309">
        <f t="shared" si="86"/>
        <v>1</v>
      </c>
      <c r="C1309">
        <f t="shared" si="86"/>
        <v>0</v>
      </c>
      <c r="D1309">
        <f t="shared" si="86"/>
        <v>0</v>
      </c>
      <c r="E1309">
        <f t="shared" si="85"/>
        <v>1</v>
      </c>
      <c r="F1309">
        <v>2016</v>
      </c>
      <c r="G1309" t="s">
        <v>3057</v>
      </c>
      <c r="H1309">
        <v>0</v>
      </c>
      <c r="I1309" s="64" t="str">
        <f>HYPERLINK("https://www.ncbi.nlm.nih.gov/research/pubtator/?view=docsum&amp;query=PMC4923258","1")</f>
        <v>1</v>
      </c>
      <c r="J1309" t="s">
        <v>3059</v>
      </c>
      <c r="K1309" s="35" t="s">
        <v>3060</v>
      </c>
      <c r="L1309" s="35" t="s">
        <v>3058</v>
      </c>
      <c r="M1309" s="39" t="str">
        <f>HYPERLINK("http://dx.doi.org/10.3389/fnmol.2016.00051","10.3389/fnmol.2016.00051")</f>
        <v>10.3389/fnmol.2016.00051</v>
      </c>
      <c r="N1309" s="40" t="s">
        <v>660</v>
      </c>
      <c r="O1309" s="40" t="s">
        <v>383</v>
      </c>
      <c r="P1309" s="40" t="s">
        <v>1780</v>
      </c>
      <c r="Q1309" t="s">
        <v>316</v>
      </c>
    </row>
    <row r="1310" spans="1:17" x14ac:dyDescent="0.25">
      <c r="A1310" s="2" t="str">
        <f>HYPERLINK("https://www.ncbi.nlm.nih.gov/pubmed/27160667","27160667")</f>
        <v>27160667</v>
      </c>
      <c r="B1310">
        <f t="shared" si="86"/>
        <v>1</v>
      </c>
      <c r="C1310">
        <f t="shared" si="86"/>
        <v>0</v>
      </c>
      <c r="D1310">
        <f t="shared" si="86"/>
        <v>0</v>
      </c>
      <c r="E1310">
        <f t="shared" si="85"/>
        <v>1</v>
      </c>
      <c r="F1310">
        <v>2016</v>
      </c>
      <c r="G1310" t="s">
        <v>3120</v>
      </c>
      <c r="H1310">
        <v>0</v>
      </c>
      <c r="I1310" s="64" t="str">
        <f>HYPERLINK("https://www.ncbi.nlm.nih.gov/research/pubtator/?view=docsum&amp;query=PMC4862121","1")</f>
        <v>1</v>
      </c>
      <c r="J1310" t="s">
        <v>3121</v>
      </c>
      <c r="K1310" s="35" t="s">
        <v>870</v>
      </c>
      <c r="L1310" s="35" t="s">
        <v>6866</v>
      </c>
      <c r="M1310" s="39" t="str">
        <f>HYPERLINK("http://dx.doi.org/10.1186/s13071-016-1533-2","10.1186/s13071-016-1533-2")</f>
        <v>10.1186/s13071-016-1533-2</v>
      </c>
      <c r="N1310" s="40" t="s">
        <v>660</v>
      </c>
      <c r="O1310" s="40" t="s">
        <v>638</v>
      </c>
      <c r="P1310" s="40" t="s">
        <v>3122</v>
      </c>
      <c r="Q1310" t="s">
        <v>316</v>
      </c>
    </row>
    <row r="1311" spans="1:17" x14ac:dyDescent="0.25">
      <c r="A1311" s="2" t="str">
        <f>HYPERLINK("https://www.ncbi.nlm.nih.gov/pubmed/27135591","27135591")</f>
        <v>27135591</v>
      </c>
      <c r="B1311">
        <f t="shared" si="86"/>
        <v>1</v>
      </c>
      <c r="C1311">
        <f t="shared" si="86"/>
        <v>0</v>
      </c>
      <c r="D1311">
        <f t="shared" si="86"/>
        <v>0</v>
      </c>
      <c r="E1311">
        <f t="shared" si="85"/>
        <v>1</v>
      </c>
      <c r="F1311">
        <v>2016</v>
      </c>
      <c r="G1311" t="s">
        <v>3128</v>
      </c>
      <c r="H1311">
        <v>0</v>
      </c>
      <c r="I1311" s="65">
        <v>0</v>
      </c>
      <c r="J1311" t="s">
        <v>3129</v>
      </c>
      <c r="K1311" s="35" t="s">
        <v>670</v>
      </c>
      <c r="L1311" s="35" t="s">
        <v>6869</v>
      </c>
      <c r="M1311" s="39" t="str">
        <f>HYPERLINK("http://dx.doi.org/10.1016/j.scitotenv.2016.04.127","10.1016/j.scitotenv.2016.04.127")</f>
        <v>10.1016/j.scitotenv.2016.04.127</v>
      </c>
      <c r="N1311" s="40" t="s">
        <v>3130</v>
      </c>
      <c r="O1311" s="40" t="s">
        <v>383</v>
      </c>
      <c r="P1311" s="40" t="s">
        <v>3131</v>
      </c>
      <c r="Q1311" t="s">
        <v>316</v>
      </c>
    </row>
    <row r="1312" spans="1:17" x14ac:dyDescent="0.25">
      <c r="A1312" s="2" t="str">
        <f>HYPERLINK("https://www.ncbi.nlm.nih.gov/pubmed/27122494","27122494")</f>
        <v>27122494</v>
      </c>
      <c r="B1312">
        <f t="shared" si="86"/>
        <v>1</v>
      </c>
      <c r="C1312">
        <f t="shared" si="86"/>
        <v>0</v>
      </c>
      <c r="D1312">
        <f t="shared" si="86"/>
        <v>0</v>
      </c>
      <c r="E1312">
        <f t="shared" si="85"/>
        <v>1</v>
      </c>
      <c r="F1312">
        <v>2016</v>
      </c>
      <c r="G1312" t="s">
        <v>3141</v>
      </c>
      <c r="H1312">
        <v>0</v>
      </c>
      <c r="I1312" s="64" t="str">
        <f>HYPERLINK("https://www.ncbi.nlm.nih.gov/research/pubtator/?view=docsum&amp;query=PMC4981077","1")</f>
        <v>1</v>
      </c>
      <c r="J1312" t="s">
        <v>3142</v>
      </c>
      <c r="K1312" s="35" t="s">
        <v>909</v>
      </c>
      <c r="L1312" s="35" t="s">
        <v>6870</v>
      </c>
      <c r="M1312" s="39" t="str">
        <f>HYPERLINK("http://dx.doi.org/10.1093/jee/tow092","10.1093/jee/tow092")</f>
        <v>10.1093/jee/tow092</v>
      </c>
      <c r="N1312" s="40" t="s">
        <v>3143</v>
      </c>
      <c r="O1312" s="40" t="s">
        <v>690</v>
      </c>
      <c r="P1312" s="40" t="s">
        <v>3144</v>
      </c>
      <c r="Q1312" t="s">
        <v>316</v>
      </c>
    </row>
    <row r="1313" spans="1:17" x14ac:dyDescent="0.25">
      <c r="A1313" s="2" t="str">
        <f>HYPERLINK("https://www.ncbi.nlm.nih.gov/pubmed/26935820","26935820")</f>
        <v>26935820</v>
      </c>
      <c r="B1313">
        <f t="shared" si="86"/>
        <v>1</v>
      </c>
      <c r="C1313">
        <f t="shared" si="86"/>
        <v>2</v>
      </c>
      <c r="D1313">
        <f t="shared" si="86"/>
        <v>0</v>
      </c>
      <c r="E1313">
        <f t="shared" si="85"/>
        <v>3</v>
      </c>
      <c r="F1313">
        <v>2016</v>
      </c>
      <c r="G1313" t="s">
        <v>3223</v>
      </c>
      <c r="H1313">
        <v>0</v>
      </c>
      <c r="I1313" s="65">
        <v>0</v>
      </c>
      <c r="J1313" t="s">
        <v>3224</v>
      </c>
      <c r="K1313" s="35" t="s">
        <v>1052</v>
      </c>
      <c r="L1313" s="35" t="s">
        <v>6886</v>
      </c>
      <c r="M1313" s="39" t="str">
        <f>HYPERLINK("http://dx.doi.org/10.1016/j.vetpar.2016.02.015","10.1016/j.vetpar.2016.02.015")</f>
        <v>10.1016/j.vetpar.2016.02.015</v>
      </c>
      <c r="N1313" s="40" t="s">
        <v>2152</v>
      </c>
      <c r="O1313" s="40" t="s">
        <v>383</v>
      </c>
      <c r="P1313" s="40" t="s">
        <v>3225</v>
      </c>
      <c r="Q1313" t="s">
        <v>316</v>
      </c>
    </row>
    <row r="1314" spans="1:17" x14ac:dyDescent="0.25">
      <c r="A1314" s="2" t="str">
        <f>HYPERLINK("https://www.ncbi.nlm.nih.gov/pubmed/26905924","26905924")</f>
        <v>26905924</v>
      </c>
      <c r="B1314">
        <f t="shared" si="86"/>
        <v>1</v>
      </c>
      <c r="C1314">
        <f t="shared" si="86"/>
        <v>0</v>
      </c>
      <c r="D1314">
        <f t="shared" si="86"/>
        <v>0</v>
      </c>
      <c r="E1314">
        <f t="shared" si="85"/>
        <v>1</v>
      </c>
      <c r="F1314">
        <v>2016</v>
      </c>
      <c r="G1314" t="s">
        <v>3233</v>
      </c>
      <c r="H1314">
        <v>0</v>
      </c>
      <c r="I1314" s="64" t="str">
        <f>HYPERLINK("https://www.ncbi.nlm.nih.gov/research/pubtator/?view=docsum&amp;query=PMC4764808","1")</f>
        <v>1</v>
      </c>
      <c r="J1314" t="s">
        <v>3235</v>
      </c>
      <c r="K1314" s="35" t="s">
        <v>747</v>
      </c>
      <c r="L1314" s="35" t="s">
        <v>3234</v>
      </c>
      <c r="M1314" s="39" t="str">
        <f>HYPERLINK("http://dx.doi.org/10.1038/srep21886","10.1038/srep21886")</f>
        <v>10.1038/srep21886</v>
      </c>
      <c r="N1314" s="40" t="s">
        <v>741</v>
      </c>
      <c r="O1314" s="40" t="s">
        <v>383</v>
      </c>
      <c r="P1314" s="40" t="s">
        <v>3236</v>
      </c>
      <c r="Q1314" t="s">
        <v>316</v>
      </c>
    </row>
    <row r="1315" spans="1:17" x14ac:dyDescent="0.25">
      <c r="A1315" s="2" t="str">
        <f>HYPERLINK("https://www.ncbi.nlm.nih.gov/pubmed/26841780","26841780")</f>
        <v>26841780</v>
      </c>
      <c r="B1315">
        <f t="shared" si="86"/>
        <v>1</v>
      </c>
      <c r="C1315">
        <f t="shared" si="86"/>
        <v>3</v>
      </c>
      <c r="D1315">
        <f t="shared" si="86"/>
        <v>0</v>
      </c>
      <c r="E1315">
        <f t="shared" si="85"/>
        <v>4</v>
      </c>
      <c r="F1315">
        <v>2016</v>
      </c>
      <c r="G1315" t="s">
        <v>3250</v>
      </c>
      <c r="H1315">
        <v>0</v>
      </c>
      <c r="I1315" s="64" t="str">
        <f>HYPERLINK("https://www.ncbi.nlm.nih.gov/research/pubtator/?view=docsum&amp;query=PMC4871908","1")</f>
        <v>1</v>
      </c>
      <c r="J1315" t="s">
        <v>3252</v>
      </c>
      <c r="K1315" s="35" t="s">
        <v>810</v>
      </c>
      <c r="L1315" s="35" t="s">
        <v>3251</v>
      </c>
      <c r="M1315" s="39" t="str">
        <f>HYPERLINK("http://dx.doi.org/10.1007/s11356-016-6093-7","10.1007/s11356-016-6093-7")</f>
        <v>10.1007/s11356-016-6093-7</v>
      </c>
      <c r="N1315" s="40" t="s">
        <v>737</v>
      </c>
      <c r="O1315" s="40" t="s">
        <v>802</v>
      </c>
      <c r="P1315" s="40" t="s">
        <v>3253</v>
      </c>
      <c r="Q1315" t="s">
        <v>316</v>
      </c>
    </row>
    <row r="1316" spans="1:17" x14ac:dyDescent="0.25">
      <c r="A1316" s="2" t="str">
        <f>HYPERLINK("https://www.ncbi.nlm.nih.gov/pubmed/26830634","26830634")</f>
        <v>26830634</v>
      </c>
      <c r="B1316">
        <f t="shared" si="86"/>
        <v>1</v>
      </c>
      <c r="C1316">
        <f t="shared" si="86"/>
        <v>0</v>
      </c>
      <c r="D1316">
        <f t="shared" si="86"/>
        <v>0</v>
      </c>
      <c r="E1316">
        <f t="shared" si="85"/>
        <v>1</v>
      </c>
      <c r="F1316">
        <v>2016</v>
      </c>
      <c r="G1316" t="s">
        <v>3259</v>
      </c>
      <c r="H1316">
        <v>0</v>
      </c>
      <c r="I1316" s="65">
        <v>0</v>
      </c>
      <c r="J1316" t="s">
        <v>3260</v>
      </c>
      <c r="K1316" s="35" t="s">
        <v>1340</v>
      </c>
      <c r="L1316" s="35" t="s">
        <v>6891</v>
      </c>
      <c r="M1316" s="39" t="str">
        <f>HYPERLINK("http://dx.doi.org/10.1016/j.chroma.2016.01.045","10.1016/j.chroma.2016.01.045")</f>
        <v>10.1016/j.chroma.2016.01.045</v>
      </c>
      <c r="N1316" s="40" t="s">
        <v>3261</v>
      </c>
      <c r="O1316" s="40" t="s">
        <v>383</v>
      </c>
      <c r="P1316" s="40" t="s">
        <v>3262</v>
      </c>
      <c r="Q1316" t="s">
        <v>316</v>
      </c>
    </row>
    <row r="1317" spans="1:17" x14ac:dyDescent="0.25">
      <c r="A1317" s="2" t="str">
        <f>HYPERLINK("https://www.ncbi.nlm.nih.gov/pubmed/26826357","26826357")</f>
        <v>26826357</v>
      </c>
      <c r="B1317">
        <f t="shared" si="86"/>
        <v>1</v>
      </c>
      <c r="C1317">
        <f t="shared" si="86"/>
        <v>0</v>
      </c>
      <c r="D1317">
        <f t="shared" si="86"/>
        <v>0</v>
      </c>
      <c r="E1317">
        <f t="shared" si="85"/>
        <v>1</v>
      </c>
      <c r="F1317">
        <v>2016</v>
      </c>
      <c r="G1317" t="s">
        <v>3263</v>
      </c>
      <c r="H1317">
        <v>1</v>
      </c>
      <c r="I1317" s="65">
        <v>0</v>
      </c>
      <c r="J1317" t="s">
        <v>3265</v>
      </c>
      <c r="K1317" s="35" t="s">
        <v>1734</v>
      </c>
      <c r="L1317" s="35" t="s">
        <v>3264</v>
      </c>
      <c r="M1317" s="39" t="str">
        <f>HYPERLINK("http://dx.doi.org/10.1016/j.envint.2016.01.009","10.1016/j.envint.2016.01.009")</f>
        <v>10.1016/j.envint.2016.01.009</v>
      </c>
      <c r="N1317" s="40" t="s">
        <v>3266</v>
      </c>
      <c r="O1317" s="40" t="s">
        <v>383</v>
      </c>
      <c r="P1317" s="40" t="s">
        <v>3267</v>
      </c>
      <c r="Q1317" t="s">
        <v>316</v>
      </c>
    </row>
    <row r="1318" spans="1:17" x14ac:dyDescent="0.25">
      <c r="A1318" s="2" t="str">
        <f>HYPERLINK("https://www.ncbi.nlm.nih.gov/pubmed/26778427","26778427")</f>
        <v>26778427</v>
      </c>
      <c r="B1318">
        <f t="shared" si="86"/>
        <v>1</v>
      </c>
      <c r="C1318">
        <f t="shared" si="86"/>
        <v>0</v>
      </c>
      <c r="D1318">
        <f t="shared" si="86"/>
        <v>0</v>
      </c>
      <c r="E1318">
        <f t="shared" si="85"/>
        <v>1</v>
      </c>
      <c r="F1318">
        <v>2016</v>
      </c>
      <c r="G1318" t="s">
        <v>3281</v>
      </c>
      <c r="H1318">
        <v>0</v>
      </c>
      <c r="I1318" s="65">
        <v>0</v>
      </c>
      <c r="J1318" t="s">
        <v>3283</v>
      </c>
      <c r="K1318" s="35" t="s">
        <v>831</v>
      </c>
      <c r="L1318" s="35" t="s">
        <v>3282</v>
      </c>
      <c r="M1318" s="39" t="str">
        <f>HYPERLINK("http://dx.doi.org/10.1016/j.pestbp.2015.08.004","10.1016/j.pestbp.2015.08.004")</f>
        <v>10.1016/j.pestbp.2015.08.004</v>
      </c>
      <c r="N1318" s="40" t="s">
        <v>3284</v>
      </c>
      <c r="O1318" s="40" t="s">
        <v>383</v>
      </c>
      <c r="P1318" s="40" t="s">
        <v>3285</v>
      </c>
      <c r="Q1318" t="s">
        <v>316</v>
      </c>
    </row>
    <row r="1319" spans="1:17" x14ac:dyDescent="0.25">
      <c r="A1319" s="2" t="str">
        <f>HYPERLINK("https://www.ncbi.nlm.nih.gov/pubmed/26560316","26560316")</f>
        <v>26560316</v>
      </c>
      <c r="B1319">
        <f t="shared" si="86"/>
        <v>1</v>
      </c>
      <c r="C1319">
        <f t="shared" si="86"/>
        <v>0</v>
      </c>
      <c r="D1319">
        <f t="shared" si="86"/>
        <v>0</v>
      </c>
      <c r="E1319">
        <f t="shared" si="85"/>
        <v>1</v>
      </c>
      <c r="F1319">
        <v>2015</v>
      </c>
      <c r="G1319" t="s">
        <v>3322</v>
      </c>
      <c r="H1319">
        <v>0</v>
      </c>
      <c r="I1319" s="64" t="str">
        <f>HYPERLINK("https://www.ncbi.nlm.nih.gov/research/pubtator/?view=docsum&amp;query=PMC4641671","1")</f>
        <v>1</v>
      </c>
      <c r="J1319" t="s">
        <v>3323</v>
      </c>
      <c r="K1319" s="35" t="s">
        <v>779</v>
      </c>
      <c r="L1319" s="35" t="s">
        <v>6897</v>
      </c>
      <c r="M1319" s="39" t="str">
        <f>HYPERLINK("http://dx.doi.org/10.1371/journal.pone.0142044","10.1371/journal.pone.0142044")</f>
        <v>10.1371/journal.pone.0142044</v>
      </c>
      <c r="N1319" s="40" t="s">
        <v>802</v>
      </c>
      <c r="O1319" s="40" t="s">
        <v>678</v>
      </c>
      <c r="P1319" s="40" t="s">
        <v>3324</v>
      </c>
      <c r="Q1319" t="s">
        <v>316</v>
      </c>
    </row>
    <row r="1320" spans="1:17" x14ac:dyDescent="0.25">
      <c r="A1320" s="2" t="str">
        <f>HYPERLINK("https://www.ncbi.nlm.nih.gov/pubmed/26555883","26555883")</f>
        <v>26555883</v>
      </c>
      <c r="B1320">
        <f t="shared" si="86"/>
        <v>1</v>
      </c>
      <c r="C1320">
        <f t="shared" si="86"/>
        <v>0</v>
      </c>
      <c r="D1320">
        <f t="shared" si="86"/>
        <v>0</v>
      </c>
      <c r="E1320">
        <f t="shared" si="85"/>
        <v>1</v>
      </c>
      <c r="F1320">
        <v>2016</v>
      </c>
      <c r="G1320" t="s">
        <v>3325</v>
      </c>
      <c r="H1320">
        <v>0</v>
      </c>
      <c r="I1320" s="64" t="str">
        <f>HYPERLINK("https://www.ncbi.nlm.nih.gov/research/pubtator/?view=docsum&amp;query=PMC4969919","1")</f>
        <v>1</v>
      </c>
      <c r="J1320" t="s">
        <v>3327</v>
      </c>
      <c r="K1320" s="35" t="s">
        <v>810</v>
      </c>
      <c r="L1320" s="35" t="s">
        <v>3326</v>
      </c>
      <c r="M1320" s="39" t="str">
        <f>HYPERLINK("http://dx.doi.org/10.1007/s11356-015-5692-z","10.1007/s11356-015-5692-z")</f>
        <v>10.1007/s11356-015-5692-z</v>
      </c>
      <c r="N1320" s="40" t="s">
        <v>737</v>
      </c>
      <c r="O1320" s="40" t="s">
        <v>638</v>
      </c>
      <c r="P1320" s="40" t="s">
        <v>3328</v>
      </c>
      <c r="Q1320" t="s">
        <v>316</v>
      </c>
    </row>
    <row r="1321" spans="1:17" x14ac:dyDescent="0.25">
      <c r="A1321" s="2" t="str">
        <f>HYPERLINK("https://www.ncbi.nlm.nih.gov/pubmed/26520270","26520270")</f>
        <v>26520270</v>
      </c>
      <c r="B1321">
        <f t="shared" si="86"/>
        <v>1</v>
      </c>
      <c r="C1321">
        <f t="shared" si="86"/>
        <v>0</v>
      </c>
      <c r="D1321">
        <f t="shared" si="86"/>
        <v>0</v>
      </c>
      <c r="E1321">
        <f t="shared" si="85"/>
        <v>1</v>
      </c>
      <c r="F1321">
        <v>2016</v>
      </c>
      <c r="G1321" t="s">
        <v>3332</v>
      </c>
      <c r="H1321">
        <v>0</v>
      </c>
      <c r="I1321" s="65">
        <v>0</v>
      </c>
      <c r="J1321" t="s">
        <v>3333</v>
      </c>
      <c r="K1321" s="35" t="s">
        <v>670</v>
      </c>
      <c r="L1321" s="35" t="s">
        <v>6899</v>
      </c>
      <c r="M1321" s="39" t="str">
        <f>HYPERLINK("http://dx.doi.org/10.1016/j.scitotenv.2015.10.077","10.1016/j.scitotenv.2015.10.077")</f>
        <v>10.1016/j.scitotenv.2015.10.077</v>
      </c>
      <c r="N1321" s="40" t="s">
        <v>3334</v>
      </c>
      <c r="O1321" s="40" t="s">
        <v>709</v>
      </c>
      <c r="P1321" s="40" t="s">
        <v>3335</v>
      </c>
      <c r="Q1321" t="s">
        <v>316</v>
      </c>
    </row>
    <row r="1322" spans="1:17" x14ac:dyDescent="0.25">
      <c r="A1322" s="2" t="str">
        <f>HYPERLINK("https://www.ncbi.nlm.nih.gov/pubmed/26470256","26470256")</f>
        <v>26470256</v>
      </c>
      <c r="B1322">
        <f t="shared" si="86"/>
        <v>1</v>
      </c>
      <c r="C1322">
        <f t="shared" si="86"/>
        <v>0</v>
      </c>
      <c r="D1322">
        <f t="shared" si="86"/>
        <v>0</v>
      </c>
      <c r="E1322">
        <f t="shared" si="85"/>
        <v>1</v>
      </c>
      <c r="F1322">
        <v>2015</v>
      </c>
      <c r="G1322" t="s">
        <v>3345</v>
      </c>
      <c r="H1322">
        <v>0</v>
      </c>
      <c r="I1322" s="65">
        <v>0</v>
      </c>
      <c r="J1322" t="s">
        <v>3347</v>
      </c>
      <c r="K1322" s="35" t="s">
        <v>909</v>
      </c>
      <c r="L1322" s="35" t="s">
        <v>3346</v>
      </c>
      <c r="M1322" s="39" t="str">
        <f>HYPERLINK("http://dx.doi.org/10.1093/jee/tov085","10.1093/jee/tov085")</f>
        <v>10.1093/jee/tov085</v>
      </c>
      <c r="N1322" s="40" t="s">
        <v>2606</v>
      </c>
      <c r="O1322" s="40" t="s">
        <v>750</v>
      </c>
      <c r="P1322" s="40" t="s">
        <v>3348</v>
      </c>
      <c r="Q1322" t="s">
        <v>316</v>
      </c>
    </row>
    <row r="1323" spans="1:17" x14ac:dyDescent="0.25">
      <c r="A1323" s="2" t="str">
        <f>HYPERLINK("https://www.ncbi.nlm.nih.gov/pubmed/26470195","26470195")</f>
        <v>26470195</v>
      </c>
      <c r="B1323">
        <f t="shared" si="86"/>
        <v>1</v>
      </c>
      <c r="C1323">
        <f t="shared" si="86"/>
        <v>0</v>
      </c>
      <c r="D1323">
        <f t="shared" si="86"/>
        <v>0</v>
      </c>
      <c r="E1323">
        <f t="shared" si="85"/>
        <v>1</v>
      </c>
      <c r="F1323">
        <v>2015</v>
      </c>
      <c r="G1323" t="s">
        <v>3349</v>
      </c>
      <c r="H1323">
        <v>0</v>
      </c>
      <c r="I1323" s="65">
        <v>0</v>
      </c>
      <c r="J1323" t="s">
        <v>3350</v>
      </c>
      <c r="K1323" s="35" t="s">
        <v>909</v>
      </c>
      <c r="L1323" s="35" t="s">
        <v>6901</v>
      </c>
      <c r="M1323" s="39" t="str">
        <f>HYPERLINK("http://dx.doi.org/10.1093/jee/tou057","10.1093/jee/tou057")</f>
        <v>10.1093/jee/tou057</v>
      </c>
      <c r="N1323" s="40" t="s">
        <v>2606</v>
      </c>
      <c r="O1323" s="40" t="s">
        <v>744</v>
      </c>
      <c r="P1323" s="40" t="s">
        <v>3351</v>
      </c>
      <c r="Q1323" t="s">
        <v>316</v>
      </c>
    </row>
    <row r="1324" spans="1:17" x14ac:dyDescent="0.25">
      <c r="A1324" s="2" t="str">
        <f>HYPERLINK("https://www.ncbi.nlm.nih.gov/pubmed/26411386","26411386")</f>
        <v>26411386</v>
      </c>
      <c r="B1324">
        <f t="shared" ref="B1324:D1343" si="87">IF(ISBLANK(B$3),0,(LEN($L1324) - LEN(SUBSTITUTE(LOWER($L1324),LOWER(B$3),"")))/LEN(B$3))</f>
        <v>1</v>
      </c>
      <c r="C1324">
        <f t="shared" si="87"/>
        <v>0</v>
      </c>
      <c r="D1324">
        <f t="shared" si="87"/>
        <v>0</v>
      </c>
      <c r="E1324">
        <f t="shared" si="85"/>
        <v>1</v>
      </c>
      <c r="F1324">
        <v>2015</v>
      </c>
      <c r="G1324" t="s">
        <v>3382</v>
      </c>
      <c r="H1324">
        <v>0</v>
      </c>
      <c r="I1324" s="64" t="str">
        <f>HYPERLINK("https://www.ncbi.nlm.nih.gov/research/pubtator/?view=docsum&amp;query=PMC4585956","1")</f>
        <v>1</v>
      </c>
      <c r="J1324" t="s">
        <v>3383</v>
      </c>
      <c r="K1324" s="35" t="s">
        <v>747</v>
      </c>
      <c r="L1324" s="35" t="s">
        <v>6906</v>
      </c>
      <c r="M1324" s="39" t="str">
        <f>HYPERLINK("http://dx.doi.org/10.1038/srep14642","10.1038/srep14642")</f>
        <v>10.1038/srep14642</v>
      </c>
      <c r="N1324" s="40" t="s">
        <v>746</v>
      </c>
      <c r="O1324" s="40" t="s">
        <v>383</v>
      </c>
      <c r="P1324" s="40" t="s">
        <v>3384</v>
      </c>
      <c r="Q1324" t="s">
        <v>316</v>
      </c>
    </row>
    <row r="1325" spans="1:17" x14ac:dyDescent="0.25">
      <c r="A1325" s="2" t="str">
        <f>HYPERLINK("https://www.ncbi.nlm.nih.gov/pubmed/26368804","26368804")</f>
        <v>26368804</v>
      </c>
      <c r="B1325">
        <f t="shared" si="87"/>
        <v>1</v>
      </c>
      <c r="C1325">
        <f t="shared" si="87"/>
        <v>0</v>
      </c>
      <c r="D1325">
        <f t="shared" si="87"/>
        <v>0</v>
      </c>
      <c r="E1325">
        <f t="shared" si="85"/>
        <v>1</v>
      </c>
      <c r="F1325">
        <v>2015</v>
      </c>
      <c r="G1325" t="s">
        <v>3392</v>
      </c>
      <c r="H1325">
        <v>0</v>
      </c>
      <c r="I1325" s="64" t="str">
        <f>HYPERLINK("https://www.ncbi.nlm.nih.gov/research/pubtator/?view=docsum&amp;query=PMC4569296","1")</f>
        <v>1</v>
      </c>
      <c r="J1325" t="s">
        <v>3393</v>
      </c>
      <c r="K1325" s="35" t="s">
        <v>779</v>
      </c>
      <c r="L1325" s="35" t="s">
        <v>6908</v>
      </c>
      <c r="M1325" s="39" t="str">
        <f>HYPERLINK("http://dx.doi.org/10.1371/journal.pone.0138068","10.1371/journal.pone.0138068")</f>
        <v>10.1371/journal.pone.0138068</v>
      </c>
      <c r="N1325" s="40" t="s">
        <v>802</v>
      </c>
      <c r="O1325" s="40" t="s">
        <v>660</v>
      </c>
      <c r="P1325" s="40" t="s">
        <v>3394</v>
      </c>
      <c r="Q1325" t="s">
        <v>316</v>
      </c>
    </row>
    <row r="1326" spans="1:17" x14ac:dyDescent="0.25">
      <c r="A1326" s="2" t="str">
        <f>HYPERLINK("https://www.ncbi.nlm.nih.gov/pubmed/26135301","26135301")</f>
        <v>26135301</v>
      </c>
      <c r="B1326">
        <f t="shared" si="87"/>
        <v>1</v>
      </c>
      <c r="C1326">
        <f t="shared" si="87"/>
        <v>0</v>
      </c>
      <c r="D1326">
        <f t="shared" si="87"/>
        <v>0</v>
      </c>
      <c r="E1326">
        <f t="shared" si="85"/>
        <v>1</v>
      </c>
      <c r="F1326">
        <v>2015</v>
      </c>
      <c r="G1326" t="s">
        <v>3458</v>
      </c>
      <c r="H1326">
        <v>0</v>
      </c>
      <c r="I1326" s="65">
        <v>0</v>
      </c>
      <c r="J1326" t="s">
        <v>3459</v>
      </c>
      <c r="K1326" s="35" t="s">
        <v>1395</v>
      </c>
      <c r="L1326" s="35" t="s">
        <v>6918</v>
      </c>
      <c r="M1326" s="39" t="str">
        <f>HYPERLINK("http://dx.doi.org/10.1007/s00244-015-0183-2","10.1007/s00244-015-0183-2")</f>
        <v>10.1007/s00244-015-0183-2</v>
      </c>
      <c r="N1326" s="40" t="s">
        <v>3460</v>
      </c>
      <c r="O1326" s="40" t="s">
        <v>690</v>
      </c>
      <c r="P1326" s="40" t="s">
        <v>3461</v>
      </c>
      <c r="Q1326" t="s">
        <v>316</v>
      </c>
    </row>
    <row r="1327" spans="1:17" x14ac:dyDescent="0.25">
      <c r="A1327" s="2" t="str">
        <f>HYPERLINK("https://www.ncbi.nlm.nih.gov/pubmed/26002371","26002371")</f>
        <v>26002371</v>
      </c>
      <c r="B1327">
        <f t="shared" si="87"/>
        <v>1</v>
      </c>
      <c r="C1327">
        <f t="shared" si="87"/>
        <v>0</v>
      </c>
      <c r="D1327">
        <f t="shared" si="87"/>
        <v>0</v>
      </c>
      <c r="E1327">
        <f t="shared" si="85"/>
        <v>1</v>
      </c>
      <c r="F1327">
        <v>2015</v>
      </c>
      <c r="G1327" t="s">
        <v>3486</v>
      </c>
      <c r="H1327">
        <v>0</v>
      </c>
      <c r="I1327" s="65">
        <v>0</v>
      </c>
      <c r="J1327" t="s">
        <v>3488</v>
      </c>
      <c r="K1327" s="35" t="s">
        <v>810</v>
      </c>
      <c r="L1327" s="35" t="s">
        <v>3487</v>
      </c>
      <c r="M1327" s="39" t="str">
        <f>HYPERLINK("http://dx.doi.org/10.1007/s11356-015-4719-9","10.1007/s11356-015-4719-9")</f>
        <v>10.1007/s11356-015-4719-9</v>
      </c>
      <c r="N1327" s="40" t="s">
        <v>1092</v>
      </c>
      <c r="O1327" s="40" t="s">
        <v>1364</v>
      </c>
      <c r="P1327" s="40" t="s">
        <v>3489</v>
      </c>
      <c r="Q1327" t="s">
        <v>316</v>
      </c>
    </row>
    <row r="1328" spans="1:17" x14ac:dyDescent="0.25">
      <c r="A1328" s="2" t="str">
        <f>HYPERLINK("https://www.ncbi.nlm.nih.gov/pubmed/25967980","25967980")</f>
        <v>25967980</v>
      </c>
      <c r="B1328">
        <f t="shared" si="87"/>
        <v>1</v>
      </c>
      <c r="C1328">
        <f t="shared" si="87"/>
        <v>0</v>
      </c>
      <c r="D1328">
        <f t="shared" si="87"/>
        <v>0</v>
      </c>
      <c r="E1328">
        <f t="shared" si="85"/>
        <v>1</v>
      </c>
      <c r="F1328">
        <v>2015</v>
      </c>
      <c r="G1328" t="s">
        <v>3493</v>
      </c>
      <c r="H1328">
        <v>0</v>
      </c>
      <c r="I1328" s="65">
        <v>0</v>
      </c>
      <c r="J1328" t="s">
        <v>3495</v>
      </c>
      <c r="K1328" s="35" t="s">
        <v>896</v>
      </c>
      <c r="L1328" s="35" t="s">
        <v>3494</v>
      </c>
      <c r="M1328" s="39" t="str">
        <f>HYPERLINK("http://dx.doi.org/10.1080/19440049.2015.1050460","10.1080/19440049.2015.1050460")</f>
        <v>10.1080/19440049.2015.1050460</v>
      </c>
      <c r="N1328" s="40" t="s">
        <v>1018</v>
      </c>
      <c r="O1328" s="40" t="s">
        <v>748</v>
      </c>
      <c r="P1328" s="40" t="s">
        <v>3496</v>
      </c>
      <c r="Q1328" t="s">
        <v>316</v>
      </c>
    </row>
    <row r="1329" spans="1:17" x14ac:dyDescent="0.25">
      <c r="A1329" s="2" t="str">
        <f>HYPERLINK("https://www.ncbi.nlm.nih.gov/pubmed/25943259","25943259")</f>
        <v>25943259</v>
      </c>
      <c r="B1329">
        <f t="shared" si="87"/>
        <v>1</v>
      </c>
      <c r="C1329">
        <f t="shared" si="87"/>
        <v>0</v>
      </c>
      <c r="D1329">
        <f t="shared" si="87"/>
        <v>0</v>
      </c>
      <c r="E1329">
        <f t="shared" si="85"/>
        <v>1</v>
      </c>
      <c r="F1329">
        <v>2015</v>
      </c>
      <c r="G1329" t="s">
        <v>3509</v>
      </c>
      <c r="H1329">
        <v>0</v>
      </c>
      <c r="I1329" s="65">
        <v>0</v>
      </c>
      <c r="J1329" t="s">
        <v>3510</v>
      </c>
      <c r="K1329" s="35" t="s">
        <v>775</v>
      </c>
      <c r="L1329" s="35" t="s">
        <v>6925</v>
      </c>
      <c r="M1329" s="39" t="str">
        <f>HYPERLINK("http://dx.doi.org/10.1007/s00216-015-8709-z","10.1007/s00216-015-8709-z")</f>
        <v>10.1007/s00216-015-8709-z</v>
      </c>
      <c r="N1329" s="40" t="s">
        <v>3511</v>
      </c>
      <c r="O1329" s="40" t="s">
        <v>1364</v>
      </c>
      <c r="P1329" s="40" t="s">
        <v>3512</v>
      </c>
      <c r="Q1329" t="s">
        <v>316</v>
      </c>
    </row>
    <row r="1330" spans="1:17" x14ac:dyDescent="0.25">
      <c r="A1330" s="2" t="str">
        <f>HYPERLINK("https://www.ncbi.nlm.nih.gov/pubmed/25845298","25845298")</f>
        <v>25845298</v>
      </c>
      <c r="B1330">
        <f t="shared" si="87"/>
        <v>1</v>
      </c>
      <c r="C1330">
        <f t="shared" si="87"/>
        <v>0</v>
      </c>
      <c r="D1330">
        <f t="shared" si="87"/>
        <v>0</v>
      </c>
      <c r="E1330">
        <f t="shared" si="85"/>
        <v>1</v>
      </c>
      <c r="F1330">
        <v>2015</v>
      </c>
      <c r="G1330" t="s">
        <v>3537</v>
      </c>
      <c r="H1330">
        <v>0</v>
      </c>
      <c r="I1330" s="65">
        <v>0</v>
      </c>
      <c r="J1330" t="s">
        <v>3538</v>
      </c>
      <c r="K1330" s="35" t="s">
        <v>937</v>
      </c>
      <c r="L1330" s="35" t="s">
        <v>6929</v>
      </c>
      <c r="M1330" s="39" t="str">
        <f>HYPERLINK("http://dx.doi.org/10.1016/j.neuro.2015.03.013","10.1016/j.neuro.2015.03.013")</f>
        <v>10.1016/j.neuro.2015.03.013</v>
      </c>
      <c r="N1330" s="40" t="s">
        <v>1450</v>
      </c>
      <c r="O1330" s="40" t="s">
        <v>383</v>
      </c>
      <c r="P1330" s="40" t="s">
        <v>3539</v>
      </c>
      <c r="Q1330" t="s">
        <v>316</v>
      </c>
    </row>
    <row r="1331" spans="1:17" x14ac:dyDescent="0.25">
      <c r="A1331" s="2" t="str">
        <f>HYPERLINK("https://www.ncbi.nlm.nih.gov/pubmed/25794593","25794593")</f>
        <v>25794593</v>
      </c>
      <c r="B1331">
        <f t="shared" si="87"/>
        <v>1</v>
      </c>
      <c r="C1331">
        <f t="shared" si="87"/>
        <v>0</v>
      </c>
      <c r="D1331">
        <f t="shared" si="87"/>
        <v>0</v>
      </c>
      <c r="E1331">
        <f t="shared" si="85"/>
        <v>1</v>
      </c>
      <c r="F1331">
        <v>2015</v>
      </c>
      <c r="G1331" t="s">
        <v>3551</v>
      </c>
      <c r="H1331">
        <v>0</v>
      </c>
      <c r="I1331" s="65">
        <v>0</v>
      </c>
      <c r="J1331" t="s">
        <v>3553</v>
      </c>
      <c r="K1331" s="35" t="s">
        <v>3554</v>
      </c>
      <c r="L1331" s="35" t="s">
        <v>3552</v>
      </c>
      <c r="M1331" s="39" t="str">
        <f>HYPERLINK("http://dx.doi.org/10.1007/s00248-015-0594-7","10.1007/s00248-015-0594-7")</f>
        <v>10.1007/s00248-015-0594-7</v>
      </c>
      <c r="N1331" s="40" t="s">
        <v>2957</v>
      </c>
      <c r="O1331" s="40" t="s">
        <v>744</v>
      </c>
      <c r="P1331" s="40" t="s">
        <v>3555</v>
      </c>
      <c r="Q1331" t="s">
        <v>316</v>
      </c>
    </row>
    <row r="1332" spans="1:17" x14ac:dyDescent="0.25">
      <c r="A1332" s="2" t="str">
        <f>HYPERLINK("https://www.ncbi.nlm.nih.gov/pubmed/25733401","25733401")</f>
        <v>25733401</v>
      </c>
      <c r="B1332">
        <f t="shared" si="87"/>
        <v>1</v>
      </c>
      <c r="C1332">
        <f t="shared" si="87"/>
        <v>0</v>
      </c>
      <c r="D1332">
        <f t="shared" si="87"/>
        <v>0</v>
      </c>
      <c r="E1332">
        <f t="shared" si="85"/>
        <v>1</v>
      </c>
      <c r="F1332">
        <v>2015</v>
      </c>
      <c r="G1332" t="s">
        <v>3577</v>
      </c>
      <c r="H1332">
        <v>0</v>
      </c>
      <c r="I1332" s="65">
        <v>0</v>
      </c>
      <c r="J1332" t="s">
        <v>3578</v>
      </c>
      <c r="K1332" s="35" t="s">
        <v>701</v>
      </c>
      <c r="L1332" s="35" t="s">
        <v>6935</v>
      </c>
      <c r="M1332" s="39" t="str">
        <f>HYPERLINK("http://dx.doi.org/10.1016/j.ntt.2015.02.006","10.1016/j.ntt.2015.02.006")</f>
        <v>10.1016/j.ntt.2015.02.006</v>
      </c>
      <c r="N1332" s="40" t="s">
        <v>2085</v>
      </c>
      <c r="O1332" s="40" t="s">
        <v>383</v>
      </c>
      <c r="P1332" s="40" t="s">
        <v>3563</v>
      </c>
      <c r="Q1332" t="s">
        <v>316</v>
      </c>
    </row>
    <row r="1333" spans="1:17" x14ac:dyDescent="0.25">
      <c r="A1333" s="2" t="str">
        <f>HYPERLINK("https://www.ncbi.nlm.nih.gov/pubmed/25681144","25681144")</f>
        <v>25681144</v>
      </c>
      <c r="B1333">
        <f t="shared" si="87"/>
        <v>1</v>
      </c>
      <c r="C1333">
        <f t="shared" si="87"/>
        <v>0</v>
      </c>
      <c r="D1333">
        <f t="shared" si="87"/>
        <v>0</v>
      </c>
      <c r="E1333">
        <f t="shared" si="85"/>
        <v>1</v>
      </c>
      <c r="F1333">
        <v>2015</v>
      </c>
      <c r="G1333" t="s">
        <v>3606</v>
      </c>
      <c r="H1333">
        <v>0</v>
      </c>
      <c r="I1333" s="65">
        <v>0</v>
      </c>
      <c r="J1333" t="s">
        <v>3608</v>
      </c>
      <c r="K1333" s="35" t="s">
        <v>1210</v>
      </c>
      <c r="L1333" s="35" t="s">
        <v>3607</v>
      </c>
      <c r="M1333" s="39" t="str">
        <f>HYPERLINK("http://dx.doi.org/10.1007/s00436-015-4386-2","10.1007/s00436-015-4386-2")</f>
        <v>10.1007/s00436-015-4386-2</v>
      </c>
      <c r="N1333" s="40" t="s">
        <v>910</v>
      </c>
      <c r="O1333" s="40" t="s">
        <v>746</v>
      </c>
      <c r="P1333" s="40" t="s">
        <v>3609</v>
      </c>
      <c r="Q1333" t="s">
        <v>316</v>
      </c>
    </row>
    <row r="1334" spans="1:17" x14ac:dyDescent="0.25">
      <c r="A1334" s="2" t="str">
        <f>HYPERLINK("https://www.ncbi.nlm.nih.gov/pubmed/25656465","25656465")</f>
        <v>25656465</v>
      </c>
      <c r="B1334">
        <f t="shared" si="87"/>
        <v>1</v>
      </c>
      <c r="C1334">
        <f t="shared" si="87"/>
        <v>0</v>
      </c>
      <c r="D1334">
        <f t="shared" si="87"/>
        <v>0</v>
      </c>
      <c r="E1334">
        <f t="shared" si="85"/>
        <v>1</v>
      </c>
      <c r="F1334">
        <v>2015</v>
      </c>
      <c r="G1334" t="s">
        <v>3615</v>
      </c>
      <c r="H1334">
        <v>0</v>
      </c>
      <c r="I1334" s="64" t="str">
        <f>HYPERLINK("https://www.ncbi.nlm.nih.gov/research/pubtator/?view=docsum&amp;query=PMC4412510","1")</f>
        <v>1</v>
      </c>
      <c r="J1334" t="s">
        <v>3616</v>
      </c>
      <c r="K1334" s="35" t="s">
        <v>1210</v>
      </c>
      <c r="L1334" s="35" t="s">
        <v>6940</v>
      </c>
      <c r="M1334" s="39" t="str">
        <f>HYPERLINK("http://dx.doi.org/10.1007/s00436-015-4356-8","10.1007/s00436-015-4356-8")</f>
        <v>10.1007/s00436-015-4356-8</v>
      </c>
      <c r="N1334" s="40" t="s">
        <v>910</v>
      </c>
      <c r="O1334" s="40" t="s">
        <v>746</v>
      </c>
      <c r="P1334" s="40" t="s">
        <v>3617</v>
      </c>
      <c r="Q1334" t="s">
        <v>316</v>
      </c>
    </row>
    <row r="1335" spans="1:17" x14ac:dyDescent="0.25">
      <c r="A1335" s="2" t="str">
        <f>HYPERLINK("https://www.ncbi.nlm.nih.gov/pubmed/25585434","25585434")</f>
        <v>25585434</v>
      </c>
      <c r="B1335">
        <f t="shared" si="87"/>
        <v>1</v>
      </c>
      <c r="C1335">
        <f t="shared" si="87"/>
        <v>0</v>
      </c>
      <c r="D1335">
        <f t="shared" si="87"/>
        <v>0</v>
      </c>
      <c r="E1335">
        <f t="shared" si="85"/>
        <v>1</v>
      </c>
      <c r="F1335">
        <v>2015</v>
      </c>
      <c r="G1335" t="s">
        <v>3656</v>
      </c>
      <c r="H1335">
        <v>1</v>
      </c>
      <c r="I1335" s="65">
        <v>0</v>
      </c>
      <c r="J1335" t="s">
        <v>3658</v>
      </c>
      <c r="K1335" s="35" t="s">
        <v>3659</v>
      </c>
      <c r="L1335" s="35" t="s">
        <v>3657</v>
      </c>
      <c r="M1335" s="39" t="str">
        <f>HYPERLINK("http://dx.doi.org/10.11477/mf.1416200085","10.11477/mf.1416200085")</f>
        <v>10.11477/mf.1416200085</v>
      </c>
      <c r="N1335" s="40" t="s">
        <v>1779</v>
      </c>
      <c r="O1335" s="40" t="s">
        <v>638</v>
      </c>
      <c r="P1335" s="40" t="s">
        <v>3660</v>
      </c>
      <c r="Q1335" t="s">
        <v>316</v>
      </c>
    </row>
    <row r="1336" spans="1:17" x14ac:dyDescent="0.25">
      <c r="A1336" s="2" t="str">
        <f>HYPERLINK("https://www.ncbi.nlm.nih.gov/pubmed/25580715","25580715")</f>
        <v>25580715</v>
      </c>
      <c r="B1336">
        <f t="shared" si="87"/>
        <v>1</v>
      </c>
      <c r="C1336">
        <f t="shared" si="87"/>
        <v>0</v>
      </c>
      <c r="D1336">
        <f t="shared" si="87"/>
        <v>0</v>
      </c>
      <c r="E1336">
        <f t="shared" si="85"/>
        <v>1</v>
      </c>
      <c r="F1336">
        <v>2015</v>
      </c>
      <c r="G1336" t="s">
        <v>3661</v>
      </c>
      <c r="H1336">
        <v>0</v>
      </c>
      <c r="I1336" s="65">
        <v>0</v>
      </c>
      <c r="J1336" t="s">
        <v>3662</v>
      </c>
      <c r="K1336" s="35" t="s">
        <v>968</v>
      </c>
      <c r="L1336" s="35" t="s">
        <v>6949</v>
      </c>
      <c r="M1336" s="39" t="str">
        <f>HYPERLINK("http://dx.doi.org/10.1002/ps.3972","10.1002/ps.3972")</f>
        <v>10.1002/ps.3972</v>
      </c>
      <c r="N1336" s="40" t="s">
        <v>3255</v>
      </c>
      <c r="O1336" s="40" t="s">
        <v>915</v>
      </c>
      <c r="P1336" s="40" t="s">
        <v>3663</v>
      </c>
      <c r="Q1336" t="s">
        <v>316</v>
      </c>
    </row>
    <row r="1337" spans="1:17" x14ac:dyDescent="0.25">
      <c r="A1337" s="2" t="str">
        <f>HYPERLINK("https://www.ncbi.nlm.nih.gov/pubmed/25572267","25572267")</f>
        <v>25572267</v>
      </c>
      <c r="B1337">
        <f t="shared" si="87"/>
        <v>1</v>
      </c>
      <c r="C1337">
        <f t="shared" si="87"/>
        <v>0</v>
      </c>
      <c r="D1337">
        <f t="shared" si="87"/>
        <v>0</v>
      </c>
      <c r="E1337">
        <f t="shared" si="85"/>
        <v>1</v>
      </c>
      <c r="F1337">
        <v>2015</v>
      </c>
      <c r="G1337" t="s">
        <v>3664</v>
      </c>
      <c r="H1337">
        <v>0</v>
      </c>
      <c r="I1337" s="65">
        <v>0</v>
      </c>
      <c r="J1337" t="s">
        <v>3665</v>
      </c>
      <c r="K1337" s="35" t="s">
        <v>810</v>
      </c>
      <c r="L1337" s="35" t="s">
        <v>6950</v>
      </c>
      <c r="M1337" s="39" t="str">
        <f>HYPERLINK("http://dx.doi.org/10.1007/s11356-014-4034-x","10.1007/s11356-014-4034-x")</f>
        <v>10.1007/s11356-014-4034-x</v>
      </c>
      <c r="N1337" s="40" t="s">
        <v>1092</v>
      </c>
      <c r="O1337" s="40" t="s">
        <v>915</v>
      </c>
      <c r="P1337" s="40" t="s">
        <v>3666</v>
      </c>
      <c r="Q1337" t="s">
        <v>316</v>
      </c>
    </row>
    <row r="1338" spans="1:17" x14ac:dyDescent="0.25">
      <c r="A1338" s="2" t="str">
        <f>HYPERLINK("https://www.ncbi.nlm.nih.gov/pubmed/25555743","25555743")</f>
        <v>25555743</v>
      </c>
      <c r="B1338">
        <f t="shared" si="87"/>
        <v>1</v>
      </c>
      <c r="C1338">
        <f t="shared" si="87"/>
        <v>0</v>
      </c>
      <c r="D1338">
        <f t="shared" si="87"/>
        <v>0</v>
      </c>
      <c r="E1338">
        <f t="shared" si="85"/>
        <v>1</v>
      </c>
      <c r="F1338">
        <v>2015</v>
      </c>
      <c r="G1338" t="s">
        <v>3667</v>
      </c>
      <c r="H1338">
        <v>1</v>
      </c>
      <c r="I1338" s="65">
        <v>0</v>
      </c>
      <c r="J1338" t="s">
        <v>3669</v>
      </c>
      <c r="K1338" s="35" t="s">
        <v>3670</v>
      </c>
      <c r="L1338" s="35" t="s">
        <v>3668</v>
      </c>
      <c r="M1338" s="39" t="str">
        <f>HYPERLINK("http://dx.doi.org/10.1016/j.ejmech.2014.11.059","10.1016/j.ejmech.2014.11.059")</f>
        <v>10.1016/j.ejmech.2014.11.059</v>
      </c>
      <c r="N1338" s="40" t="s">
        <v>749</v>
      </c>
      <c r="O1338" s="40" t="s">
        <v>383</v>
      </c>
      <c r="P1338" s="40" t="s">
        <v>3671</v>
      </c>
      <c r="Q1338" t="s">
        <v>316</v>
      </c>
    </row>
    <row r="1339" spans="1:17" x14ac:dyDescent="0.25">
      <c r="A1339" s="2" t="str">
        <f>HYPERLINK("https://www.ncbi.nlm.nih.gov/pubmed/25547077","25547077")</f>
        <v>25547077</v>
      </c>
      <c r="B1339">
        <f t="shared" si="87"/>
        <v>1</v>
      </c>
      <c r="C1339">
        <f t="shared" si="87"/>
        <v>0</v>
      </c>
      <c r="D1339">
        <f t="shared" si="87"/>
        <v>0</v>
      </c>
      <c r="E1339">
        <f t="shared" si="85"/>
        <v>1</v>
      </c>
      <c r="F1339">
        <v>2015</v>
      </c>
      <c r="G1339" t="s">
        <v>3676</v>
      </c>
      <c r="H1339">
        <v>0</v>
      </c>
      <c r="I1339" s="64" t="str">
        <f>HYPERLINK("https://www.ncbi.nlm.nih.gov/research/pubtator/?view=docsum&amp;query=PMC4336410","1")</f>
        <v>1</v>
      </c>
      <c r="J1339" t="s">
        <v>3677</v>
      </c>
      <c r="K1339" s="35" t="s">
        <v>1210</v>
      </c>
      <c r="L1339" s="35" t="s">
        <v>6951</v>
      </c>
      <c r="M1339" s="39" t="str">
        <f>HYPERLINK("http://dx.doi.org/10.1007/s00436-014-4262-5","10.1007/s00436-014-4262-5")</f>
        <v>10.1007/s00436-014-4262-5</v>
      </c>
      <c r="N1339" s="40" t="s">
        <v>910</v>
      </c>
      <c r="O1339" s="40" t="s">
        <v>750</v>
      </c>
      <c r="P1339" s="40" t="s">
        <v>3678</v>
      </c>
      <c r="Q1339" t="s">
        <v>316</v>
      </c>
    </row>
    <row r="1340" spans="1:17" x14ac:dyDescent="0.25">
      <c r="A1340" s="2" t="str">
        <f>HYPERLINK("https://www.ncbi.nlm.nih.gov/pubmed/25509522","25509522")</f>
        <v>25509522</v>
      </c>
      <c r="B1340">
        <f t="shared" si="87"/>
        <v>1</v>
      </c>
      <c r="C1340">
        <f t="shared" si="87"/>
        <v>2</v>
      </c>
      <c r="D1340">
        <f t="shared" si="87"/>
        <v>0</v>
      </c>
      <c r="E1340">
        <f t="shared" si="85"/>
        <v>3</v>
      </c>
      <c r="F1340">
        <v>2014</v>
      </c>
      <c r="G1340" t="s">
        <v>3685</v>
      </c>
      <c r="H1340">
        <v>0</v>
      </c>
      <c r="I1340" s="65">
        <v>0</v>
      </c>
      <c r="J1340" t="s">
        <v>3687</v>
      </c>
      <c r="K1340" s="35" t="s">
        <v>3688</v>
      </c>
      <c r="L1340" s="35" t="s">
        <v>3686</v>
      </c>
      <c r="M1340" s="39" t="str">
        <f>HYPERLINK("http://dx.doi.org/10.2175/106143014x14062131178358","10.2175/106143014x14062131178358")</f>
        <v>10.2175/106143014x14062131178358</v>
      </c>
      <c r="N1340" s="40" t="s">
        <v>845</v>
      </c>
      <c r="O1340" s="40" t="s">
        <v>678</v>
      </c>
      <c r="P1340" s="40" t="s">
        <v>3689</v>
      </c>
      <c r="Q1340" t="s">
        <v>316</v>
      </c>
    </row>
    <row r="1341" spans="1:17" x14ac:dyDescent="0.25">
      <c r="A1341" s="2" t="str">
        <f>HYPERLINK("https://www.ncbi.nlm.nih.gov/pubmed/25465737","25465737")</f>
        <v>25465737</v>
      </c>
      <c r="B1341">
        <f t="shared" si="87"/>
        <v>1</v>
      </c>
      <c r="C1341">
        <f t="shared" si="87"/>
        <v>0</v>
      </c>
      <c r="D1341">
        <f t="shared" si="87"/>
        <v>0</v>
      </c>
      <c r="E1341">
        <f t="shared" si="85"/>
        <v>1</v>
      </c>
      <c r="F1341">
        <v>2015</v>
      </c>
      <c r="G1341" t="s">
        <v>3701</v>
      </c>
      <c r="H1341">
        <v>0</v>
      </c>
      <c r="I1341" s="65">
        <v>0</v>
      </c>
      <c r="J1341" t="s">
        <v>3702</v>
      </c>
      <c r="K1341" s="35" t="s">
        <v>1052</v>
      </c>
      <c r="L1341" s="35" t="s">
        <v>6956</v>
      </c>
      <c r="M1341" s="39" t="str">
        <f>HYPERLINK("http://dx.doi.org/10.1016/j.vetpar.2014.11.005","10.1016/j.vetpar.2014.11.005")</f>
        <v>10.1016/j.vetpar.2014.11.005</v>
      </c>
      <c r="N1341" s="40" t="s">
        <v>1846</v>
      </c>
      <c r="O1341" s="40" t="s">
        <v>3531</v>
      </c>
      <c r="P1341" s="40" t="s">
        <v>3703</v>
      </c>
      <c r="Q1341" t="s">
        <v>316</v>
      </c>
    </row>
    <row r="1342" spans="1:17" x14ac:dyDescent="0.25">
      <c r="A1342" s="2" t="str">
        <f>HYPERLINK("https://www.ncbi.nlm.nih.gov/pubmed/25395518","25395518")</f>
        <v>25395518</v>
      </c>
      <c r="B1342">
        <f t="shared" si="87"/>
        <v>1</v>
      </c>
      <c r="C1342">
        <f t="shared" si="87"/>
        <v>0</v>
      </c>
      <c r="D1342">
        <f t="shared" si="87"/>
        <v>0</v>
      </c>
      <c r="E1342">
        <f t="shared" si="85"/>
        <v>1</v>
      </c>
      <c r="F1342">
        <v>2014</v>
      </c>
      <c r="G1342" t="s">
        <v>3704</v>
      </c>
      <c r="H1342">
        <v>0</v>
      </c>
      <c r="I1342" s="65">
        <v>0</v>
      </c>
      <c r="J1342" t="s">
        <v>3706</v>
      </c>
      <c r="K1342" s="35" t="s">
        <v>3707</v>
      </c>
      <c r="L1342" s="35" t="s">
        <v>3705</v>
      </c>
      <c r="M1342" s="39" t="str">
        <f>HYPERLINK("http://dx.doi.org/10.1126/science.1259159","10.1126/science.1259159")</f>
        <v>10.1126/science.1259159</v>
      </c>
      <c r="N1342" s="40" t="s">
        <v>3708</v>
      </c>
      <c r="O1342" s="40" t="s">
        <v>3709</v>
      </c>
      <c r="P1342" s="40" t="s">
        <v>3710</v>
      </c>
      <c r="Q1342" t="s">
        <v>316</v>
      </c>
    </row>
    <row r="1343" spans="1:17" x14ac:dyDescent="0.25">
      <c r="A1343" s="2" t="str">
        <f>HYPERLINK("https://www.ncbi.nlm.nih.gov/pubmed/25315858","25315858")</f>
        <v>25315858</v>
      </c>
      <c r="B1343">
        <f t="shared" si="87"/>
        <v>1</v>
      </c>
      <c r="C1343">
        <f t="shared" si="87"/>
        <v>0</v>
      </c>
      <c r="D1343">
        <f t="shared" si="87"/>
        <v>0</v>
      </c>
      <c r="E1343">
        <f t="shared" si="85"/>
        <v>1</v>
      </c>
      <c r="F1343">
        <v>2015</v>
      </c>
      <c r="G1343" t="s">
        <v>3711</v>
      </c>
      <c r="H1343">
        <v>0</v>
      </c>
      <c r="I1343" s="65">
        <v>0</v>
      </c>
      <c r="J1343" t="s">
        <v>3712</v>
      </c>
      <c r="K1343" s="35" t="s">
        <v>2238</v>
      </c>
      <c r="L1343" s="35" t="s">
        <v>6957</v>
      </c>
      <c r="M1343" s="39" t="str">
        <f>HYPERLINK("http://dx.doi.org/10.1111/imb.12140","10.1111/imb.12140")</f>
        <v>10.1111/imb.12140</v>
      </c>
      <c r="N1343" s="40" t="s">
        <v>1188</v>
      </c>
      <c r="O1343" s="40" t="s">
        <v>638</v>
      </c>
      <c r="P1343" s="40" t="s">
        <v>3713</v>
      </c>
      <c r="Q1343" t="s">
        <v>316</v>
      </c>
    </row>
    <row r="1344" spans="1:17" x14ac:dyDescent="0.25">
      <c r="A1344" s="2" t="str">
        <f>HYPERLINK("https://www.ncbi.nlm.nih.gov/pubmed/25209419","25209419")</f>
        <v>25209419</v>
      </c>
      <c r="B1344">
        <f t="shared" ref="B1344:D1363" si="88">IF(ISBLANK(B$3),0,(LEN($L1344) - LEN(SUBSTITUTE(LOWER($L1344),LOWER(B$3),"")))/LEN(B$3))</f>
        <v>1</v>
      </c>
      <c r="C1344">
        <f t="shared" si="88"/>
        <v>0</v>
      </c>
      <c r="D1344">
        <f t="shared" si="88"/>
        <v>0</v>
      </c>
      <c r="E1344">
        <f t="shared" si="85"/>
        <v>1</v>
      </c>
      <c r="F1344">
        <v>2014</v>
      </c>
      <c r="G1344" t="s">
        <v>3746</v>
      </c>
      <c r="H1344">
        <v>0</v>
      </c>
      <c r="I1344" s="65">
        <v>0</v>
      </c>
      <c r="J1344" t="s">
        <v>3748</v>
      </c>
      <c r="K1344" s="35" t="s">
        <v>1058</v>
      </c>
      <c r="L1344" s="35" t="s">
        <v>3747</v>
      </c>
      <c r="M1344" s="39" t="str">
        <f>HYPERLINK("http://dx.doi.org/10.1021/es5025367","10.1021/es5025367")</f>
        <v>10.1021/es5025367</v>
      </c>
      <c r="N1344" s="40" t="s">
        <v>1450</v>
      </c>
      <c r="O1344" s="40" t="s">
        <v>1115</v>
      </c>
      <c r="P1344" s="40" t="s">
        <v>3749</v>
      </c>
      <c r="Q1344" t="s">
        <v>316</v>
      </c>
    </row>
    <row r="1345" spans="1:17" x14ac:dyDescent="0.25">
      <c r="A1345" s="2" t="str">
        <f>HYPERLINK("https://www.ncbi.nlm.nih.gov/pubmed/25195455","25195455")</f>
        <v>25195455</v>
      </c>
      <c r="B1345">
        <f t="shared" si="88"/>
        <v>1</v>
      </c>
      <c r="C1345">
        <f t="shared" si="88"/>
        <v>0</v>
      </c>
      <c r="D1345">
        <f t="shared" si="88"/>
        <v>0</v>
      </c>
      <c r="E1345">
        <f t="shared" si="85"/>
        <v>1</v>
      </c>
      <c r="F1345">
        <v>2014</v>
      </c>
      <c r="G1345" t="s">
        <v>3750</v>
      </c>
      <c r="H1345">
        <v>0</v>
      </c>
      <c r="I1345" s="65">
        <v>0</v>
      </c>
      <c r="J1345" t="s">
        <v>3752</v>
      </c>
      <c r="K1345" s="35" t="s">
        <v>909</v>
      </c>
      <c r="L1345" s="35" t="s">
        <v>3751</v>
      </c>
      <c r="M1345" s="39" t="str">
        <f>HYPERLINK("http://dx.doi.org/10.1603/ec13550","10.1603/ec13550")</f>
        <v>10.1603/ec13550</v>
      </c>
      <c r="N1345" s="40" t="s">
        <v>1990</v>
      </c>
      <c r="O1345" s="40" t="s">
        <v>690</v>
      </c>
      <c r="P1345" s="40" t="s">
        <v>3753</v>
      </c>
      <c r="Q1345" t="s">
        <v>316</v>
      </c>
    </row>
    <row r="1346" spans="1:17" x14ac:dyDescent="0.25">
      <c r="A1346" s="2" t="str">
        <f>HYPERLINK("https://www.ncbi.nlm.nih.gov/pubmed/25155752","25155752")</f>
        <v>25155752</v>
      </c>
      <c r="B1346">
        <f t="shared" si="88"/>
        <v>1</v>
      </c>
      <c r="C1346">
        <f t="shared" si="88"/>
        <v>0</v>
      </c>
      <c r="D1346">
        <f t="shared" si="88"/>
        <v>0</v>
      </c>
      <c r="E1346">
        <f t="shared" si="85"/>
        <v>1</v>
      </c>
      <c r="F1346">
        <v>2014</v>
      </c>
      <c r="G1346" t="s">
        <v>3763</v>
      </c>
      <c r="H1346">
        <v>0</v>
      </c>
      <c r="I1346" s="64" t="str">
        <f>HYPERLINK("https://www.ncbi.nlm.nih.gov/research/pubtator/?view=docsum&amp;query=PMC4143795","1")</f>
        <v>1</v>
      </c>
      <c r="J1346" t="s">
        <v>3765</v>
      </c>
      <c r="K1346" s="35" t="s">
        <v>747</v>
      </c>
      <c r="L1346" s="35" t="s">
        <v>3764</v>
      </c>
      <c r="M1346" s="39" t="str">
        <f>HYPERLINK("http://dx.doi.org/10.1038/srep06190","10.1038/srep06190")</f>
        <v>10.1038/srep06190</v>
      </c>
      <c r="N1346" s="40" t="s">
        <v>690</v>
      </c>
      <c r="O1346" s="40" t="s">
        <v>383</v>
      </c>
      <c r="P1346" s="40" t="s">
        <v>3766</v>
      </c>
      <c r="Q1346" t="s">
        <v>316</v>
      </c>
    </row>
    <row r="1347" spans="1:17" x14ac:dyDescent="0.25">
      <c r="A1347" s="2" t="str">
        <f>HYPERLINK("https://www.ncbi.nlm.nih.gov/pubmed/25116606","25116606")</f>
        <v>25116606</v>
      </c>
      <c r="B1347">
        <f t="shared" si="88"/>
        <v>1</v>
      </c>
      <c r="C1347">
        <f t="shared" si="88"/>
        <v>0</v>
      </c>
      <c r="D1347">
        <f t="shared" si="88"/>
        <v>0</v>
      </c>
      <c r="E1347">
        <f t="shared" si="85"/>
        <v>1</v>
      </c>
      <c r="F1347">
        <v>2014</v>
      </c>
      <c r="G1347" t="s">
        <v>3786</v>
      </c>
      <c r="H1347">
        <v>0</v>
      </c>
      <c r="I1347" s="65">
        <v>0</v>
      </c>
      <c r="J1347" t="s">
        <v>3788</v>
      </c>
      <c r="K1347" s="35" t="s">
        <v>3789</v>
      </c>
      <c r="L1347" s="35" t="s">
        <v>3787</v>
      </c>
      <c r="M1347" s="39" t="str">
        <f>HYPERLINK("http://dx.doi.org/10.1039/c4cc04904g","10.1039/c4cc04904g")</f>
        <v>10.1039/c4cc04904g</v>
      </c>
      <c r="N1347" s="40" t="s">
        <v>743</v>
      </c>
      <c r="O1347" s="40" t="s">
        <v>1074</v>
      </c>
      <c r="P1347" s="40" t="s">
        <v>3790</v>
      </c>
      <c r="Q1347" t="s">
        <v>316</v>
      </c>
    </row>
    <row r="1348" spans="1:17" x14ac:dyDescent="0.25">
      <c r="A1348" s="2" t="str">
        <f>HYPERLINK("https://www.ncbi.nlm.nih.gov/pubmed/28962261","28962261")</f>
        <v>28962261</v>
      </c>
      <c r="B1348">
        <f t="shared" si="88"/>
        <v>1</v>
      </c>
      <c r="C1348">
        <f t="shared" si="88"/>
        <v>0</v>
      </c>
      <c r="D1348">
        <f t="shared" si="88"/>
        <v>0</v>
      </c>
      <c r="E1348">
        <f t="shared" ref="E1348:E1411" si="89">SUM(B1348:D1348)</f>
        <v>1</v>
      </c>
      <c r="F1348">
        <v>2014</v>
      </c>
      <c r="G1348" t="s">
        <v>3810</v>
      </c>
      <c r="H1348">
        <v>0</v>
      </c>
      <c r="I1348" s="64" t="str">
        <f>HYPERLINK("https://www.ncbi.nlm.nih.gov/research/pubtator/?view=docsum&amp;query=PMC5598529","1")</f>
        <v>1</v>
      </c>
      <c r="J1348" t="s">
        <v>3812</v>
      </c>
      <c r="K1348" s="35" t="s">
        <v>2448</v>
      </c>
      <c r="L1348" s="35" t="s">
        <v>3811</v>
      </c>
      <c r="M1348" s="39" t="str">
        <f>HYPERLINK("http://dx.doi.org/10.1016/j.toxrep.2014.07.008","10.1016/j.toxrep.2014.07.008")</f>
        <v>10.1016/j.toxrep.2014.07.008</v>
      </c>
      <c r="N1348" s="40" t="s">
        <v>638</v>
      </c>
      <c r="O1348" s="40" t="s">
        <v>383</v>
      </c>
      <c r="P1348" s="40" t="s">
        <v>3813</v>
      </c>
      <c r="Q1348" t="s">
        <v>316</v>
      </c>
    </row>
    <row r="1349" spans="1:17" x14ac:dyDescent="0.25">
      <c r="A1349" s="2" t="str">
        <f>HYPERLINK("https://www.ncbi.nlm.nih.gov/pubmed/25054487","25054487")</f>
        <v>25054487</v>
      </c>
      <c r="B1349">
        <f t="shared" si="88"/>
        <v>1</v>
      </c>
      <c r="C1349">
        <f t="shared" si="88"/>
        <v>0</v>
      </c>
      <c r="D1349">
        <f t="shared" si="88"/>
        <v>0</v>
      </c>
      <c r="E1349">
        <f t="shared" si="89"/>
        <v>1</v>
      </c>
      <c r="F1349">
        <v>2014</v>
      </c>
      <c r="G1349" t="s">
        <v>3814</v>
      </c>
      <c r="H1349">
        <v>1</v>
      </c>
      <c r="I1349" s="65">
        <v>0</v>
      </c>
      <c r="J1349" t="s">
        <v>3816</v>
      </c>
      <c r="K1349" s="35" t="s">
        <v>1008</v>
      </c>
      <c r="L1349" s="35" t="s">
        <v>3815</v>
      </c>
      <c r="M1349" s="39" t="str">
        <f>HYPERLINK("http://dx.doi.org/10.1590/s1984-29612014044","10.1590/s1984-29612014044")</f>
        <v>10.1590/s1984-29612014044</v>
      </c>
      <c r="N1349" s="40" t="s">
        <v>737</v>
      </c>
      <c r="O1349" s="40" t="s">
        <v>744</v>
      </c>
      <c r="P1349" s="40" t="s">
        <v>3817</v>
      </c>
      <c r="Q1349" t="s">
        <v>316</v>
      </c>
    </row>
    <row r="1350" spans="1:17" x14ac:dyDescent="0.25">
      <c r="A1350" s="2" t="str">
        <f>HYPERLINK("https://www.ncbi.nlm.nih.gov/pubmed/24724293","24724293")</f>
        <v>24724293</v>
      </c>
      <c r="B1350">
        <f t="shared" si="88"/>
        <v>1</v>
      </c>
      <c r="C1350">
        <f t="shared" si="88"/>
        <v>0</v>
      </c>
      <c r="D1350">
        <f t="shared" si="88"/>
        <v>0</v>
      </c>
      <c r="E1350">
        <f t="shared" si="89"/>
        <v>1</v>
      </c>
      <c r="F1350">
        <v>2014</v>
      </c>
      <c r="G1350" t="s">
        <v>3870</v>
      </c>
      <c r="H1350">
        <v>0</v>
      </c>
      <c r="I1350" s="65">
        <v>0</v>
      </c>
      <c r="J1350" t="s">
        <v>3872</v>
      </c>
      <c r="K1350" s="35" t="s">
        <v>1027</v>
      </c>
      <c r="L1350" s="35" t="s">
        <v>3871</v>
      </c>
      <c r="M1350" s="39" t="str">
        <f>HYPERLINK("http://dx.doi.org/10.1603/me13207","10.1603/me13207")</f>
        <v>10.1603/me13207</v>
      </c>
      <c r="N1350" s="40" t="s">
        <v>1780</v>
      </c>
      <c r="O1350" s="40" t="s">
        <v>744</v>
      </c>
      <c r="P1350" s="40" t="s">
        <v>3873</v>
      </c>
      <c r="Q1350" t="s">
        <v>316</v>
      </c>
    </row>
    <row r="1351" spans="1:17" x14ac:dyDescent="0.25">
      <c r="A1351" s="2" t="str">
        <f>HYPERLINK("https://www.ncbi.nlm.nih.gov/pubmed/24665704","24665704")</f>
        <v>24665704</v>
      </c>
      <c r="B1351">
        <f t="shared" si="88"/>
        <v>1</v>
      </c>
      <c r="C1351">
        <f t="shared" si="88"/>
        <v>0</v>
      </c>
      <c r="D1351">
        <f t="shared" si="88"/>
        <v>0</v>
      </c>
      <c r="E1351">
        <f t="shared" si="89"/>
        <v>1</v>
      </c>
      <c r="F1351">
        <v>2014</v>
      </c>
      <c r="G1351" t="s">
        <v>3931</v>
      </c>
      <c r="H1351">
        <v>0</v>
      </c>
      <c r="I1351" s="65">
        <v>0</v>
      </c>
      <c r="J1351" t="s">
        <v>3933</v>
      </c>
      <c r="K1351" s="35" t="s">
        <v>909</v>
      </c>
      <c r="L1351" s="35" t="s">
        <v>3932</v>
      </c>
      <c r="M1351" s="39" t="str">
        <f>HYPERLINK("http://dx.doi.org/10.1603/ec13255","10.1603/ec13255")</f>
        <v>10.1603/ec13255</v>
      </c>
      <c r="N1351" s="40" t="s">
        <v>1990</v>
      </c>
      <c r="O1351" s="40" t="s">
        <v>638</v>
      </c>
      <c r="P1351" s="40" t="s">
        <v>3934</v>
      </c>
      <c r="Q1351" t="s">
        <v>316</v>
      </c>
    </row>
    <row r="1352" spans="1:17" x14ac:dyDescent="0.25">
      <c r="A1352" s="2" t="str">
        <f>HYPERLINK("https://www.ncbi.nlm.nih.gov/pubmed/24649911","24649911")</f>
        <v>24649911</v>
      </c>
      <c r="B1352">
        <f t="shared" si="88"/>
        <v>1</v>
      </c>
      <c r="C1352">
        <f t="shared" si="88"/>
        <v>0</v>
      </c>
      <c r="D1352">
        <f t="shared" si="88"/>
        <v>0</v>
      </c>
      <c r="E1352">
        <f t="shared" si="89"/>
        <v>1</v>
      </c>
      <c r="F1352">
        <v>2014</v>
      </c>
      <c r="G1352" t="s">
        <v>3943</v>
      </c>
      <c r="H1352">
        <v>0</v>
      </c>
      <c r="I1352" s="65">
        <v>0</v>
      </c>
      <c r="J1352" t="s">
        <v>3944</v>
      </c>
      <c r="K1352" s="35" t="s">
        <v>818</v>
      </c>
      <c r="L1352" s="35" t="s">
        <v>6992</v>
      </c>
      <c r="M1352" s="39" t="str">
        <f>HYPERLINK("http://dx.doi.org/10.1111/jvp.12121","10.1111/jvp.12121")</f>
        <v>10.1111/jvp.12121</v>
      </c>
      <c r="N1352" s="40" t="s">
        <v>1869</v>
      </c>
      <c r="O1352" s="40" t="s">
        <v>746</v>
      </c>
      <c r="P1352" s="40" t="s">
        <v>3945</v>
      </c>
      <c r="Q1352" t="s">
        <v>316</v>
      </c>
    </row>
    <row r="1353" spans="1:17" x14ac:dyDescent="0.25">
      <c r="A1353" s="2" t="str">
        <f>HYPERLINK("https://www.ncbi.nlm.nih.gov/pubmed/24560364","24560364")</f>
        <v>24560364</v>
      </c>
      <c r="B1353">
        <f t="shared" si="88"/>
        <v>1</v>
      </c>
      <c r="C1353">
        <f t="shared" si="88"/>
        <v>0</v>
      </c>
      <c r="D1353">
        <f t="shared" si="88"/>
        <v>0</v>
      </c>
      <c r="E1353">
        <f t="shared" si="89"/>
        <v>1</v>
      </c>
      <c r="F1353">
        <v>2014</v>
      </c>
      <c r="G1353" t="s">
        <v>3965</v>
      </c>
      <c r="H1353">
        <v>0</v>
      </c>
      <c r="I1353" s="65">
        <v>0</v>
      </c>
      <c r="J1353" t="s">
        <v>3966</v>
      </c>
      <c r="K1353" s="35" t="s">
        <v>1052</v>
      </c>
      <c r="L1353" s="35" t="s">
        <v>6994</v>
      </c>
      <c r="M1353" s="39" t="str">
        <f>HYPERLINK("http://dx.doi.org/10.1016/j.vetpar.2014.01.012","10.1016/j.vetpar.2014.01.012")</f>
        <v>10.1016/j.vetpar.2014.01.012</v>
      </c>
      <c r="N1353" s="40" t="s">
        <v>3967</v>
      </c>
      <c r="O1353" s="40" t="s">
        <v>3531</v>
      </c>
      <c r="P1353" s="40" t="s">
        <v>3968</v>
      </c>
      <c r="Q1353" t="s">
        <v>316</v>
      </c>
    </row>
    <row r="1354" spans="1:17" x14ac:dyDescent="0.25">
      <c r="A1354" s="2" t="str">
        <f>HYPERLINK("https://www.ncbi.nlm.nih.gov/pubmed/24464854","24464854")</f>
        <v>24464854</v>
      </c>
      <c r="B1354">
        <f t="shared" si="88"/>
        <v>1</v>
      </c>
      <c r="C1354">
        <f t="shared" si="88"/>
        <v>0</v>
      </c>
      <c r="D1354">
        <f t="shared" si="88"/>
        <v>0</v>
      </c>
      <c r="E1354">
        <f t="shared" si="89"/>
        <v>1</v>
      </c>
      <c r="F1354">
        <v>2014</v>
      </c>
      <c r="G1354" t="s">
        <v>3987</v>
      </c>
      <c r="H1354">
        <v>0</v>
      </c>
      <c r="I1354" s="65">
        <v>0</v>
      </c>
      <c r="J1354" t="s">
        <v>3989</v>
      </c>
      <c r="K1354" s="35" t="s">
        <v>968</v>
      </c>
      <c r="L1354" s="35" t="s">
        <v>3988</v>
      </c>
      <c r="M1354" s="39" t="str">
        <f>HYPERLINK("http://dx.doi.org/10.1002/ps.3741","10.1002/ps.3741")</f>
        <v>10.1002/ps.3741</v>
      </c>
      <c r="N1354" s="40" t="s">
        <v>2957</v>
      </c>
      <c r="O1354" s="40" t="s">
        <v>915</v>
      </c>
      <c r="P1354" s="40" t="s">
        <v>3990</v>
      </c>
      <c r="Q1354" t="s">
        <v>316</v>
      </c>
    </row>
    <row r="1355" spans="1:17" x14ac:dyDescent="0.25">
      <c r="A1355" s="2" t="str">
        <f>HYPERLINK("https://www.ncbi.nlm.nih.gov/pubmed/24404981","24404981")</f>
        <v>24404981</v>
      </c>
      <c r="B1355">
        <f t="shared" si="88"/>
        <v>1</v>
      </c>
      <c r="C1355">
        <f t="shared" si="88"/>
        <v>0</v>
      </c>
      <c r="D1355">
        <f t="shared" si="88"/>
        <v>0</v>
      </c>
      <c r="E1355">
        <f t="shared" si="89"/>
        <v>1</v>
      </c>
      <c r="F1355">
        <v>2014</v>
      </c>
      <c r="G1355" t="s">
        <v>3995</v>
      </c>
      <c r="H1355">
        <v>0</v>
      </c>
      <c r="I1355" s="65">
        <v>0</v>
      </c>
      <c r="J1355" t="s">
        <v>3997</v>
      </c>
      <c r="K1355" s="35" t="s">
        <v>770</v>
      </c>
      <c r="L1355" s="35" t="s">
        <v>3996</v>
      </c>
      <c r="M1355" s="39" t="str">
        <f>HYPERLINK("http://dx.doi.org/10.1021/jf4050809","10.1021/jf4050809")</f>
        <v>10.1021/jf4050809</v>
      </c>
      <c r="N1355" s="40" t="s">
        <v>2372</v>
      </c>
      <c r="O1355" s="40" t="s">
        <v>746</v>
      </c>
      <c r="P1355" s="40" t="s">
        <v>3998</v>
      </c>
      <c r="Q1355" t="s">
        <v>316</v>
      </c>
    </row>
    <row r="1356" spans="1:17" x14ac:dyDescent="0.25">
      <c r="A1356" s="2" t="str">
        <f>HYPERLINK("https://www.ncbi.nlm.nih.gov/pubmed/24364441","24364441")</f>
        <v>24364441</v>
      </c>
      <c r="B1356">
        <f t="shared" si="88"/>
        <v>1</v>
      </c>
      <c r="C1356">
        <f t="shared" si="88"/>
        <v>0</v>
      </c>
      <c r="D1356">
        <f t="shared" si="88"/>
        <v>0</v>
      </c>
      <c r="E1356">
        <f t="shared" si="89"/>
        <v>1</v>
      </c>
      <c r="F1356">
        <v>2013</v>
      </c>
      <c r="G1356" t="s">
        <v>4024</v>
      </c>
      <c r="H1356">
        <v>0</v>
      </c>
      <c r="I1356" s="65">
        <v>0</v>
      </c>
      <c r="J1356" t="s">
        <v>4025</v>
      </c>
      <c r="K1356" s="35" t="s">
        <v>4026</v>
      </c>
      <c r="L1356" s="35" t="s">
        <v>7000</v>
      </c>
      <c r="M1356" s="39" t="str">
        <f>HYPERLINK("http://dx.doi.org/","")</f>
        <v/>
      </c>
      <c r="N1356" s="40" t="s">
        <v>1109</v>
      </c>
      <c r="O1356" s="40" t="s">
        <v>690</v>
      </c>
      <c r="P1356" s="40" t="s">
        <v>4027</v>
      </c>
      <c r="Q1356" t="s">
        <v>316</v>
      </c>
    </row>
    <row r="1357" spans="1:17" x14ac:dyDescent="0.25">
      <c r="A1357" s="2" t="str">
        <f>HYPERLINK("https://www.ncbi.nlm.nih.gov/pubmed/24334007","24334007")</f>
        <v>24334007</v>
      </c>
      <c r="B1357">
        <f t="shared" si="88"/>
        <v>1</v>
      </c>
      <c r="C1357">
        <f t="shared" si="88"/>
        <v>4</v>
      </c>
      <c r="D1357">
        <f t="shared" si="88"/>
        <v>0</v>
      </c>
      <c r="E1357">
        <f t="shared" si="89"/>
        <v>5</v>
      </c>
      <c r="F1357">
        <v>2014</v>
      </c>
      <c r="G1357" t="s">
        <v>4041</v>
      </c>
      <c r="H1357">
        <v>0</v>
      </c>
      <c r="I1357" s="65">
        <v>0</v>
      </c>
      <c r="J1357" t="s">
        <v>4042</v>
      </c>
      <c r="K1357" s="35" t="s">
        <v>763</v>
      </c>
      <c r="L1357" s="35" t="s">
        <v>7001</v>
      </c>
      <c r="M1357" s="39" t="str">
        <f>HYPERLINK("http://dx.doi.org/10.1016/j.aquatox.2013.11.001","10.1016/j.aquatox.2013.11.001")</f>
        <v>10.1016/j.aquatox.2013.11.001</v>
      </c>
      <c r="N1357" s="40" t="s">
        <v>891</v>
      </c>
      <c r="O1357" s="40" t="s">
        <v>383</v>
      </c>
      <c r="P1357" s="40" t="s">
        <v>4043</v>
      </c>
      <c r="Q1357" t="s">
        <v>316</v>
      </c>
    </row>
    <row r="1358" spans="1:17" x14ac:dyDescent="0.25">
      <c r="A1358" s="2" t="str">
        <f>HYPERLINK("https://www.ncbi.nlm.nih.gov/pubmed/24325902","24325902")</f>
        <v>24325902</v>
      </c>
      <c r="B1358">
        <f t="shared" si="88"/>
        <v>1</v>
      </c>
      <c r="C1358">
        <f t="shared" si="88"/>
        <v>0</v>
      </c>
      <c r="D1358">
        <f t="shared" si="88"/>
        <v>0</v>
      </c>
      <c r="E1358">
        <f t="shared" si="89"/>
        <v>1</v>
      </c>
      <c r="F1358">
        <v>2014</v>
      </c>
      <c r="G1358" t="s">
        <v>4048</v>
      </c>
      <c r="H1358">
        <v>0</v>
      </c>
      <c r="I1358" s="65">
        <v>0</v>
      </c>
      <c r="J1358" t="s">
        <v>4049</v>
      </c>
      <c r="K1358" s="35" t="s">
        <v>937</v>
      </c>
      <c r="L1358" s="35" t="s">
        <v>7002</v>
      </c>
      <c r="M1358" s="39" t="str">
        <f>HYPERLINK("http://dx.doi.org/10.1016/j.neuro.2013.11.008","10.1016/j.neuro.2013.11.008")</f>
        <v>10.1016/j.neuro.2013.11.008</v>
      </c>
      <c r="N1358" s="40" t="s">
        <v>1494</v>
      </c>
      <c r="O1358" s="40" t="s">
        <v>383</v>
      </c>
      <c r="P1358" s="40" t="s">
        <v>4050</v>
      </c>
      <c r="Q1358" t="s">
        <v>316</v>
      </c>
    </row>
    <row r="1359" spans="1:17" x14ac:dyDescent="0.25">
      <c r="A1359" s="2" t="str">
        <f>HYPERLINK("https://www.ncbi.nlm.nih.gov/pubmed/24143241","24143241")</f>
        <v>24143241</v>
      </c>
      <c r="B1359">
        <f t="shared" si="88"/>
        <v>1</v>
      </c>
      <c r="C1359">
        <f t="shared" si="88"/>
        <v>0</v>
      </c>
      <c r="D1359">
        <f t="shared" si="88"/>
        <v>0</v>
      </c>
      <c r="E1359">
        <f t="shared" si="89"/>
        <v>1</v>
      </c>
      <c r="F1359">
        <v>2013</v>
      </c>
      <c r="G1359" t="s">
        <v>4075</v>
      </c>
      <c r="H1359">
        <v>0</v>
      </c>
      <c r="I1359" s="64" t="str">
        <f>HYPERLINK("https://www.ncbi.nlm.nih.gov/research/pubtator/?view=docsum&amp;query=PMC3797043","1")</f>
        <v>1</v>
      </c>
      <c r="J1359" t="s">
        <v>4076</v>
      </c>
      <c r="K1359" s="35" t="s">
        <v>779</v>
      </c>
      <c r="L1359" s="35" t="s">
        <v>7006</v>
      </c>
      <c r="M1359" s="39" t="str">
        <f>HYPERLINK("http://dx.doi.org/10.1371/journal.pone.0077550","10.1371/journal.pone.0077550")</f>
        <v>10.1371/journal.pone.0077550</v>
      </c>
      <c r="N1359" s="40" t="s">
        <v>781</v>
      </c>
      <c r="O1359" s="40" t="s">
        <v>802</v>
      </c>
      <c r="P1359" s="40" t="s">
        <v>4077</v>
      </c>
      <c r="Q1359" t="s">
        <v>316</v>
      </c>
    </row>
    <row r="1360" spans="1:17" x14ac:dyDescent="0.25">
      <c r="A1360" s="2" t="str">
        <f>HYPERLINK("https://www.ncbi.nlm.nih.gov/pubmed/24036955","24036955")</f>
        <v>24036955</v>
      </c>
      <c r="B1360">
        <f t="shared" si="88"/>
        <v>1</v>
      </c>
      <c r="C1360">
        <f t="shared" si="88"/>
        <v>0</v>
      </c>
      <c r="D1360">
        <f t="shared" si="88"/>
        <v>0</v>
      </c>
      <c r="E1360">
        <f t="shared" si="89"/>
        <v>1</v>
      </c>
      <c r="F1360">
        <v>2013</v>
      </c>
      <c r="G1360" t="s">
        <v>4085</v>
      </c>
      <c r="H1360">
        <v>1</v>
      </c>
      <c r="I1360" s="65">
        <v>0</v>
      </c>
      <c r="J1360" t="s">
        <v>4087</v>
      </c>
      <c r="K1360" s="35" t="s">
        <v>4088</v>
      </c>
      <c r="L1360" s="35" t="s">
        <v>4086</v>
      </c>
      <c r="M1360" s="39" t="str">
        <f>HYPERLINK("http://dx.doi.org/10.1007/s10565-013-9259-9","10.1007/s10565-013-9259-9")</f>
        <v>10.1007/s10565-013-9259-9</v>
      </c>
      <c r="N1360" s="40" t="s">
        <v>858</v>
      </c>
      <c r="O1360" s="40" t="s">
        <v>741</v>
      </c>
      <c r="P1360" s="40" t="s">
        <v>4089</v>
      </c>
      <c r="Q1360" t="s">
        <v>316</v>
      </c>
    </row>
    <row r="1361" spans="1:17" x14ac:dyDescent="0.25">
      <c r="A1361" s="2" t="str">
        <f>HYPERLINK("https://www.ncbi.nlm.nih.gov/pubmed/23894355","23894355")</f>
        <v>23894355</v>
      </c>
      <c r="B1361">
        <f t="shared" si="88"/>
        <v>1</v>
      </c>
      <c r="C1361">
        <f t="shared" si="88"/>
        <v>0</v>
      </c>
      <c r="D1361">
        <f t="shared" si="88"/>
        <v>0</v>
      </c>
      <c r="E1361">
        <f t="shared" si="89"/>
        <v>1</v>
      </c>
      <c r="F1361">
        <v>2013</v>
      </c>
      <c r="G1361" t="s">
        <v>4123</v>
      </c>
      <c r="H1361">
        <v>0</v>
      </c>
      <c r="I1361" s="64" t="str">
        <f>HYPERLINK("https://www.ncbi.nlm.nih.gov/research/pubtator/?view=docsum&amp;query=PMC3716819","1")</f>
        <v>1</v>
      </c>
      <c r="J1361" t="s">
        <v>4124</v>
      </c>
      <c r="K1361" s="35" t="s">
        <v>779</v>
      </c>
      <c r="L1361" s="35" t="s">
        <v>7010</v>
      </c>
      <c r="M1361" s="39" t="str">
        <f>HYPERLINK("http://dx.doi.org/10.1371/journal.pone.0068852","10.1371/journal.pone.0068852")</f>
        <v>10.1371/journal.pone.0068852</v>
      </c>
      <c r="N1361" s="40" t="s">
        <v>781</v>
      </c>
      <c r="O1361" s="40" t="s">
        <v>748</v>
      </c>
      <c r="P1361" s="40" t="s">
        <v>4125</v>
      </c>
      <c r="Q1361" t="s">
        <v>316</v>
      </c>
    </row>
    <row r="1362" spans="1:17" x14ac:dyDescent="0.25">
      <c r="A1362" s="2" t="str">
        <f>HYPERLINK("https://www.ncbi.nlm.nih.gov/pubmed/23865210","23865210")</f>
        <v>23865210</v>
      </c>
      <c r="B1362">
        <f t="shared" si="88"/>
        <v>1</v>
      </c>
      <c r="C1362">
        <f t="shared" si="88"/>
        <v>2</v>
      </c>
      <c r="D1362">
        <f t="shared" si="88"/>
        <v>0</v>
      </c>
      <c r="E1362">
        <f t="shared" si="89"/>
        <v>3</v>
      </c>
      <c r="F1362">
        <v>2013</v>
      </c>
      <c r="G1362" t="s">
        <v>4131</v>
      </c>
      <c r="H1362">
        <v>0</v>
      </c>
      <c r="I1362" s="65">
        <v>0</v>
      </c>
      <c r="J1362" t="s">
        <v>4132</v>
      </c>
      <c r="K1362" s="35" t="s">
        <v>909</v>
      </c>
      <c r="L1362" s="35" t="s">
        <v>7011</v>
      </c>
      <c r="M1362" s="39" t="str">
        <f>HYPERLINK("http://dx.doi.org/10.1603/ec12494","10.1603/ec12494")</f>
        <v>10.1603/ec12494</v>
      </c>
      <c r="N1362" s="40" t="s">
        <v>3978</v>
      </c>
      <c r="O1362" s="40" t="s">
        <v>750</v>
      </c>
      <c r="P1362" s="40" t="s">
        <v>4133</v>
      </c>
      <c r="Q1362" t="s">
        <v>316</v>
      </c>
    </row>
    <row r="1363" spans="1:17" x14ac:dyDescent="0.25">
      <c r="A1363" s="2" t="str">
        <f>HYPERLINK("https://www.ncbi.nlm.nih.gov/pubmed/23837716","23837716")</f>
        <v>23837716</v>
      </c>
      <c r="B1363">
        <f t="shared" si="88"/>
        <v>1</v>
      </c>
      <c r="C1363">
        <f t="shared" si="88"/>
        <v>0</v>
      </c>
      <c r="D1363">
        <f t="shared" si="88"/>
        <v>0</v>
      </c>
      <c r="E1363">
        <f t="shared" si="89"/>
        <v>1</v>
      </c>
      <c r="F1363">
        <v>2013</v>
      </c>
      <c r="G1363" t="s">
        <v>4134</v>
      </c>
      <c r="H1363">
        <v>0</v>
      </c>
      <c r="I1363" s="64" t="str">
        <f>HYPERLINK("https://www.ncbi.nlm.nih.gov/research/pubtator/?view=docsum&amp;query=PMC3711893","1")</f>
        <v>1</v>
      </c>
      <c r="J1363" t="s">
        <v>4135</v>
      </c>
      <c r="K1363" s="35" t="s">
        <v>4136</v>
      </c>
      <c r="L1363" s="35" t="s">
        <v>7012</v>
      </c>
      <c r="M1363" s="39" t="str">
        <f>HYPERLINK("http://dx.doi.org/10.1186/1471-2164-14-464","10.1186/1471-2164-14-464")</f>
        <v>10.1186/1471-2164-14-464</v>
      </c>
      <c r="N1363" s="40" t="s">
        <v>871</v>
      </c>
      <c r="O1363" s="40" t="s">
        <v>383</v>
      </c>
      <c r="P1363" s="40" t="s">
        <v>4137</v>
      </c>
      <c r="Q1363" t="s">
        <v>316</v>
      </c>
    </row>
    <row r="1364" spans="1:17" x14ac:dyDescent="0.25">
      <c r="A1364" s="2" t="str">
        <f>HYPERLINK("https://www.ncbi.nlm.nih.gov/pubmed/23728289","23728289")</f>
        <v>23728289</v>
      </c>
      <c r="B1364">
        <f t="shared" ref="B1364:D1383" si="90">IF(ISBLANK(B$3),0,(LEN($L1364) - LEN(SUBSTITUTE(LOWER($L1364),LOWER(B$3),"")))/LEN(B$3))</f>
        <v>1</v>
      </c>
      <c r="C1364">
        <f t="shared" si="90"/>
        <v>1</v>
      </c>
      <c r="D1364">
        <f t="shared" si="90"/>
        <v>0</v>
      </c>
      <c r="E1364">
        <f t="shared" si="89"/>
        <v>2</v>
      </c>
      <c r="F1364">
        <v>2013</v>
      </c>
      <c r="G1364" t="s">
        <v>4155</v>
      </c>
      <c r="H1364">
        <v>0</v>
      </c>
      <c r="I1364" s="65">
        <v>0</v>
      </c>
      <c r="J1364" t="s">
        <v>4156</v>
      </c>
      <c r="K1364" s="35" t="s">
        <v>3164</v>
      </c>
      <c r="L1364" s="35" t="s">
        <v>7016</v>
      </c>
      <c r="M1364" s="39" t="str">
        <f>HYPERLINK("http://dx.doi.org/10.1007/s00128-013-1012-9","10.1007/s00128-013-1012-9")</f>
        <v>10.1007/s00128-013-1012-9</v>
      </c>
      <c r="N1364" s="40" t="s">
        <v>2216</v>
      </c>
      <c r="O1364" s="40" t="s">
        <v>638</v>
      </c>
      <c r="P1364" s="40" t="s">
        <v>4157</v>
      </c>
      <c r="Q1364" t="s">
        <v>316</v>
      </c>
    </row>
    <row r="1365" spans="1:17" x14ac:dyDescent="0.25">
      <c r="A1365" s="2" t="str">
        <f>HYPERLINK("https://www.ncbi.nlm.nih.gov/pubmed/23538503","23538503")</f>
        <v>23538503</v>
      </c>
      <c r="B1365">
        <f t="shared" si="90"/>
        <v>1</v>
      </c>
      <c r="C1365">
        <f t="shared" si="90"/>
        <v>0</v>
      </c>
      <c r="D1365">
        <f t="shared" si="90"/>
        <v>0</v>
      </c>
      <c r="E1365">
        <f t="shared" si="89"/>
        <v>1</v>
      </c>
      <c r="F1365">
        <v>2013</v>
      </c>
      <c r="G1365" t="s">
        <v>4197</v>
      </c>
      <c r="H1365">
        <v>0</v>
      </c>
      <c r="I1365" s="65">
        <v>0</v>
      </c>
      <c r="J1365" t="s">
        <v>4199</v>
      </c>
      <c r="K1365" s="35" t="s">
        <v>1008</v>
      </c>
      <c r="L1365" s="35" t="s">
        <v>4198</v>
      </c>
      <c r="M1365" s="39" t="str">
        <f>HYPERLINK("http://dx.doi.org/10.1590/s1984-29612013005000006","10.1590/s1984-29612013005000006")</f>
        <v>10.1590/s1984-29612013005000006</v>
      </c>
      <c r="N1365" s="40" t="s">
        <v>1092</v>
      </c>
      <c r="O1365" s="40" t="s">
        <v>638</v>
      </c>
      <c r="P1365" s="40" t="s">
        <v>4200</v>
      </c>
      <c r="Q1365" t="s">
        <v>316</v>
      </c>
    </row>
    <row r="1366" spans="1:17" x14ac:dyDescent="0.25">
      <c r="A1366" s="2" t="str">
        <f>HYPERLINK("https://www.ncbi.nlm.nih.gov/pubmed/23510263","23510263")</f>
        <v>23510263</v>
      </c>
      <c r="B1366">
        <f t="shared" si="90"/>
        <v>1</v>
      </c>
      <c r="C1366">
        <f t="shared" si="90"/>
        <v>0</v>
      </c>
      <c r="D1366">
        <f t="shared" si="90"/>
        <v>0</v>
      </c>
      <c r="E1366">
        <f t="shared" si="89"/>
        <v>1</v>
      </c>
      <c r="F1366">
        <v>2013</v>
      </c>
      <c r="G1366" t="s">
        <v>4201</v>
      </c>
      <c r="H1366">
        <v>0</v>
      </c>
      <c r="I1366" s="64" t="str">
        <f>HYPERLINK("https://www.ncbi.nlm.nih.gov/research/pubtator/?view=docsum&amp;query=PMC3621693","1")</f>
        <v>1</v>
      </c>
      <c r="J1366" t="s">
        <v>4202</v>
      </c>
      <c r="K1366" s="35" t="s">
        <v>870</v>
      </c>
      <c r="L1366" s="35" t="s">
        <v>7022</v>
      </c>
      <c r="M1366" s="39" t="str">
        <f>HYPERLINK("http://dx.doi.org/10.1186/1756-3305-6-76","10.1186/1756-3305-6-76")</f>
        <v>10.1186/1756-3305-6-76</v>
      </c>
      <c r="N1366" s="40" t="s">
        <v>741</v>
      </c>
      <c r="O1366" s="40" t="s">
        <v>383</v>
      </c>
      <c r="P1366" s="40" t="s">
        <v>1485</v>
      </c>
      <c r="Q1366" t="s">
        <v>316</v>
      </c>
    </row>
    <row r="1367" spans="1:17" x14ac:dyDescent="0.25">
      <c r="A1367" s="2" t="str">
        <f>HYPERLINK("https://www.ncbi.nlm.nih.gov/pubmed/23500396","23500396")</f>
        <v>23500396</v>
      </c>
      <c r="B1367">
        <f t="shared" si="90"/>
        <v>1</v>
      </c>
      <c r="C1367">
        <f t="shared" si="90"/>
        <v>0</v>
      </c>
      <c r="D1367">
        <f t="shared" si="90"/>
        <v>0</v>
      </c>
      <c r="E1367">
        <f t="shared" si="89"/>
        <v>1</v>
      </c>
      <c r="F1367">
        <v>2013</v>
      </c>
      <c r="G1367" t="s">
        <v>4203</v>
      </c>
      <c r="H1367">
        <v>0</v>
      </c>
      <c r="I1367" s="65">
        <v>0</v>
      </c>
      <c r="J1367" t="s">
        <v>4204</v>
      </c>
      <c r="K1367" s="35" t="s">
        <v>670</v>
      </c>
      <c r="L1367" s="35" t="s">
        <v>7023</v>
      </c>
      <c r="M1367" s="39" t="str">
        <f>HYPERLINK("http://dx.doi.org/10.1016/j.scitotenv.2013.02.026","10.1016/j.scitotenv.2013.02.026")</f>
        <v>10.1016/j.scitotenv.2013.02.026</v>
      </c>
      <c r="N1367" s="40" t="s">
        <v>4205</v>
      </c>
      <c r="O1367" s="40" t="s">
        <v>383</v>
      </c>
      <c r="P1367" s="40" t="s">
        <v>4206</v>
      </c>
      <c r="Q1367" t="s">
        <v>316</v>
      </c>
    </row>
    <row r="1368" spans="1:17" x14ac:dyDescent="0.25">
      <c r="A1368" s="2" t="str">
        <f>HYPERLINK("https://www.ncbi.nlm.nih.gov/pubmed/23440121","23440121")</f>
        <v>23440121</v>
      </c>
      <c r="B1368">
        <f t="shared" si="90"/>
        <v>1</v>
      </c>
      <c r="C1368">
        <f t="shared" si="90"/>
        <v>0</v>
      </c>
      <c r="D1368">
        <f t="shared" si="90"/>
        <v>0</v>
      </c>
      <c r="E1368">
        <f t="shared" si="89"/>
        <v>1</v>
      </c>
      <c r="F1368">
        <v>2013</v>
      </c>
      <c r="G1368" t="s">
        <v>4219</v>
      </c>
      <c r="H1368">
        <v>0</v>
      </c>
      <c r="I1368" s="64" t="str">
        <f>HYPERLINK("https://www.ncbi.nlm.nih.gov/research/pubtator/?view=docsum&amp;query=PMC3974322","1")</f>
        <v>1</v>
      </c>
      <c r="J1368" t="s">
        <v>4221</v>
      </c>
      <c r="K1368" s="35" t="s">
        <v>4222</v>
      </c>
      <c r="L1368" s="35" t="s">
        <v>4220</v>
      </c>
      <c r="M1368" s="39" t="str">
        <f>HYPERLINK("http://dx.doi.org/10.1590/s0074-02762013000100015","10.1590/s0074-02762013000100015")</f>
        <v>10.1590/s0074-02762013000100015</v>
      </c>
      <c r="N1368" s="40" t="s">
        <v>2606</v>
      </c>
      <c r="O1368" s="40" t="s">
        <v>638</v>
      </c>
      <c r="P1368" s="40" t="s">
        <v>4223</v>
      </c>
      <c r="Q1368" t="s">
        <v>316</v>
      </c>
    </row>
    <row r="1369" spans="1:17" x14ac:dyDescent="0.25">
      <c r="A1369" s="2" t="str">
        <f>HYPERLINK("https://www.ncbi.nlm.nih.gov/pubmed/23416568","23416568")</f>
        <v>23416568</v>
      </c>
      <c r="B1369">
        <f t="shared" si="90"/>
        <v>1</v>
      </c>
      <c r="C1369">
        <f t="shared" si="90"/>
        <v>0</v>
      </c>
      <c r="D1369">
        <f t="shared" si="90"/>
        <v>0</v>
      </c>
      <c r="E1369">
        <f t="shared" si="89"/>
        <v>1</v>
      </c>
      <c r="F1369">
        <v>2013</v>
      </c>
      <c r="G1369" t="s">
        <v>4233</v>
      </c>
      <c r="H1369">
        <v>0</v>
      </c>
      <c r="I1369" s="65">
        <v>0</v>
      </c>
      <c r="J1369" t="s">
        <v>4234</v>
      </c>
      <c r="K1369" s="35" t="s">
        <v>2206</v>
      </c>
      <c r="L1369" s="35" t="s">
        <v>7029</v>
      </c>
      <c r="M1369" s="39" t="str">
        <f>HYPERLINK("http://dx.doi.org/10.1016/j.ibmb.2013.02.002","10.1016/j.ibmb.2013.02.002")</f>
        <v>10.1016/j.ibmb.2013.02.002</v>
      </c>
      <c r="N1369" s="40" t="s">
        <v>1279</v>
      </c>
      <c r="O1369" s="40" t="s">
        <v>690</v>
      </c>
      <c r="P1369" s="40" t="s">
        <v>4235</v>
      </c>
      <c r="Q1369" t="s">
        <v>316</v>
      </c>
    </row>
    <row r="1370" spans="1:17" x14ac:dyDescent="0.25">
      <c r="A1370" s="2" t="str">
        <f>HYPERLINK("https://www.ncbi.nlm.nih.gov/pubmed/23393971","23393971")</f>
        <v>23393971</v>
      </c>
      <c r="B1370">
        <f t="shared" si="90"/>
        <v>1</v>
      </c>
      <c r="C1370">
        <f t="shared" si="90"/>
        <v>2</v>
      </c>
      <c r="D1370">
        <f t="shared" si="90"/>
        <v>0</v>
      </c>
      <c r="E1370">
        <f t="shared" si="89"/>
        <v>3</v>
      </c>
      <c r="F1370">
        <v>2012</v>
      </c>
      <c r="G1370" t="s">
        <v>4236</v>
      </c>
      <c r="H1370">
        <v>0</v>
      </c>
      <c r="I1370" s="65">
        <v>0</v>
      </c>
      <c r="J1370" t="s">
        <v>4238</v>
      </c>
      <c r="K1370" s="35" t="s">
        <v>4239</v>
      </c>
      <c r="L1370" s="35" t="s">
        <v>4237</v>
      </c>
      <c r="M1370" s="39" t="str">
        <f>HYPERLINK("http://dx.doi.org/10.1080/09593330.2012.665494","10.1080/09593330.2012.665494")</f>
        <v>10.1080/09593330.2012.665494</v>
      </c>
      <c r="N1370" s="40" t="s">
        <v>877</v>
      </c>
      <c r="O1370" s="40" t="s">
        <v>4240</v>
      </c>
      <c r="P1370" s="40" t="s">
        <v>4241</v>
      </c>
      <c r="Q1370" t="s">
        <v>316</v>
      </c>
    </row>
    <row r="1371" spans="1:17" x14ac:dyDescent="0.25">
      <c r="A1371" s="2" t="str">
        <f>HYPERLINK("https://www.ncbi.nlm.nih.gov/pubmed/23200750","23200750")</f>
        <v>23200750</v>
      </c>
      <c r="B1371">
        <f t="shared" si="90"/>
        <v>1</v>
      </c>
      <c r="C1371">
        <f t="shared" si="90"/>
        <v>0</v>
      </c>
      <c r="D1371">
        <f t="shared" si="90"/>
        <v>0</v>
      </c>
      <c r="E1371">
        <f t="shared" si="89"/>
        <v>1</v>
      </c>
      <c r="F1371">
        <v>2013</v>
      </c>
      <c r="G1371" t="s">
        <v>4280</v>
      </c>
      <c r="H1371">
        <v>0</v>
      </c>
      <c r="I1371" s="65">
        <v>0</v>
      </c>
      <c r="J1371" t="s">
        <v>4282</v>
      </c>
      <c r="K1371" s="35" t="s">
        <v>1052</v>
      </c>
      <c r="L1371" s="35" t="s">
        <v>4281</v>
      </c>
      <c r="M1371" s="39" t="str">
        <f>HYPERLINK("http://dx.doi.org/10.1016/j.vetpar.2012.11.005","10.1016/j.vetpar.2012.11.005")</f>
        <v>10.1016/j.vetpar.2012.11.005</v>
      </c>
      <c r="N1371" s="40" t="s">
        <v>761</v>
      </c>
      <c r="O1371" s="40" t="s">
        <v>2110</v>
      </c>
      <c r="P1371" s="40" t="s">
        <v>4283</v>
      </c>
      <c r="Q1371" t="s">
        <v>316</v>
      </c>
    </row>
    <row r="1372" spans="1:17" x14ac:dyDescent="0.25">
      <c r="A1372" s="2" t="str">
        <f>HYPERLINK("https://www.ncbi.nlm.nih.gov/pubmed/23199275","23199275")</f>
        <v>23199275</v>
      </c>
      <c r="B1372">
        <f t="shared" si="90"/>
        <v>1</v>
      </c>
      <c r="C1372">
        <f t="shared" si="90"/>
        <v>0</v>
      </c>
      <c r="D1372">
        <f t="shared" si="90"/>
        <v>0</v>
      </c>
      <c r="E1372">
        <f t="shared" si="89"/>
        <v>1</v>
      </c>
      <c r="F1372">
        <v>2012</v>
      </c>
      <c r="G1372" t="s">
        <v>4284</v>
      </c>
      <c r="H1372">
        <v>0</v>
      </c>
      <c r="I1372" s="65">
        <v>0</v>
      </c>
      <c r="J1372" t="s">
        <v>4286</v>
      </c>
      <c r="K1372" s="35" t="s">
        <v>2192</v>
      </c>
      <c r="L1372" s="35" t="s">
        <v>4285</v>
      </c>
      <c r="M1372" s="39" t="str">
        <f>HYPERLINK("http://dx.doi.org/10.1089/vbz.2012.1062","10.1089/vbz.2012.1062")</f>
        <v>10.1089/vbz.2012.1062</v>
      </c>
      <c r="N1372" s="40" t="s">
        <v>915</v>
      </c>
      <c r="O1372" s="40" t="s">
        <v>915</v>
      </c>
      <c r="P1372" s="40" t="s">
        <v>4287</v>
      </c>
      <c r="Q1372" t="s">
        <v>316</v>
      </c>
    </row>
    <row r="1373" spans="1:17" x14ac:dyDescent="0.25">
      <c r="A1373" s="2" t="str">
        <f>HYPERLINK("https://www.ncbi.nlm.nih.gov/pubmed/23167501","23167501")</f>
        <v>23167501</v>
      </c>
      <c r="B1373">
        <f t="shared" si="90"/>
        <v>1</v>
      </c>
      <c r="C1373">
        <f t="shared" si="90"/>
        <v>0</v>
      </c>
      <c r="D1373">
        <f t="shared" si="90"/>
        <v>0</v>
      </c>
      <c r="E1373">
        <f t="shared" si="89"/>
        <v>1</v>
      </c>
      <c r="F1373">
        <v>2012</v>
      </c>
      <c r="G1373" t="s">
        <v>4295</v>
      </c>
      <c r="H1373">
        <v>0</v>
      </c>
      <c r="I1373" s="65">
        <v>0</v>
      </c>
      <c r="J1373" t="s">
        <v>4296</v>
      </c>
      <c r="K1373" s="35" t="s">
        <v>2192</v>
      </c>
      <c r="L1373" s="35" t="s">
        <v>7034</v>
      </c>
      <c r="M1373" s="39" t="str">
        <f>HYPERLINK("http://dx.doi.org/10.1089/vbz.2011.0864","10.1089/vbz.2011.0864")</f>
        <v>10.1089/vbz.2011.0864</v>
      </c>
      <c r="N1373" s="40" t="s">
        <v>915</v>
      </c>
      <c r="O1373" s="40" t="s">
        <v>915</v>
      </c>
      <c r="P1373" s="40" t="s">
        <v>4297</v>
      </c>
      <c r="Q1373" t="s">
        <v>316</v>
      </c>
    </row>
    <row r="1374" spans="1:17" x14ac:dyDescent="0.25">
      <c r="A1374" s="2" t="str">
        <f>HYPERLINK("https://www.ncbi.nlm.nih.gov/pubmed/23085357","23085357")</f>
        <v>23085357</v>
      </c>
      <c r="B1374">
        <f t="shared" si="90"/>
        <v>1</v>
      </c>
      <c r="C1374">
        <f t="shared" si="90"/>
        <v>0</v>
      </c>
      <c r="D1374">
        <f t="shared" si="90"/>
        <v>0</v>
      </c>
      <c r="E1374">
        <f t="shared" si="89"/>
        <v>1</v>
      </c>
      <c r="F1374">
        <v>2013</v>
      </c>
      <c r="G1374" t="s">
        <v>4309</v>
      </c>
      <c r="H1374">
        <v>0</v>
      </c>
      <c r="I1374" s="65">
        <v>0</v>
      </c>
      <c r="J1374" t="s">
        <v>4311</v>
      </c>
      <c r="K1374" s="35" t="s">
        <v>2206</v>
      </c>
      <c r="L1374" s="35" t="s">
        <v>4310</v>
      </c>
      <c r="M1374" s="39" t="str">
        <f>HYPERLINK("http://dx.doi.org/10.1016/j.ibmb.2012.10.003","10.1016/j.ibmb.2012.10.003")</f>
        <v>10.1016/j.ibmb.2012.10.003</v>
      </c>
      <c r="N1374" s="40" t="s">
        <v>1279</v>
      </c>
      <c r="O1374" s="40" t="s">
        <v>638</v>
      </c>
      <c r="P1374" s="40" t="s">
        <v>4312</v>
      </c>
      <c r="Q1374" t="s">
        <v>316</v>
      </c>
    </row>
    <row r="1375" spans="1:17" x14ac:dyDescent="0.25">
      <c r="A1375" s="2" t="str">
        <f>HYPERLINK("https://www.ncbi.nlm.nih.gov/pubmed/23059136","23059136")</f>
        <v>23059136</v>
      </c>
      <c r="B1375">
        <f t="shared" si="90"/>
        <v>1</v>
      </c>
      <c r="C1375">
        <f t="shared" si="90"/>
        <v>0</v>
      </c>
      <c r="D1375">
        <f t="shared" si="90"/>
        <v>0</v>
      </c>
      <c r="E1375">
        <f t="shared" si="89"/>
        <v>1</v>
      </c>
      <c r="F1375">
        <v>2013</v>
      </c>
      <c r="G1375" t="s">
        <v>4313</v>
      </c>
      <c r="H1375">
        <v>0</v>
      </c>
      <c r="I1375" s="65">
        <v>0</v>
      </c>
      <c r="J1375" t="s">
        <v>4315</v>
      </c>
      <c r="K1375" s="35" t="s">
        <v>1052</v>
      </c>
      <c r="L1375" s="35" t="s">
        <v>4314</v>
      </c>
      <c r="M1375" s="39" t="str">
        <f>HYPERLINK("http://dx.doi.org/10.1016/j.vetpar.2012.09.011","10.1016/j.vetpar.2012.09.011")</f>
        <v>10.1016/j.vetpar.2012.09.011</v>
      </c>
      <c r="N1375" s="40" t="s">
        <v>4316</v>
      </c>
      <c r="O1375" s="40" t="s">
        <v>1741</v>
      </c>
      <c r="P1375" s="40" t="s">
        <v>4317</v>
      </c>
      <c r="Q1375" t="s">
        <v>316</v>
      </c>
    </row>
    <row r="1376" spans="1:17" x14ac:dyDescent="0.25">
      <c r="A1376" s="2" t="str">
        <f>HYPERLINK("https://www.ncbi.nlm.nih.gov/pubmed/22967568","22967568")</f>
        <v>22967568</v>
      </c>
      <c r="B1376">
        <f t="shared" si="90"/>
        <v>1</v>
      </c>
      <c r="C1376">
        <f t="shared" si="90"/>
        <v>2</v>
      </c>
      <c r="D1376">
        <f t="shared" si="90"/>
        <v>0</v>
      </c>
      <c r="E1376">
        <f t="shared" si="89"/>
        <v>3</v>
      </c>
      <c r="F1376">
        <v>2012</v>
      </c>
      <c r="G1376" t="s">
        <v>4329</v>
      </c>
      <c r="H1376">
        <v>0</v>
      </c>
      <c r="I1376" s="65">
        <v>0</v>
      </c>
      <c r="J1376" t="s">
        <v>4331</v>
      </c>
      <c r="K1376" s="35" t="s">
        <v>1162</v>
      </c>
      <c r="L1376" s="35" t="s">
        <v>4330</v>
      </c>
      <c r="M1376" s="39" t="str">
        <f>HYPERLINK("http://dx.doi.org/10.1016/j.talanta.2012.05.068","10.1016/j.talanta.2012.05.068")</f>
        <v>10.1016/j.talanta.2012.05.068</v>
      </c>
      <c r="N1376" s="40" t="s">
        <v>3055</v>
      </c>
      <c r="O1376" s="40" t="s">
        <v>383</v>
      </c>
      <c r="P1376" s="40" t="s">
        <v>4332</v>
      </c>
      <c r="Q1376" t="s">
        <v>316</v>
      </c>
    </row>
    <row r="1377" spans="1:17" x14ac:dyDescent="0.25">
      <c r="A1377" s="2" t="str">
        <f>HYPERLINK("https://www.ncbi.nlm.nih.gov/pubmed/22940478","22940478")</f>
        <v>22940478</v>
      </c>
      <c r="B1377">
        <f t="shared" si="90"/>
        <v>1</v>
      </c>
      <c r="C1377">
        <f t="shared" si="90"/>
        <v>0</v>
      </c>
      <c r="D1377">
        <f t="shared" si="90"/>
        <v>0</v>
      </c>
      <c r="E1377">
        <f t="shared" si="89"/>
        <v>1</v>
      </c>
      <c r="F1377">
        <v>2012</v>
      </c>
      <c r="G1377" t="s">
        <v>4333</v>
      </c>
      <c r="H1377">
        <v>0</v>
      </c>
      <c r="I1377" s="65">
        <v>0</v>
      </c>
      <c r="J1377" t="s">
        <v>4335</v>
      </c>
      <c r="K1377" s="35" t="s">
        <v>4336</v>
      </c>
      <c r="L1377" s="35" t="s">
        <v>4334</v>
      </c>
      <c r="M1377" s="39" t="str">
        <f>HYPERLINK("http://dx.doi.org/10.1016/j.molbiopara.2012.08.004","10.1016/j.molbiopara.2012.08.004")</f>
        <v>10.1016/j.molbiopara.2012.08.004</v>
      </c>
      <c r="N1377" s="40" t="s">
        <v>4129</v>
      </c>
      <c r="O1377" s="40" t="s">
        <v>744</v>
      </c>
      <c r="P1377" s="40" t="s">
        <v>4337</v>
      </c>
      <c r="Q1377" t="s">
        <v>316</v>
      </c>
    </row>
    <row r="1378" spans="1:17" x14ac:dyDescent="0.25">
      <c r="A1378" s="2" t="str">
        <f>HYPERLINK("https://www.ncbi.nlm.nih.gov/pubmed/22928320","22928320")</f>
        <v>22928320</v>
      </c>
      <c r="B1378">
        <f t="shared" si="90"/>
        <v>1</v>
      </c>
      <c r="C1378">
        <f t="shared" si="90"/>
        <v>0</v>
      </c>
      <c r="D1378">
        <f t="shared" si="90"/>
        <v>0</v>
      </c>
      <c r="E1378">
        <f t="shared" si="89"/>
        <v>1</v>
      </c>
      <c r="F1378">
        <v>2012</v>
      </c>
      <c r="G1378" t="s">
        <v>4342</v>
      </c>
      <c r="H1378">
        <v>0</v>
      </c>
      <c r="I1378" s="65">
        <v>0</v>
      </c>
      <c r="J1378" t="s">
        <v>4344</v>
      </c>
      <c r="K1378" s="35" t="s">
        <v>909</v>
      </c>
      <c r="L1378" s="35" t="s">
        <v>4343</v>
      </c>
      <c r="M1378" s="39" t="str">
        <f>HYPERLINK("http://dx.doi.org/10.1603/ec12084","10.1603/ec12084")</f>
        <v>10.1603/ec12084</v>
      </c>
      <c r="N1378" s="40" t="s">
        <v>3018</v>
      </c>
      <c r="O1378" s="40" t="s">
        <v>690</v>
      </c>
      <c r="P1378" s="40" t="s">
        <v>4345</v>
      </c>
      <c r="Q1378" t="s">
        <v>316</v>
      </c>
    </row>
    <row r="1379" spans="1:17" x14ac:dyDescent="0.25">
      <c r="A1379" s="2" t="str">
        <f>HYPERLINK("https://www.ncbi.nlm.nih.gov/pubmed/22928290","22928290")</f>
        <v>22928290</v>
      </c>
      <c r="B1379">
        <f t="shared" si="90"/>
        <v>1</v>
      </c>
      <c r="C1379">
        <f t="shared" si="90"/>
        <v>0</v>
      </c>
      <c r="D1379">
        <f t="shared" si="90"/>
        <v>0</v>
      </c>
      <c r="E1379">
        <f t="shared" si="89"/>
        <v>1</v>
      </c>
      <c r="F1379">
        <v>2012</v>
      </c>
      <c r="G1379" t="s">
        <v>4349</v>
      </c>
      <c r="H1379">
        <v>0</v>
      </c>
      <c r="I1379" s="65">
        <v>0</v>
      </c>
      <c r="J1379" t="s">
        <v>4351</v>
      </c>
      <c r="K1379" s="35" t="s">
        <v>909</v>
      </c>
      <c r="L1379" s="35" t="s">
        <v>4350</v>
      </c>
      <c r="M1379" s="39" t="str">
        <f>HYPERLINK("http://dx.doi.org/10.1603/ec12102","10.1603/ec12102")</f>
        <v>10.1603/ec12102</v>
      </c>
      <c r="N1379" s="40" t="s">
        <v>3018</v>
      </c>
      <c r="O1379" s="40" t="s">
        <v>690</v>
      </c>
      <c r="P1379" s="40" t="s">
        <v>4352</v>
      </c>
      <c r="Q1379" t="s">
        <v>316</v>
      </c>
    </row>
    <row r="1380" spans="1:17" x14ac:dyDescent="0.25">
      <c r="A1380" s="2" t="str">
        <f>HYPERLINK("https://www.ncbi.nlm.nih.gov/pubmed/22898623","22898623")</f>
        <v>22898623</v>
      </c>
      <c r="B1380">
        <f t="shared" si="90"/>
        <v>1</v>
      </c>
      <c r="C1380">
        <f t="shared" si="90"/>
        <v>0</v>
      </c>
      <c r="D1380">
        <f t="shared" si="90"/>
        <v>0</v>
      </c>
      <c r="E1380">
        <f t="shared" si="89"/>
        <v>1</v>
      </c>
      <c r="F1380">
        <v>2012</v>
      </c>
      <c r="G1380" t="s">
        <v>4356</v>
      </c>
      <c r="H1380">
        <v>0</v>
      </c>
      <c r="I1380" s="65">
        <v>0</v>
      </c>
      <c r="J1380" t="s">
        <v>4357</v>
      </c>
      <c r="K1380" s="35" t="s">
        <v>2206</v>
      </c>
      <c r="L1380" s="35" t="s">
        <v>7039</v>
      </c>
      <c r="M1380" s="39" t="str">
        <f>HYPERLINK("http://dx.doi.org/10.1016/j.ibmb.2012.07.010","10.1016/j.ibmb.2012.07.010")</f>
        <v>10.1016/j.ibmb.2012.07.010</v>
      </c>
      <c r="N1380" s="40" t="s">
        <v>2803</v>
      </c>
      <c r="O1380" s="40" t="s">
        <v>802</v>
      </c>
      <c r="P1380" s="40" t="s">
        <v>4358</v>
      </c>
      <c r="Q1380" t="s">
        <v>316</v>
      </c>
    </row>
    <row r="1381" spans="1:17" x14ac:dyDescent="0.25">
      <c r="A1381" s="2" t="str">
        <f>HYPERLINK("https://www.ncbi.nlm.nih.gov/pubmed/22811371","22811371")</f>
        <v>22811371</v>
      </c>
      <c r="B1381">
        <f t="shared" si="90"/>
        <v>1</v>
      </c>
      <c r="C1381">
        <f t="shared" si="90"/>
        <v>0</v>
      </c>
      <c r="D1381">
        <f t="shared" si="90"/>
        <v>0</v>
      </c>
      <c r="E1381">
        <f t="shared" si="89"/>
        <v>1</v>
      </c>
      <c r="F1381">
        <v>2012</v>
      </c>
      <c r="G1381" t="s">
        <v>4367</v>
      </c>
      <c r="H1381">
        <v>0</v>
      </c>
      <c r="I1381" s="65">
        <v>0</v>
      </c>
      <c r="J1381" t="s">
        <v>4369</v>
      </c>
      <c r="K1381" s="35" t="s">
        <v>1395</v>
      </c>
      <c r="L1381" s="35" t="s">
        <v>4368</v>
      </c>
      <c r="M1381" s="39" t="str">
        <f>HYPERLINK("http://dx.doi.org/10.1007/s00244-012-9780-5","10.1007/s00244-012-9780-5")</f>
        <v>10.1007/s00244-012-9780-5</v>
      </c>
      <c r="N1381" s="40" t="s">
        <v>3613</v>
      </c>
      <c r="O1381" s="40" t="s">
        <v>750</v>
      </c>
      <c r="P1381" s="40" t="s">
        <v>4370</v>
      </c>
      <c r="Q1381" t="s">
        <v>316</v>
      </c>
    </row>
    <row r="1382" spans="1:17" x14ac:dyDescent="0.25">
      <c r="A1382" s="2" t="str">
        <f>HYPERLINK("https://www.ncbi.nlm.nih.gov/pubmed/22777788","22777788")</f>
        <v>22777788</v>
      </c>
      <c r="B1382">
        <f t="shared" si="90"/>
        <v>1</v>
      </c>
      <c r="C1382">
        <f t="shared" si="90"/>
        <v>0</v>
      </c>
      <c r="D1382">
        <f t="shared" si="90"/>
        <v>0</v>
      </c>
      <c r="E1382">
        <f t="shared" si="89"/>
        <v>1</v>
      </c>
      <c r="F1382">
        <v>2012</v>
      </c>
      <c r="G1382" t="s">
        <v>4371</v>
      </c>
      <c r="H1382">
        <v>0</v>
      </c>
      <c r="I1382" s="65">
        <v>0</v>
      </c>
      <c r="J1382" t="s">
        <v>4373</v>
      </c>
      <c r="K1382" s="35" t="s">
        <v>4374</v>
      </c>
      <c r="L1382" s="35" t="s">
        <v>4372</v>
      </c>
      <c r="M1382" s="39" t="str">
        <f>HYPERLINK("http://dx.doi.org/10.1002/rcm.6274","10.1002/rcm.6274")</f>
        <v>10.1002/rcm.6274</v>
      </c>
      <c r="N1382" s="40" t="s">
        <v>752</v>
      </c>
      <c r="O1382" s="40" t="s">
        <v>780</v>
      </c>
      <c r="P1382" s="40" t="s">
        <v>4375</v>
      </c>
      <c r="Q1382" t="s">
        <v>316</v>
      </c>
    </row>
    <row r="1383" spans="1:17" x14ac:dyDescent="0.25">
      <c r="A1383" s="2" t="str">
        <f>HYPERLINK("https://www.ncbi.nlm.nih.gov/pubmed/22768924","22768924")</f>
        <v>22768924</v>
      </c>
      <c r="B1383">
        <f t="shared" si="90"/>
        <v>1</v>
      </c>
      <c r="C1383">
        <f t="shared" si="90"/>
        <v>0</v>
      </c>
      <c r="D1383">
        <f t="shared" si="90"/>
        <v>0</v>
      </c>
      <c r="E1383">
        <f t="shared" si="89"/>
        <v>1</v>
      </c>
      <c r="F1383">
        <v>2012</v>
      </c>
      <c r="G1383" t="s">
        <v>4376</v>
      </c>
      <c r="H1383">
        <v>0</v>
      </c>
      <c r="I1383" s="65">
        <v>0</v>
      </c>
      <c r="J1383" t="s">
        <v>4377</v>
      </c>
      <c r="K1383" s="35" t="s">
        <v>4378</v>
      </c>
      <c r="L1383" s="35" t="s">
        <v>7040</v>
      </c>
      <c r="M1383" s="39" t="str">
        <f>HYPERLINK("http://dx.doi.org/10.1021/pr300495x","10.1021/pr300495x")</f>
        <v>10.1021/pr300495x</v>
      </c>
      <c r="N1383" s="40" t="s">
        <v>678</v>
      </c>
      <c r="O1383" s="40" t="s">
        <v>781</v>
      </c>
      <c r="P1383" s="40" t="s">
        <v>4379</v>
      </c>
      <c r="Q1383" t="s">
        <v>316</v>
      </c>
    </row>
    <row r="1384" spans="1:17" x14ac:dyDescent="0.25">
      <c r="A1384" s="2" t="str">
        <f>HYPERLINK("https://www.ncbi.nlm.nih.gov/pubmed/22606832","22606832")</f>
        <v>22606832</v>
      </c>
      <c r="B1384">
        <f t="shared" ref="B1384:D1403" si="91">IF(ISBLANK(B$3),0,(LEN($L1384) - LEN(SUBSTITUTE(LOWER($L1384),LOWER(B$3),"")))/LEN(B$3))</f>
        <v>1</v>
      </c>
      <c r="C1384">
        <f t="shared" si="91"/>
        <v>0</v>
      </c>
      <c r="D1384">
        <f t="shared" si="91"/>
        <v>0</v>
      </c>
      <c r="E1384">
        <f t="shared" si="89"/>
        <v>1</v>
      </c>
      <c r="F1384">
        <v>2012</v>
      </c>
      <c r="G1384" t="s">
        <v>4387</v>
      </c>
      <c r="H1384">
        <v>0</v>
      </c>
      <c r="I1384" s="65">
        <v>0</v>
      </c>
      <c r="J1384" t="s">
        <v>4389</v>
      </c>
      <c r="K1384" s="35" t="s">
        <v>909</v>
      </c>
      <c r="L1384" s="35" t="s">
        <v>4388</v>
      </c>
      <c r="M1384" s="39" t="str">
        <f>HYPERLINK("http://dx.doi.org/10.1603/ec11253","10.1603/ec11253")</f>
        <v>10.1603/ec11253</v>
      </c>
      <c r="N1384" s="40" t="s">
        <v>3018</v>
      </c>
      <c r="O1384" s="40" t="s">
        <v>744</v>
      </c>
      <c r="P1384" s="40" t="s">
        <v>4390</v>
      </c>
      <c r="Q1384" t="s">
        <v>316</v>
      </c>
    </row>
    <row r="1385" spans="1:17" x14ac:dyDescent="0.25">
      <c r="A1385" s="2" t="str">
        <f>HYPERLINK("https://www.ncbi.nlm.nih.gov/pubmed/22562269","22562269")</f>
        <v>22562269</v>
      </c>
      <c r="B1385">
        <f t="shared" si="91"/>
        <v>1</v>
      </c>
      <c r="C1385">
        <f t="shared" si="91"/>
        <v>0</v>
      </c>
      <c r="D1385">
        <f t="shared" si="91"/>
        <v>0</v>
      </c>
      <c r="E1385">
        <f t="shared" si="89"/>
        <v>1</v>
      </c>
      <c r="F1385">
        <v>2012</v>
      </c>
      <c r="G1385" t="s">
        <v>4402</v>
      </c>
      <c r="H1385">
        <v>0</v>
      </c>
      <c r="I1385" s="65">
        <v>0</v>
      </c>
      <c r="J1385" t="s">
        <v>4403</v>
      </c>
      <c r="K1385" s="35" t="s">
        <v>3164</v>
      </c>
      <c r="L1385" s="35" t="s">
        <v>7042</v>
      </c>
      <c r="M1385" s="39" t="str">
        <f>HYPERLINK("http://dx.doi.org/10.1007/s00128-012-0664-1","10.1007/s00128-012-0664-1")</f>
        <v>10.1007/s00128-012-0664-1</v>
      </c>
      <c r="N1385" s="40" t="s">
        <v>2709</v>
      </c>
      <c r="O1385" s="40" t="s">
        <v>744</v>
      </c>
      <c r="P1385" s="40" t="s">
        <v>4404</v>
      </c>
      <c r="Q1385" t="s">
        <v>316</v>
      </c>
    </row>
    <row r="1386" spans="1:17" x14ac:dyDescent="0.25">
      <c r="A1386" s="2" t="str">
        <f>HYPERLINK("https://www.ncbi.nlm.nih.gov/pubmed/22546547","22546547")</f>
        <v>22546547</v>
      </c>
      <c r="B1386">
        <f t="shared" si="91"/>
        <v>1</v>
      </c>
      <c r="C1386">
        <f t="shared" si="91"/>
        <v>0</v>
      </c>
      <c r="D1386">
        <f t="shared" si="91"/>
        <v>0</v>
      </c>
      <c r="E1386">
        <f t="shared" si="89"/>
        <v>1</v>
      </c>
      <c r="F1386">
        <v>2012</v>
      </c>
      <c r="G1386" t="s">
        <v>4408</v>
      </c>
      <c r="H1386">
        <v>0</v>
      </c>
      <c r="I1386" s="65">
        <v>0</v>
      </c>
      <c r="J1386" t="s">
        <v>4409</v>
      </c>
      <c r="K1386" s="35" t="s">
        <v>1052</v>
      </c>
      <c r="L1386" s="35" t="s">
        <v>7044</v>
      </c>
      <c r="M1386" s="39" t="str">
        <f>HYPERLINK("http://dx.doi.org/10.1016/j.vetpar.2012.04.005","10.1016/j.vetpar.2012.04.005")</f>
        <v>10.1016/j.vetpar.2012.04.005</v>
      </c>
      <c r="N1386" s="40" t="s">
        <v>1290</v>
      </c>
      <c r="O1386" s="40" t="s">
        <v>1741</v>
      </c>
      <c r="P1386" s="40" t="s">
        <v>4410</v>
      </c>
      <c r="Q1386" t="s">
        <v>316</v>
      </c>
    </row>
    <row r="1387" spans="1:17" x14ac:dyDescent="0.25">
      <c r="A1387" s="2" t="str">
        <f>HYPERLINK("https://www.ncbi.nlm.nih.gov/pubmed/22534937","22534937")</f>
        <v>22534937</v>
      </c>
      <c r="B1387">
        <f t="shared" si="91"/>
        <v>1</v>
      </c>
      <c r="C1387">
        <f t="shared" si="91"/>
        <v>0</v>
      </c>
      <c r="D1387">
        <f t="shared" si="91"/>
        <v>0</v>
      </c>
      <c r="E1387">
        <f t="shared" si="89"/>
        <v>1</v>
      </c>
      <c r="F1387">
        <v>2012</v>
      </c>
      <c r="G1387" t="s">
        <v>4420</v>
      </c>
      <c r="H1387">
        <v>1</v>
      </c>
      <c r="I1387" s="65">
        <v>0</v>
      </c>
      <c r="J1387" t="s">
        <v>4422</v>
      </c>
      <c r="K1387" s="35" t="s">
        <v>1008</v>
      </c>
      <c r="L1387" s="35" t="s">
        <v>4421</v>
      </c>
      <c r="M1387" s="39" t="str">
        <f>HYPERLINK("http://dx.doi.org/10.1590/s1984-29612012000100002","10.1590/s1984-29612012000100002")</f>
        <v>10.1590/s1984-29612012000100002</v>
      </c>
      <c r="N1387" s="40" t="s">
        <v>1364</v>
      </c>
      <c r="O1387" s="40" t="s">
        <v>638</v>
      </c>
      <c r="P1387" s="40" t="s">
        <v>1004</v>
      </c>
      <c r="Q1387" t="s">
        <v>316</v>
      </c>
    </row>
    <row r="1388" spans="1:17" x14ac:dyDescent="0.25">
      <c r="A1388" s="2" t="str">
        <f>HYPERLINK("https://www.ncbi.nlm.nih.gov/pubmed/24031872","24031872")</f>
        <v>24031872</v>
      </c>
      <c r="B1388">
        <f t="shared" si="91"/>
        <v>1</v>
      </c>
      <c r="C1388">
        <f t="shared" si="91"/>
        <v>0</v>
      </c>
      <c r="D1388">
        <f t="shared" si="91"/>
        <v>0</v>
      </c>
      <c r="E1388">
        <f t="shared" si="89"/>
        <v>1</v>
      </c>
      <c r="F1388">
        <v>2012</v>
      </c>
      <c r="G1388" t="s">
        <v>4436</v>
      </c>
      <c r="H1388">
        <v>0</v>
      </c>
      <c r="I1388" s="64" t="str">
        <f>HYPERLINK("https://www.ncbi.nlm.nih.gov/research/pubtator/?view=docsum&amp;query=PMC3768848","1")</f>
        <v>1</v>
      </c>
      <c r="J1388" t="s">
        <v>4438</v>
      </c>
      <c r="K1388" s="35" t="s">
        <v>4439</v>
      </c>
      <c r="L1388" s="35" t="s">
        <v>4437</v>
      </c>
      <c r="M1388" s="39" t="str">
        <f>HYPERLINK("http://dx.doi.org/10.1590/S1517-83822012000200025","10.1590/S1517-83822012000200025")</f>
        <v>10.1590/S1517-83822012000200025</v>
      </c>
      <c r="N1388" s="40" t="s">
        <v>1279</v>
      </c>
      <c r="O1388" s="40" t="s">
        <v>744</v>
      </c>
      <c r="P1388" s="40" t="s">
        <v>4440</v>
      </c>
      <c r="Q1388" t="s">
        <v>316</v>
      </c>
    </row>
    <row r="1389" spans="1:17" x14ac:dyDescent="0.25">
      <c r="A1389" s="2" t="str">
        <f>HYPERLINK("https://www.ncbi.nlm.nih.gov/pubmed/22235587","22235587")</f>
        <v>22235587</v>
      </c>
      <c r="B1389">
        <f t="shared" si="91"/>
        <v>1</v>
      </c>
      <c r="C1389">
        <f t="shared" si="91"/>
        <v>0</v>
      </c>
      <c r="D1389">
        <f t="shared" si="91"/>
        <v>0</v>
      </c>
      <c r="E1389">
        <f t="shared" si="89"/>
        <v>1</v>
      </c>
      <c r="F1389">
        <v>2011</v>
      </c>
      <c r="G1389" t="s">
        <v>4484</v>
      </c>
      <c r="H1389">
        <v>0</v>
      </c>
      <c r="I1389" s="65">
        <v>0</v>
      </c>
      <c r="J1389" t="s">
        <v>4486</v>
      </c>
      <c r="K1389" s="35" t="s">
        <v>4487</v>
      </c>
      <c r="L1389" s="35" t="s">
        <v>4485</v>
      </c>
      <c r="M1389" s="39" t="str">
        <f>HYPERLINK("http://dx.doi.org/","")</f>
        <v/>
      </c>
      <c r="N1389" s="40" t="s">
        <v>2938</v>
      </c>
      <c r="O1389" s="40" t="s">
        <v>915</v>
      </c>
      <c r="P1389" s="40" t="s">
        <v>4488</v>
      </c>
      <c r="Q1389" t="s">
        <v>316</v>
      </c>
    </row>
    <row r="1390" spans="1:17" x14ac:dyDescent="0.25">
      <c r="A1390" s="2" t="str">
        <f>HYPERLINK("https://www.ncbi.nlm.nih.gov/pubmed/22037478","22037478")</f>
        <v>22037478</v>
      </c>
      <c r="B1390">
        <f t="shared" si="91"/>
        <v>1</v>
      </c>
      <c r="C1390">
        <f t="shared" si="91"/>
        <v>0</v>
      </c>
      <c r="D1390">
        <f t="shared" si="91"/>
        <v>0</v>
      </c>
      <c r="E1390">
        <f t="shared" si="89"/>
        <v>1</v>
      </c>
      <c r="F1390">
        <v>2011</v>
      </c>
      <c r="G1390" t="s">
        <v>4537</v>
      </c>
      <c r="H1390">
        <v>0</v>
      </c>
      <c r="I1390" s="65">
        <v>0</v>
      </c>
      <c r="J1390" t="s">
        <v>4539</v>
      </c>
      <c r="K1390" s="35" t="s">
        <v>3789</v>
      </c>
      <c r="L1390" s="35" t="s">
        <v>4538</v>
      </c>
      <c r="M1390" s="39" t="str">
        <f>HYPERLINK("http://dx.doi.org/10.1039/c1cc15397h","10.1039/c1cc15397h")</f>
        <v>10.1039/c1cc15397h</v>
      </c>
      <c r="N1390" s="40" t="s">
        <v>2814</v>
      </c>
      <c r="O1390" s="40" t="s">
        <v>1450</v>
      </c>
      <c r="P1390" s="40" t="s">
        <v>4540</v>
      </c>
      <c r="Q1390" t="s">
        <v>316</v>
      </c>
    </row>
    <row r="1391" spans="1:17" x14ac:dyDescent="0.25">
      <c r="A1391" s="2" t="str">
        <f>HYPERLINK("https://www.ncbi.nlm.nih.gov/pubmed/21978193","21978193")</f>
        <v>21978193</v>
      </c>
      <c r="B1391">
        <f t="shared" si="91"/>
        <v>1</v>
      </c>
      <c r="C1391">
        <f t="shared" si="91"/>
        <v>1</v>
      </c>
      <c r="D1391">
        <f t="shared" si="91"/>
        <v>0</v>
      </c>
      <c r="E1391">
        <f t="shared" si="89"/>
        <v>2</v>
      </c>
      <c r="F1391">
        <v>2011</v>
      </c>
      <c r="G1391" t="s">
        <v>4550</v>
      </c>
      <c r="H1391">
        <v>0</v>
      </c>
      <c r="I1391" s="65">
        <v>0</v>
      </c>
      <c r="J1391" t="s">
        <v>4552</v>
      </c>
      <c r="K1391" s="35" t="s">
        <v>770</v>
      </c>
      <c r="L1391" s="35" t="s">
        <v>4551</v>
      </c>
      <c r="M1391" s="39" t="str">
        <f>HYPERLINK("http://dx.doi.org/10.1021/jf202878s","10.1021/jf202878s")</f>
        <v>10.1021/jf202878s</v>
      </c>
      <c r="N1391" s="40" t="s">
        <v>2885</v>
      </c>
      <c r="O1391" s="40" t="s">
        <v>1092</v>
      </c>
      <c r="P1391" s="40" t="s">
        <v>4553</v>
      </c>
      <c r="Q1391" t="s">
        <v>316</v>
      </c>
    </row>
    <row r="1392" spans="1:17" x14ac:dyDescent="0.25">
      <c r="A1392" s="2" t="str">
        <f>HYPERLINK("https://www.ncbi.nlm.nih.gov/pubmed/21936321","21936321")</f>
        <v>21936321</v>
      </c>
      <c r="B1392">
        <f t="shared" si="91"/>
        <v>1</v>
      </c>
      <c r="C1392">
        <f t="shared" si="91"/>
        <v>0</v>
      </c>
      <c r="D1392">
        <f t="shared" si="91"/>
        <v>0</v>
      </c>
      <c r="E1392">
        <f t="shared" si="89"/>
        <v>1</v>
      </c>
      <c r="F1392">
        <v>2011</v>
      </c>
      <c r="G1392" t="s">
        <v>4557</v>
      </c>
      <c r="H1392">
        <v>0</v>
      </c>
      <c r="I1392" s="65">
        <v>0</v>
      </c>
      <c r="J1392" t="s">
        <v>4558</v>
      </c>
      <c r="K1392" s="35" t="s">
        <v>1027</v>
      </c>
      <c r="L1392" s="35" t="s">
        <v>7064</v>
      </c>
      <c r="M1392" s="39" t="str">
        <f>HYPERLINK("http://dx.doi.org/10.1603/me11003","10.1603/me11003")</f>
        <v>10.1603/me11003</v>
      </c>
      <c r="N1392" s="40" t="s">
        <v>1450</v>
      </c>
      <c r="O1392" s="40" t="s">
        <v>746</v>
      </c>
      <c r="P1392" s="40" t="s">
        <v>4297</v>
      </c>
      <c r="Q1392" t="s">
        <v>316</v>
      </c>
    </row>
    <row r="1393" spans="1:17" x14ac:dyDescent="0.25">
      <c r="A1393" s="2" t="str">
        <f>HYPERLINK("https://www.ncbi.nlm.nih.gov/pubmed/21684581","21684581")</f>
        <v>21684581</v>
      </c>
      <c r="B1393">
        <f t="shared" si="91"/>
        <v>1</v>
      </c>
      <c r="C1393">
        <f t="shared" si="91"/>
        <v>0</v>
      </c>
      <c r="D1393">
        <f t="shared" si="91"/>
        <v>0</v>
      </c>
      <c r="E1393">
        <f t="shared" si="89"/>
        <v>1</v>
      </c>
      <c r="F1393">
        <v>2011</v>
      </c>
      <c r="G1393" t="s">
        <v>4626</v>
      </c>
      <c r="H1393">
        <v>0</v>
      </c>
      <c r="I1393" s="65">
        <v>0</v>
      </c>
      <c r="J1393" t="s">
        <v>4627</v>
      </c>
      <c r="K1393" s="35" t="s">
        <v>670</v>
      </c>
      <c r="L1393" s="35" t="s">
        <v>7077</v>
      </c>
      <c r="M1393" s="39" t="str">
        <f>HYPERLINK("http://dx.doi.org/10.1016/j.scitotenv.2011.04.032","10.1016/j.scitotenv.2011.04.032")</f>
        <v>10.1016/j.scitotenv.2011.04.032</v>
      </c>
      <c r="N1393" s="40" t="s">
        <v>4628</v>
      </c>
      <c r="O1393" s="40" t="s">
        <v>659</v>
      </c>
      <c r="P1393" s="40" t="s">
        <v>4629</v>
      </c>
      <c r="Q1393" t="s">
        <v>316</v>
      </c>
    </row>
    <row r="1394" spans="1:17" x14ac:dyDescent="0.25">
      <c r="A1394" s="2" t="str">
        <f>HYPERLINK("https://www.ncbi.nlm.nih.gov/pubmed/21681919","21681919")</f>
        <v>21681919</v>
      </c>
      <c r="B1394">
        <f t="shared" si="91"/>
        <v>1</v>
      </c>
      <c r="C1394">
        <f t="shared" si="91"/>
        <v>0</v>
      </c>
      <c r="D1394">
        <f t="shared" si="91"/>
        <v>0</v>
      </c>
      <c r="E1394">
        <f t="shared" si="89"/>
        <v>1</v>
      </c>
      <c r="F1394">
        <v>2012</v>
      </c>
      <c r="G1394" t="s">
        <v>4632</v>
      </c>
      <c r="H1394">
        <v>0</v>
      </c>
      <c r="I1394" s="65">
        <v>0</v>
      </c>
      <c r="J1394" t="s">
        <v>4633</v>
      </c>
      <c r="K1394" s="35" t="s">
        <v>968</v>
      </c>
      <c r="L1394" s="35" t="s">
        <v>7079</v>
      </c>
      <c r="M1394" s="39" t="str">
        <f>HYPERLINK("http://dx.doi.org/10.1002/ps.2223","10.1002/ps.2223")</f>
        <v>10.1002/ps.2223</v>
      </c>
      <c r="N1394" s="40" t="s">
        <v>1200</v>
      </c>
      <c r="O1394" s="40" t="s">
        <v>638</v>
      </c>
      <c r="P1394" s="40" t="s">
        <v>4634</v>
      </c>
      <c r="Q1394" t="s">
        <v>316</v>
      </c>
    </row>
    <row r="1395" spans="1:17" x14ac:dyDescent="0.25">
      <c r="A1395" s="2" t="str">
        <f>HYPERLINK("https://www.ncbi.nlm.nih.gov/pubmed/21681918","21681918")</f>
        <v>21681918</v>
      </c>
      <c r="B1395">
        <f t="shared" si="91"/>
        <v>1</v>
      </c>
      <c r="C1395">
        <f t="shared" si="91"/>
        <v>0</v>
      </c>
      <c r="D1395">
        <f t="shared" si="91"/>
        <v>0</v>
      </c>
      <c r="E1395">
        <f t="shared" si="89"/>
        <v>1</v>
      </c>
      <c r="F1395">
        <v>2012</v>
      </c>
      <c r="G1395" t="s">
        <v>4635</v>
      </c>
      <c r="H1395">
        <v>0</v>
      </c>
      <c r="I1395" s="65">
        <v>0</v>
      </c>
      <c r="J1395" t="s">
        <v>4636</v>
      </c>
      <c r="K1395" s="35" t="s">
        <v>968</v>
      </c>
      <c r="L1395" s="35" t="s">
        <v>7080</v>
      </c>
      <c r="M1395" s="39" t="str">
        <f>HYPERLINK("http://dx.doi.org/10.1002/ps.2218","10.1002/ps.2218")</f>
        <v>10.1002/ps.2218</v>
      </c>
      <c r="N1395" s="40" t="s">
        <v>1200</v>
      </c>
      <c r="O1395" s="40" t="s">
        <v>638</v>
      </c>
      <c r="P1395" s="40" t="s">
        <v>4637</v>
      </c>
      <c r="Q1395" t="s">
        <v>316</v>
      </c>
    </row>
    <row r="1396" spans="1:17" x14ac:dyDescent="0.25">
      <c r="A1396" s="2" t="str">
        <f>HYPERLINK("https://www.ncbi.nlm.nih.gov/pubmed/21635642","21635642")</f>
        <v>21635642</v>
      </c>
      <c r="B1396">
        <f t="shared" si="91"/>
        <v>1</v>
      </c>
      <c r="C1396">
        <f t="shared" si="91"/>
        <v>0</v>
      </c>
      <c r="D1396">
        <f t="shared" si="91"/>
        <v>0</v>
      </c>
      <c r="E1396">
        <f t="shared" si="89"/>
        <v>1</v>
      </c>
      <c r="F1396">
        <v>2011</v>
      </c>
      <c r="G1396" t="s">
        <v>4638</v>
      </c>
      <c r="H1396">
        <v>0</v>
      </c>
      <c r="I1396" s="65">
        <v>0</v>
      </c>
      <c r="J1396" t="s">
        <v>4639</v>
      </c>
      <c r="K1396" s="35" t="s">
        <v>1507</v>
      </c>
      <c r="L1396" s="35" t="s">
        <v>7081</v>
      </c>
      <c r="M1396" s="39" t="str">
        <f>HYPERLINK("http://dx.doi.org/10.1111/j.1948-7134.2011.00141.x","10.1111/j.1948-7134.2011.00141.x")</f>
        <v>10.1111/j.1948-7134.2011.00141.x</v>
      </c>
      <c r="N1396" s="40" t="s">
        <v>639</v>
      </c>
      <c r="O1396" s="40" t="s">
        <v>638</v>
      </c>
      <c r="P1396" s="40" t="s">
        <v>4640</v>
      </c>
      <c r="Q1396" t="s">
        <v>316</v>
      </c>
    </row>
    <row r="1397" spans="1:17" x14ac:dyDescent="0.25">
      <c r="A1397" s="2" t="str">
        <f>HYPERLINK("https://www.ncbi.nlm.nih.gov/pubmed/21504813","21504813")</f>
        <v>21504813</v>
      </c>
      <c r="B1397">
        <f t="shared" si="91"/>
        <v>1</v>
      </c>
      <c r="C1397">
        <f t="shared" si="91"/>
        <v>0</v>
      </c>
      <c r="D1397">
        <f t="shared" si="91"/>
        <v>0</v>
      </c>
      <c r="E1397">
        <f t="shared" si="89"/>
        <v>1</v>
      </c>
      <c r="F1397">
        <v>2011</v>
      </c>
      <c r="G1397" t="s">
        <v>4673</v>
      </c>
      <c r="H1397">
        <v>0</v>
      </c>
      <c r="I1397" s="65">
        <v>0</v>
      </c>
      <c r="J1397" t="s">
        <v>4675</v>
      </c>
      <c r="K1397" s="35" t="s">
        <v>1825</v>
      </c>
      <c r="L1397" s="35" t="s">
        <v>4674</v>
      </c>
      <c r="M1397" s="39" t="str">
        <f>HYPERLINK("http://dx.doi.org/10.1016/j.aca.2011.03.017","10.1016/j.aca.2011.03.017")</f>
        <v>10.1016/j.aca.2011.03.017</v>
      </c>
      <c r="N1397" s="40" t="s">
        <v>4676</v>
      </c>
      <c r="O1397" s="40" t="s">
        <v>3531</v>
      </c>
      <c r="P1397" s="40" t="s">
        <v>1827</v>
      </c>
      <c r="Q1397" t="s">
        <v>316</v>
      </c>
    </row>
    <row r="1398" spans="1:17" x14ac:dyDescent="0.25">
      <c r="A1398" s="2" t="str">
        <f>HYPERLINK("https://www.ncbi.nlm.nih.gov/pubmed/21353542","21353542")</f>
        <v>21353542</v>
      </c>
      <c r="B1398">
        <f t="shared" si="91"/>
        <v>1</v>
      </c>
      <c r="C1398">
        <f t="shared" si="91"/>
        <v>0</v>
      </c>
      <c r="D1398">
        <f t="shared" si="91"/>
        <v>0</v>
      </c>
      <c r="E1398">
        <f t="shared" si="89"/>
        <v>1</v>
      </c>
      <c r="F1398">
        <v>2011</v>
      </c>
      <c r="G1398" t="s">
        <v>4715</v>
      </c>
      <c r="H1398">
        <v>0</v>
      </c>
      <c r="I1398" s="65">
        <v>0</v>
      </c>
      <c r="J1398" t="s">
        <v>4717</v>
      </c>
      <c r="K1398" s="35" t="s">
        <v>2420</v>
      </c>
      <c r="L1398" s="35" t="s">
        <v>4716</v>
      </c>
      <c r="M1398" s="39" t="str">
        <f>HYPERLINK("http://dx.doi.org/10.1016/j.bmcl.2011.01.118","10.1016/j.bmcl.2011.01.118")</f>
        <v>10.1016/j.bmcl.2011.01.118</v>
      </c>
      <c r="N1398" s="40" t="s">
        <v>1364</v>
      </c>
      <c r="O1398" s="40" t="s">
        <v>741</v>
      </c>
      <c r="P1398" s="40" t="s">
        <v>4718</v>
      </c>
      <c r="Q1398" t="s">
        <v>316</v>
      </c>
    </row>
    <row r="1399" spans="1:17" x14ac:dyDescent="0.25">
      <c r="A1399" s="2" t="str">
        <f>HYPERLINK("https://www.ncbi.nlm.nih.gov/pubmed/21313881","21313881")</f>
        <v>21313881</v>
      </c>
      <c r="B1399">
        <f t="shared" si="91"/>
        <v>1</v>
      </c>
      <c r="C1399">
        <f t="shared" si="91"/>
        <v>0</v>
      </c>
      <c r="D1399">
        <f t="shared" si="91"/>
        <v>0</v>
      </c>
      <c r="E1399">
        <f t="shared" si="89"/>
        <v>1</v>
      </c>
      <c r="F1399">
        <v>2010</v>
      </c>
      <c r="G1399" t="s">
        <v>4722</v>
      </c>
      <c r="H1399">
        <v>1</v>
      </c>
      <c r="I1399" s="65">
        <v>0</v>
      </c>
      <c r="J1399" t="s">
        <v>4724</v>
      </c>
      <c r="K1399" s="35" t="s">
        <v>1660</v>
      </c>
      <c r="L1399" s="35" t="s">
        <v>4723</v>
      </c>
      <c r="M1399" s="39" t="str">
        <f>HYPERLINK("http://dx.doi.org/10.3923/pjbs.2010.1077.1084","10.3923/pjbs.2010.1077.1084")</f>
        <v>10.3923/pjbs.2010.1077.1084</v>
      </c>
      <c r="N1399" s="40" t="s">
        <v>742</v>
      </c>
      <c r="O1399" s="40" t="s">
        <v>1092</v>
      </c>
      <c r="P1399" s="40" t="s">
        <v>4725</v>
      </c>
      <c r="Q1399" t="s">
        <v>316</v>
      </c>
    </row>
    <row r="1400" spans="1:17" x14ac:dyDescent="0.25">
      <c r="A1400" s="2" t="str">
        <f>HYPERLINK("https://www.ncbi.nlm.nih.gov/pubmed/21262699","21262699")</f>
        <v>21262699</v>
      </c>
      <c r="B1400">
        <f t="shared" si="91"/>
        <v>1</v>
      </c>
      <c r="C1400">
        <f t="shared" si="91"/>
        <v>0</v>
      </c>
      <c r="D1400">
        <f t="shared" si="91"/>
        <v>1</v>
      </c>
      <c r="E1400">
        <f t="shared" si="89"/>
        <v>2</v>
      </c>
      <c r="F1400">
        <v>2010</v>
      </c>
      <c r="G1400" t="s">
        <v>4751</v>
      </c>
      <c r="H1400">
        <v>0</v>
      </c>
      <c r="I1400" s="65">
        <v>0</v>
      </c>
      <c r="J1400" t="s">
        <v>4753</v>
      </c>
      <c r="K1400" s="35" t="s">
        <v>4754</v>
      </c>
      <c r="L1400" s="35" t="s">
        <v>4752</v>
      </c>
      <c r="M1400" s="39" t="str">
        <f>HYPERLINK("http://dx.doi.org/10.1136/vr.c7055","10.1136/vr.c7055")</f>
        <v>10.1136/vr.c7055</v>
      </c>
      <c r="N1400" s="40" t="s">
        <v>1498</v>
      </c>
      <c r="O1400" s="40" t="s">
        <v>1188</v>
      </c>
      <c r="P1400" s="40" t="s">
        <v>4755</v>
      </c>
      <c r="Q1400" t="s">
        <v>316</v>
      </c>
    </row>
    <row r="1401" spans="1:17" x14ac:dyDescent="0.25">
      <c r="A1401" s="2" t="str">
        <f>HYPERLINK("https://www.ncbi.nlm.nih.gov/pubmed/21165598","21165598")</f>
        <v>21165598</v>
      </c>
      <c r="B1401">
        <f t="shared" si="91"/>
        <v>1</v>
      </c>
      <c r="C1401">
        <f t="shared" si="91"/>
        <v>2</v>
      </c>
      <c r="D1401">
        <f t="shared" si="91"/>
        <v>0</v>
      </c>
      <c r="E1401">
        <f t="shared" si="89"/>
        <v>3</v>
      </c>
      <c r="F1401">
        <v>2011</v>
      </c>
      <c r="G1401" t="s">
        <v>4779</v>
      </c>
      <c r="H1401">
        <v>0</v>
      </c>
      <c r="I1401" s="64" t="str">
        <f>HYPERLINK("https://www.ncbi.nlm.nih.gov/research/pubtator/?view=docsum&amp;query=PMC3017303","1")</f>
        <v>1</v>
      </c>
      <c r="J1401" t="s">
        <v>4781</v>
      </c>
      <c r="K1401" s="35" t="s">
        <v>3164</v>
      </c>
      <c r="L1401" s="35" t="s">
        <v>4780</v>
      </c>
      <c r="M1401" s="39" t="str">
        <f>HYPERLINK("http://dx.doi.org/10.1007/s00128-010-0176-9","10.1007/s00128-010-0176-9")</f>
        <v>10.1007/s00128-010-0176-9</v>
      </c>
      <c r="N1401" s="40" t="s">
        <v>845</v>
      </c>
      <c r="O1401" s="40" t="s">
        <v>638</v>
      </c>
      <c r="P1401" s="40" t="s">
        <v>3225</v>
      </c>
      <c r="Q1401" t="s">
        <v>316</v>
      </c>
    </row>
    <row r="1402" spans="1:17" x14ac:dyDescent="0.25">
      <c r="A1402" s="2" t="str">
        <f>HYPERLINK("https://www.ncbi.nlm.nih.gov/pubmed/21162148","21162148")</f>
        <v>21162148</v>
      </c>
      <c r="B1402">
        <f t="shared" si="91"/>
        <v>1</v>
      </c>
      <c r="C1402">
        <f t="shared" si="91"/>
        <v>0</v>
      </c>
      <c r="D1402">
        <f t="shared" si="91"/>
        <v>0</v>
      </c>
      <c r="E1402">
        <f t="shared" si="89"/>
        <v>1</v>
      </c>
      <c r="F1402">
        <v>2011</v>
      </c>
      <c r="G1402" t="s">
        <v>4782</v>
      </c>
      <c r="H1402">
        <v>0</v>
      </c>
      <c r="I1402" s="65">
        <v>0</v>
      </c>
      <c r="J1402" t="s">
        <v>4783</v>
      </c>
      <c r="K1402" s="35" t="s">
        <v>968</v>
      </c>
      <c r="L1402" s="35" t="s">
        <v>7097</v>
      </c>
      <c r="M1402" s="39" t="str">
        <f>HYPERLINK("http://dx.doi.org/10.1002/ps.2037","10.1002/ps.2037")</f>
        <v>10.1002/ps.2037</v>
      </c>
      <c r="N1402" s="40" t="s">
        <v>1779</v>
      </c>
      <c r="O1402" s="40" t="s">
        <v>638</v>
      </c>
      <c r="P1402" s="40" t="s">
        <v>4784</v>
      </c>
      <c r="Q1402" t="s">
        <v>316</v>
      </c>
    </row>
    <row r="1403" spans="1:17" x14ac:dyDescent="0.25">
      <c r="A1403" s="2" t="str">
        <f>HYPERLINK("https://www.ncbi.nlm.nih.gov/pubmed/21144657","21144657")</f>
        <v>21144657</v>
      </c>
      <c r="B1403">
        <f t="shared" si="91"/>
        <v>1</v>
      </c>
      <c r="C1403">
        <f t="shared" si="91"/>
        <v>0</v>
      </c>
      <c r="D1403">
        <f t="shared" si="91"/>
        <v>0</v>
      </c>
      <c r="E1403">
        <f t="shared" si="89"/>
        <v>1</v>
      </c>
      <c r="F1403">
        <v>2011</v>
      </c>
      <c r="G1403" t="s">
        <v>4790</v>
      </c>
      <c r="H1403">
        <v>0</v>
      </c>
      <c r="I1403" s="65">
        <v>0</v>
      </c>
      <c r="J1403" t="s">
        <v>4792</v>
      </c>
      <c r="K1403" s="35" t="s">
        <v>768</v>
      </c>
      <c r="L1403" s="35" t="s">
        <v>4791</v>
      </c>
      <c r="M1403" s="39" t="str">
        <f>HYPERLINK("http://dx.doi.org/10.1016/j.jhazmat.2010.11.040","10.1016/j.jhazmat.2010.11.040")</f>
        <v>10.1016/j.jhazmat.2010.11.040</v>
      </c>
      <c r="N1403" s="40" t="s">
        <v>2863</v>
      </c>
      <c r="O1403" s="40" t="s">
        <v>638</v>
      </c>
      <c r="P1403" s="40" t="s">
        <v>4793</v>
      </c>
      <c r="Q1403" t="s">
        <v>316</v>
      </c>
    </row>
    <row r="1404" spans="1:17" x14ac:dyDescent="0.25">
      <c r="A1404" s="2" t="str">
        <f>HYPERLINK("https://www.ncbi.nlm.nih.gov/pubmed/21061956","21061956")</f>
        <v>21061956</v>
      </c>
      <c r="B1404">
        <f t="shared" ref="B1404:D1423" si="92">IF(ISBLANK(B$3),0,(LEN($L1404) - LEN(SUBSTITUTE(LOWER($L1404),LOWER(B$3),"")))/LEN(B$3))</f>
        <v>1</v>
      </c>
      <c r="C1404">
        <f t="shared" si="92"/>
        <v>0</v>
      </c>
      <c r="D1404">
        <f t="shared" si="92"/>
        <v>0</v>
      </c>
      <c r="E1404">
        <f t="shared" si="89"/>
        <v>1</v>
      </c>
      <c r="F1404">
        <v>2010</v>
      </c>
      <c r="G1404" t="s">
        <v>4803</v>
      </c>
      <c r="H1404">
        <v>0</v>
      </c>
      <c r="I1404" s="65">
        <v>0</v>
      </c>
      <c r="J1404" t="s">
        <v>4805</v>
      </c>
      <c r="K1404" s="35" t="s">
        <v>909</v>
      </c>
      <c r="L1404" s="35" t="s">
        <v>4804</v>
      </c>
      <c r="M1404" s="39" t="str">
        <f>HYPERLINK("http://dx.doi.org/10.1603/ec10034","10.1603/ec10034")</f>
        <v>10.1603/ec10034</v>
      </c>
      <c r="N1404" s="40" t="s">
        <v>2838</v>
      </c>
      <c r="O1404" s="40" t="s">
        <v>746</v>
      </c>
      <c r="P1404" s="40" t="s">
        <v>4806</v>
      </c>
      <c r="Q1404" t="s">
        <v>316</v>
      </c>
    </row>
    <row r="1405" spans="1:17" x14ac:dyDescent="0.25">
      <c r="A1405" s="2" t="str">
        <f>HYPERLINK("https://www.ncbi.nlm.nih.gov/pubmed/20853451","20853451")</f>
        <v>20853451</v>
      </c>
      <c r="B1405">
        <f t="shared" si="92"/>
        <v>1</v>
      </c>
      <c r="C1405">
        <f t="shared" si="92"/>
        <v>0</v>
      </c>
      <c r="D1405">
        <f t="shared" si="92"/>
        <v>0</v>
      </c>
      <c r="E1405">
        <f t="shared" si="89"/>
        <v>1</v>
      </c>
      <c r="F1405">
        <v>2011</v>
      </c>
      <c r="G1405" t="s">
        <v>4825</v>
      </c>
      <c r="H1405">
        <v>0</v>
      </c>
      <c r="I1405" s="65">
        <v>0</v>
      </c>
      <c r="J1405" t="s">
        <v>4827</v>
      </c>
      <c r="K1405" s="35" t="s">
        <v>755</v>
      </c>
      <c r="L1405" s="35" t="s">
        <v>4826</v>
      </c>
      <c r="M1405" s="39" t="str">
        <f>HYPERLINK("http://dx.doi.org/10.1002/etc.361","10.1002/etc.361")</f>
        <v>10.1002/etc.361</v>
      </c>
      <c r="N1405" s="40" t="s">
        <v>745</v>
      </c>
      <c r="O1405" s="40" t="s">
        <v>638</v>
      </c>
      <c r="P1405" s="40" t="s">
        <v>4828</v>
      </c>
      <c r="Q1405" t="s">
        <v>316</v>
      </c>
    </row>
    <row r="1406" spans="1:17" x14ac:dyDescent="0.25">
      <c r="A1406" s="2" t="str">
        <f>HYPERLINK("https://www.ncbi.nlm.nih.gov/pubmed/20824685","20824685")</f>
        <v>20824685</v>
      </c>
      <c r="B1406">
        <f t="shared" si="92"/>
        <v>1</v>
      </c>
      <c r="C1406">
        <f t="shared" si="92"/>
        <v>0</v>
      </c>
      <c r="D1406">
        <f t="shared" si="92"/>
        <v>0</v>
      </c>
      <c r="E1406">
        <f t="shared" si="89"/>
        <v>1</v>
      </c>
      <c r="F1406">
        <v>2010</v>
      </c>
      <c r="G1406" t="s">
        <v>4838</v>
      </c>
      <c r="H1406">
        <v>0</v>
      </c>
      <c r="I1406" s="65">
        <v>0</v>
      </c>
      <c r="J1406" t="s">
        <v>4840</v>
      </c>
      <c r="K1406" s="35" t="s">
        <v>968</v>
      </c>
      <c r="L1406" s="35" t="s">
        <v>4839</v>
      </c>
      <c r="M1406" s="39" t="str">
        <f>HYPERLINK("http://dx.doi.org/10.1002/ps.2023","10.1002/ps.2023")</f>
        <v>10.1002/ps.2023</v>
      </c>
      <c r="N1406" s="40" t="s">
        <v>2424</v>
      </c>
      <c r="O1406" s="40" t="s">
        <v>915</v>
      </c>
      <c r="P1406" s="40" t="s">
        <v>4841</v>
      </c>
      <c r="Q1406" t="s">
        <v>316</v>
      </c>
    </row>
    <row r="1407" spans="1:17" x14ac:dyDescent="0.25">
      <c r="A1407" s="2" t="str">
        <f>HYPERLINK("https://www.ncbi.nlm.nih.gov/pubmed/20821561","20821561")</f>
        <v>20821561</v>
      </c>
      <c r="B1407">
        <f t="shared" si="92"/>
        <v>1</v>
      </c>
      <c r="C1407">
        <f t="shared" si="92"/>
        <v>0</v>
      </c>
      <c r="D1407">
        <f t="shared" si="92"/>
        <v>0</v>
      </c>
      <c r="E1407">
        <f t="shared" si="89"/>
        <v>1</v>
      </c>
      <c r="F1407">
        <v>2010</v>
      </c>
      <c r="G1407" t="s">
        <v>4842</v>
      </c>
      <c r="H1407">
        <v>0</v>
      </c>
      <c r="I1407" s="65">
        <v>0</v>
      </c>
      <c r="J1407" t="s">
        <v>4843</v>
      </c>
      <c r="K1407" s="35" t="s">
        <v>755</v>
      </c>
      <c r="L1407" s="35" t="s">
        <v>7100</v>
      </c>
      <c r="M1407" s="39" t="str">
        <f>HYPERLINK("http://dx.doi.org/10.1002/etc.184","10.1002/etc.184")</f>
        <v>10.1002/etc.184</v>
      </c>
      <c r="N1407" s="40" t="s">
        <v>858</v>
      </c>
      <c r="O1407" s="40" t="s">
        <v>741</v>
      </c>
      <c r="P1407" s="40" t="s">
        <v>4844</v>
      </c>
      <c r="Q1407" t="s">
        <v>316</v>
      </c>
    </row>
    <row r="1408" spans="1:17" x14ac:dyDescent="0.25">
      <c r="A1408" s="2" t="str">
        <f>HYPERLINK("https://www.ncbi.nlm.nih.gov/pubmed/20736058","20736058")</f>
        <v>20736058</v>
      </c>
      <c r="B1408">
        <f t="shared" si="92"/>
        <v>1</v>
      </c>
      <c r="C1408">
        <f t="shared" si="92"/>
        <v>0</v>
      </c>
      <c r="D1408">
        <f t="shared" si="92"/>
        <v>0</v>
      </c>
      <c r="E1408">
        <f t="shared" si="89"/>
        <v>1</v>
      </c>
      <c r="F1408">
        <v>2010</v>
      </c>
      <c r="G1408" t="s">
        <v>4857</v>
      </c>
      <c r="H1408">
        <v>0</v>
      </c>
      <c r="I1408" s="65">
        <v>0</v>
      </c>
      <c r="J1408" t="s">
        <v>4859</v>
      </c>
      <c r="K1408" s="35" t="s">
        <v>4860</v>
      </c>
      <c r="L1408" s="35" t="s">
        <v>4858</v>
      </c>
      <c r="M1408" s="39" t="str">
        <f>HYPERLINK("http://dx.doi.org/10.1016/j.tiv.2010.08.014","10.1016/j.tiv.2010.08.014")</f>
        <v>10.1016/j.tiv.2010.08.014</v>
      </c>
      <c r="N1408" s="40" t="s">
        <v>1188</v>
      </c>
      <c r="O1408" s="40" t="s">
        <v>748</v>
      </c>
      <c r="P1408" s="40" t="s">
        <v>4861</v>
      </c>
      <c r="Q1408" t="s">
        <v>316</v>
      </c>
    </row>
    <row r="1409" spans="1:17" x14ac:dyDescent="0.25">
      <c r="A1409" s="2" t="str">
        <f>HYPERLINK("https://www.ncbi.nlm.nih.gov/pubmed/20551995","20551995")</f>
        <v>20551995</v>
      </c>
      <c r="B1409">
        <f t="shared" si="92"/>
        <v>1</v>
      </c>
      <c r="C1409">
        <f t="shared" si="92"/>
        <v>0</v>
      </c>
      <c r="D1409">
        <f t="shared" si="92"/>
        <v>0</v>
      </c>
      <c r="E1409">
        <f t="shared" si="89"/>
        <v>1</v>
      </c>
      <c r="F1409">
        <v>2011</v>
      </c>
      <c r="G1409" t="s">
        <v>4895</v>
      </c>
      <c r="H1409">
        <v>0</v>
      </c>
      <c r="I1409" s="64" t="str">
        <f>HYPERLINK("https://www.ncbi.nlm.nih.gov/research/pubtator/?view=docsum&amp;query=PMC3377445","1")</f>
        <v>1</v>
      </c>
      <c r="J1409" t="s">
        <v>4896</v>
      </c>
      <c r="K1409" s="35" t="s">
        <v>4897</v>
      </c>
      <c r="L1409" s="35" t="s">
        <v>7105</v>
      </c>
      <c r="M1409" s="39" t="str">
        <f>HYPERLINK("http://dx.doi.org/10.1038/jes.2010.18","10.1038/jes.2010.18")</f>
        <v>10.1038/jes.2010.18</v>
      </c>
      <c r="N1409" s="40" t="s">
        <v>1364</v>
      </c>
      <c r="O1409" s="40" t="s">
        <v>750</v>
      </c>
      <c r="P1409" s="40" t="s">
        <v>4898</v>
      </c>
      <c r="Q1409" t="s">
        <v>316</v>
      </c>
    </row>
    <row r="1410" spans="1:17" x14ac:dyDescent="0.25">
      <c r="A1410" s="2" t="str">
        <f>HYPERLINK("https://www.ncbi.nlm.nih.gov/pubmed/20434413","20434413")</f>
        <v>20434413</v>
      </c>
      <c r="B1410">
        <f t="shared" si="92"/>
        <v>1</v>
      </c>
      <c r="C1410">
        <f t="shared" si="92"/>
        <v>0</v>
      </c>
      <c r="D1410">
        <f t="shared" si="92"/>
        <v>0</v>
      </c>
      <c r="E1410">
        <f t="shared" si="89"/>
        <v>1</v>
      </c>
      <c r="F1410">
        <v>2010</v>
      </c>
      <c r="G1410" t="s">
        <v>4915</v>
      </c>
      <c r="H1410">
        <v>0</v>
      </c>
      <c r="I1410" s="64" t="str">
        <f>HYPERLINK("https://www.ncbi.nlm.nih.gov/research/pubtator/?view=docsum&amp;query=PMC3024141","1")</f>
        <v>1</v>
      </c>
      <c r="J1410" t="s">
        <v>4917</v>
      </c>
      <c r="K1410" s="35" t="s">
        <v>1815</v>
      </c>
      <c r="L1410" s="35" t="s">
        <v>4916</v>
      </c>
      <c r="M1410" s="39" t="str">
        <f>HYPERLINK("http://dx.doi.org/10.1016/j.jchromb.2010.03.015","10.1016/j.jchromb.2010.03.015")</f>
        <v>10.1016/j.jchromb.2010.03.015</v>
      </c>
      <c r="N1410" s="40" t="s">
        <v>4879</v>
      </c>
      <c r="O1410" s="40" t="s">
        <v>1116</v>
      </c>
      <c r="P1410" s="40" t="s">
        <v>4918</v>
      </c>
      <c r="Q1410" t="s">
        <v>316</v>
      </c>
    </row>
    <row r="1411" spans="1:17" x14ac:dyDescent="0.25">
      <c r="A1411" s="2" t="str">
        <f>HYPERLINK("https://www.ncbi.nlm.nih.gov/pubmed/20390945","20390945")</f>
        <v>20390945</v>
      </c>
      <c r="B1411">
        <f t="shared" si="92"/>
        <v>1</v>
      </c>
      <c r="C1411">
        <f t="shared" si="92"/>
        <v>0</v>
      </c>
      <c r="D1411">
        <f t="shared" si="92"/>
        <v>0</v>
      </c>
      <c r="E1411">
        <f t="shared" si="89"/>
        <v>1</v>
      </c>
      <c r="F1411">
        <v>2010</v>
      </c>
      <c r="G1411" t="s">
        <v>4925</v>
      </c>
      <c r="H1411">
        <v>0</v>
      </c>
      <c r="I1411" s="65">
        <v>0</v>
      </c>
      <c r="J1411" t="s">
        <v>4927</v>
      </c>
      <c r="K1411" s="35" t="s">
        <v>1413</v>
      </c>
      <c r="L1411" s="35" t="s">
        <v>4926</v>
      </c>
      <c r="M1411" s="39" t="str">
        <f>HYPERLINK("http://dx.doi.org/10.1080/03601230903472165","10.1080/03601230903472165")</f>
        <v>10.1080/03601230903472165</v>
      </c>
      <c r="N1411" s="40" t="s">
        <v>765</v>
      </c>
      <c r="O1411" s="40" t="s">
        <v>744</v>
      </c>
      <c r="P1411" s="40" t="s">
        <v>4928</v>
      </c>
      <c r="Q1411" t="s">
        <v>316</v>
      </c>
    </row>
    <row r="1412" spans="1:17" x14ac:dyDescent="0.25">
      <c r="A1412" s="2" t="str">
        <f>HYPERLINK("https://www.ncbi.nlm.nih.gov/pubmed/20359757","20359757")</f>
        <v>20359757</v>
      </c>
      <c r="B1412">
        <f t="shared" si="92"/>
        <v>1</v>
      </c>
      <c r="C1412">
        <f t="shared" si="92"/>
        <v>0</v>
      </c>
      <c r="D1412">
        <f t="shared" si="92"/>
        <v>0</v>
      </c>
      <c r="E1412">
        <f t="shared" ref="E1412:E1475" si="93">SUM(B1412:D1412)</f>
        <v>1</v>
      </c>
      <c r="F1412">
        <v>2010</v>
      </c>
      <c r="G1412" t="s">
        <v>4938</v>
      </c>
      <c r="H1412">
        <v>0</v>
      </c>
      <c r="I1412" s="65">
        <v>0</v>
      </c>
      <c r="J1412" t="s">
        <v>4939</v>
      </c>
      <c r="K1412" s="35" t="s">
        <v>763</v>
      </c>
      <c r="L1412" s="35" t="s">
        <v>7108</v>
      </c>
      <c r="M1412" s="39" t="str">
        <f>HYPERLINK("http://dx.doi.org/10.1016/j.aquatox.2010.02.021","10.1016/j.aquatox.2010.02.021")</f>
        <v>10.1016/j.aquatox.2010.02.021</v>
      </c>
      <c r="N1412" s="40" t="s">
        <v>3516</v>
      </c>
      <c r="O1412" s="40" t="s">
        <v>750</v>
      </c>
      <c r="P1412" s="40" t="s">
        <v>4940</v>
      </c>
      <c r="Q1412" t="s">
        <v>316</v>
      </c>
    </row>
    <row r="1413" spans="1:17" x14ac:dyDescent="0.25">
      <c r="A1413" s="2" t="str">
        <f>HYPERLINK("https://www.ncbi.nlm.nih.gov/pubmed/23766075","23766075")</f>
        <v>23766075</v>
      </c>
      <c r="B1413">
        <f t="shared" si="92"/>
        <v>1</v>
      </c>
      <c r="C1413">
        <f t="shared" si="92"/>
        <v>0</v>
      </c>
      <c r="D1413">
        <f t="shared" si="92"/>
        <v>0</v>
      </c>
      <c r="E1413">
        <f t="shared" si="93"/>
        <v>1</v>
      </c>
      <c r="F1413">
        <v>2010</v>
      </c>
      <c r="G1413" t="s">
        <v>4941</v>
      </c>
      <c r="H1413">
        <v>0</v>
      </c>
      <c r="I1413" s="65">
        <v>0</v>
      </c>
      <c r="J1413" t="s">
        <v>4943</v>
      </c>
      <c r="K1413" s="35" t="s">
        <v>4944</v>
      </c>
      <c r="L1413" s="35" t="s">
        <v>4942</v>
      </c>
      <c r="M1413" s="39" t="str">
        <f>HYPERLINK("http://dx.doi.org/10.1111/j.1758-2229.2009.00099.x","10.1111/j.1758-2229.2009.00099.x")</f>
        <v>10.1111/j.1758-2229.2009.00099.x</v>
      </c>
      <c r="N1413" s="40" t="s">
        <v>744</v>
      </c>
      <c r="O1413" s="40" t="s">
        <v>744</v>
      </c>
      <c r="P1413" s="40" t="s">
        <v>4945</v>
      </c>
      <c r="Q1413" t="s">
        <v>316</v>
      </c>
    </row>
    <row r="1414" spans="1:17" x14ac:dyDescent="0.25">
      <c r="A1414" s="2" t="str">
        <f>HYPERLINK("https://www.ncbi.nlm.nih.gov/pubmed/20333298","20333298")</f>
        <v>20333298</v>
      </c>
      <c r="B1414">
        <f t="shared" si="92"/>
        <v>1</v>
      </c>
      <c r="C1414">
        <f t="shared" si="92"/>
        <v>0</v>
      </c>
      <c r="D1414">
        <f t="shared" si="92"/>
        <v>0</v>
      </c>
      <c r="E1414">
        <f t="shared" si="93"/>
        <v>1</v>
      </c>
      <c r="F1414">
        <v>2010</v>
      </c>
      <c r="G1414" t="s">
        <v>4946</v>
      </c>
      <c r="H1414">
        <v>0</v>
      </c>
      <c r="I1414" s="64" t="str">
        <f>HYPERLINK("https://www.ncbi.nlm.nih.gov/research/pubtator/?view=docsum&amp;query=PMC2841636","1")</f>
        <v>1</v>
      </c>
      <c r="J1414" t="s">
        <v>4947</v>
      </c>
      <c r="K1414" s="35" t="s">
        <v>779</v>
      </c>
      <c r="L1414" s="35" t="s">
        <v>7109</v>
      </c>
      <c r="M1414" s="39" t="str">
        <f>HYPERLINK("http://dx.doi.org/10.1371/journal.pone.0009754","10.1371/journal.pone.0009754")</f>
        <v>10.1371/journal.pone.0009754</v>
      </c>
      <c r="N1414" s="40" t="s">
        <v>746</v>
      </c>
      <c r="O1414" s="40" t="s">
        <v>750</v>
      </c>
      <c r="P1414" s="40" t="s">
        <v>4948</v>
      </c>
      <c r="Q1414" t="s">
        <v>316</v>
      </c>
    </row>
    <row r="1415" spans="1:17" x14ac:dyDescent="0.25">
      <c r="A1415" s="2" t="str">
        <f>HYPERLINK("https://www.ncbi.nlm.nih.gov/pubmed/20200125","20200125")</f>
        <v>20200125</v>
      </c>
      <c r="B1415">
        <f t="shared" si="92"/>
        <v>1</v>
      </c>
      <c r="C1415">
        <f t="shared" si="92"/>
        <v>0</v>
      </c>
      <c r="D1415">
        <f t="shared" si="92"/>
        <v>0</v>
      </c>
      <c r="E1415">
        <f t="shared" si="93"/>
        <v>1</v>
      </c>
      <c r="F1415">
        <v>2010</v>
      </c>
      <c r="G1415" t="s">
        <v>4960</v>
      </c>
      <c r="H1415">
        <v>0</v>
      </c>
      <c r="I1415" s="65">
        <v>0</v>
      </c>
      <c r="J1415" t="s">
        <v>4961</v>
      </c>
      <c r="K1415" s="35" t="s">
        <v>4962</v>
      </c>
      <c r="L1415" s="35" t="s">
        <v>7112</v>
      </c>
      <c r="M1415" s="39" t="str">
        <f>HYPERLINK("http://dx.doi.org/10.1152/jn.00466.2009","10.1152/jn.00466.2009")</f>
        <v>10.1152/jn.00466.2009</v>
      </c>
      <c r="N1415" s="40" t="s">
        <v>2838</v>
      </c>
      <c r="O1415" s="40" t="s">
        <v>746</v>
      </c>
      <c r="P1415" s="40" t="s">
        <v>4963</v>
      </c>
      <c r="Q1415" t="s">
        <v>316</v>
      </c>
    </row>
    <row r="1416" spans="1:17" x14ac:dyDescent="0.25">
      <c r="A1416" s="2" t="str">
        <f>HYPERLINK("https://www.ncbi.nlm.nih.gov/pubmed/20178481","20178481")</f>
        <v>20178481</v>
      </c>
      <c r="B1416">
        <f t="shared" si="92"/>
        <v>1</v>
      </c>
      <c r="C1416">
        <f t="shared" si="92"/>
        <v>0</v>
      </c>
      <c r="D1416">
        <f t="shared" si="92"/>
        <v>0</v>
      </c>
      <c r="E1416">
        <f t="shared" si="93"/>
        <v>1</v>
      </c>
      <c r="F1416">
        <v>2009</v>
      </c>
      <c r="G1416" t="s">
        <v>4967</v>
      </c>
      <c r="H1416">
        <v>0</v>
      </c>
      <c r="I1416" s="65">
        <v>0</v>
      </c>
      <c r="J1416" t="s">
        <v>4969</v>
      </c>
      <c r="K1416" s="35" t="s">
        <v>2743</v>
      </c>
      <c r="L1416" s="35" t="s">
        <v>4968</v>
      </c>
      <c r="M1416" s="39" t="str">
        <f>HYPERLINK("http://dx.doi.org/10.1111/j.1365-3164.2009.00838.x","10.1111/j.1365-3164.2009.00838.x")</f>
        <v>10.1111/j.1365-3164.2009.00838.x</v>
      </c>
      <c r="N1416" s="40" t="s">
        <v>1109</v>
      </c>
      <c r="O1416" s="40" t="s">
        <v>4970</v>
      </c>
      <c r="P1416" s="40" t="s">
        <v>4971</v>
      </c>
      <c r="Q1416" t="s">
        <v>316</v>
      </c>
    </row>
    <row r="1417" spans="1:17" x14ac:dyDescent="0.25">
      <c r="A1417" s="2" t="str">
        <f>HYPERLINK("https://www.ncbi.nlm.nih.gov/pubmed/19944072","19944072")</f>
        <v>19944072</v>
      </c>
      <c r="B1417">
        <f t="shared" si="92"/>
        <v>1</v>
      </c>
      <c r="C1417">
        <f t="shared" si="92"/>
        <v>0</v>
      </c>
      <c r="D1417">
        <f t="shared" si="92"/>
        <v>0</v>
      </c>
      <c r="E1417">
        <f t="shared" si="93"/>
        <v>1</v>
      </c>
      <c r="F1417">
        <v>2010</v>
      </c>
      <c r="G1417" t="s">
        <v>5012</v>
      </c>
      <c r="H1417">
        <v>0</v>
      </c>
      <c r="I1417" s="65">
        <v>0</v>
      </c>
      <c r="J1417" t="s">
        <v>5013</v>
      </c>
      <c r="K1417" s="35" t="s">
        <v>2854</v>
      </c>
      <c r="L1417" s="35" t="s">
        <v>7117</v>
      </c>
      <c r="M1417" s="39" t="str">
        <f>HYPERLINK("http://dx.doi.org/10.1016/j.bbrc.2009.11.131","10.1016/j.bbrc.2009.11.131")</f>
        <v>10.1016/j.bbrc.2009.11.131</v>
      </c>
      <c r="N1417" s="40" t="s">
        <v>1443</v>
      </c>
      <c r="O1417" s="40" t="s">
        <v>638</v>
      </c>
      <c r="P1417" s="40" t="s">
        <v>5014</v>
      </c>
      <c r="Q1417" t="s">
        <v>316</v>
      </c>
    </row>
    <row r="1418" spans="1:17" x14ac:dyDescent="0.25">
      <c r="A1418" s="2" t="str">
        <f>HYPERLINK("https://www.ncbi.nlm.nih.gov/pubmed/19937914","19937914")</f>
        <v>19937914</v>
      </c>
      <c r="B1418">
        <f t="shared" si="92"/>
        <v>1</v>
      </c>
      <c r="C1418">
        <f t="shared" si="92"/>
        <v>0</v>
      </c>
      <c r="D1418">
        <f t="shared" si="92"/>
        <v>0</v>
      </c>
      <c r="E1418">
        <f t="shared" si="93"/>
        <v>1</v>
      </c>
      <c r="F1418">
        <v>2010</v>
      </c>
      <c r="G1418" t="s">
        <v>5019</v>
      </c>
      <c r="H1418">
        <v>0</v>
      </c>
      <c r="I1418" s="65">
        <v>0</v>
      </c>
      <c r="J1418" t="s">
        <v>5020</v>
      </c>
      <c r="K1418" s="35" t="s">
        <v>968</v>
      </c>
      <c r="L1418" s="35" t="s">
        <v>7118</v>
      </c>
      <c r="M1418" s="39" t="str">
        <f>HYPERLINK("http://dx.doi.org/10.1002/ps.1877","10.1002/ps.1877")</f>
        <v>10.1002/ps.1877</v>
      </c>
      <c r="N1418" s="40" t="s">
        <v>2424</v>
      </c>
      <c r="O1418" s="40" t="s">
        <v>750</v>
      </c>
      <c r="P1418" s="40" t="s">
        <v>5021</v>
      </c>
      <c r="Q1418" t="s">
        <v>316</v>
      </c>
    </row>
    <row r="1419" spans="1:17" x14ac:dyDescent="0.25">
      <c r="A1419" s="2" t="str">
        <f>HYPERLINK("https://www.ncbi.nlm.nih.gov/pubmed/19906878","19906878")</f>
        <v>19906878</v>
      </c>
      <c r="B1419">
        <f t="shared" si="92"/>
        <v>1</v>
      </c>
      <c r="C1419">
        <f t="shared" si="92"/>
        <v>0</v>
      </c>
      <c r="D1419">
        <f t="shared" si="92"/>
        <v>0</v>
      </c>
      <c r="E1419">
        <f t="shared" si="93"/>
        <v>1</v>
      </c>
      <c r="F1419">
        <v>2010</v>
      </c>
      <c r="G1419" t="s">
        <v>5026</v>
      </c>
      <c r="H1419">
        <v>0</v>
      </c>
      <c r="I1419" s="65">
        <v>0</v>
      </c>
      <c r="J1419" t="s">
        <v>5027</v>
      </c>
      <c r="K1419" s="35" t="s">
        <v>4962</v>
      </c>
      <c r="L1419" s="35" t="s">
        <v>7119</v>
      </c>
      <c r="M1419" s="39" t="str">
        <f>HYPERLINK("http://dx.doi.org/10.1152/jn.00798.2009","10.1152/jn.00798.2009")</f>
        <v>10.1152/jn.00798.2009</v>
      </c>
      <c r="N1419" s="40" t="s">
        <v>2838</v>
      </c>
      <c r="O1419" s="40" t="s">
        <v>638</v>
      </c>
      <c r="P1419" s="40" t="s">
        <v>5028</v>
      </c>
      <c r="Q1419" t="s">
        <v>316</v>
      </c>
    </row>
    <row r="1420" spans="1:17" x14ac:dyDescent="0.25">
      <c r="A1420" s="2" t="str">
        <f>HYPERLINK("https://www.ncbi.nlm.nih.gov/pubmed/19890946","19890946")</f>
        <v>19890946</v>
      </c>
      <c r="B1420">
        <f t="shared" si="92"/>
        <v>1</v>
      </c>
      <c r="C1420">
        <f t="shared" si="92"/>
        <v>0</v>
      </c>
      <c r="D1420">
        <f t="shared" si="92"/>
        <v>0</v>
      </c>
      <c r="E1420">
        <f t="shared" si="93"/>
        <v>1</v>
      </c>
      <c r="F1420">
        <v>2010</v>
      </c>
      <c r="G1420" t="s">
        <v>5029</v>
      </c>
      <c r="H1420">
        <v>0</v>
      </c>
      <c r="I1420" s="65">
        <v>0</v>
      </c>
      <c r="J1420" t="s">
        <v>5031</v>
      </c>
      <c r="K1420" s="35" t="s">
        <v>968</v>
      </c>
      <c r="L1420" s="35" t="s">
        <v>5030</v>
      </c>
      <c r="M1420" s="39" t="str">
        <f>HYPERLINK("http://dx.doi.org/10.1002/ps.1871","10.1002/ps.1871")</f>
        <v>10.1002/ps.1871</v>
      </c>
      <c r="N1420" s="40" t="s">
        <v>2424</v>
      </c>
      <c r="O1420" s="40" t="s">
        <v>750</v>
      </c>
      <c r="P1420" s="40" t="s">
        <v>5032</v>
      </c>
      <c r="Q1420" t="s">
        <v>316</v>
      </c>
    </row>
    <row r="1421" spans="1:17" x14ac:dyDescent="0.25">
      <c r="A1421" s="2" t="str">
        <f>HYPERLINK("https://www.ncbi.nlm.nih.gov/pubmed/19603637","19603637")</f>
        <v>19603637</v>
      </c>
      <c r="B1421">
        <f t="shared" si="92"/>
        <v>1</v>
      </c>
      <c r="C1421">
        <f t="shared" si="92"/>
        <v>0</v>
      </c>
      <c r="D1421">
        <f t="shared" si="92"/>
        <v>0</v>
      </c>
      <c r="E1421">
        <f t="shared" si="93"/>
        <v>1</v>
      </c>
      <c r="F1421">
        <v>2009</v>
      </c>
      <c r="G1421" t="s">
        <v>5087</v>
      </c>
      <c r="H1421">
        <v>0</v>
      </c>
      <c r="I1421" s="65">
        <v>0</v>
      </c>
      <c r="J1421" t="s">
        <v>5089</v>
      </c>
      <c r="K1421" s="35" t="s">
        <v>1058</v>
      </c>
      <c r="L1421" s="35" t="s">
        <v>5088</v>
      </c>
      <c r="M1421" s="39" t="str">
        <f>HYPERLINK("http://dx.doi.org/10.1021/es8030243","10.1021/es8030243")</f>
        <v>10.1021/es8030243</v>
      </c>
      <c r="N1421" s="40" t="s">
        <v>1279</v>
      </c>
      <c r="O1421" s="40" t="s">
        <v>915</v>
      </c>
      <c r="P1421" s="40" t="s">
        <v>5090</v>
      </c>
      <c r="Q1421" t="s">
        <v>316</v>
      </c>
    </row>
    <row r="1422" spans="1:17" x14ac:dyDescent="0.25">
      <c r="A1422" s="2" t="str">
        <f>HYPERLINK("https://www.ncbi.nlm.nih.gov/pubmed/19445514","19445514")</f>
        <v>19445514</v>
      </c>
      <c r="B1422">
        <f t="shared" si="92"/>
        <v>1</v>
      </c>
      <c r="C1422">
        <f t="shared" si="92"/>
        <v>0</v>
      </c>
      <c r="D1422">
        <f t="shared" si="92"/>
        <v>0</v>
      </c>
      <c r="E1422">
        <f t="shared" si="93"/>
        <v>1</v>
      </c>
      <c r="F1422">
        <v>2009</v>
      </c>
      <c r="G1422" t="s">
        <v>5114</v>
      </c>
      <c r="H1422">
        <v>0</v>
      </c>
      <c r="I1422" s="65">
        <v>0</v>
      </c>
      <c r="J1422" t="s">
        <v>5116</v>
      </c>
      <c r="K1422" s="35" t="s">
        <v>5117</v>
      </c>
      <c r="L1422" s="35" t="s">
        <v>5115</v>
      </c>
      <c r="M1422" s="39" t="str">
        <f>HYPERLINK("http://dx.doi.org/10.1021/jm801334v","10.1021/jm801334v")</f>
        <v>10.1021/jm801334v</v>
      </c>
      <c r="N1422" s="40" t="s">
        <v>756</v>
      </c>
      <c r="O1422" s="40" t="s">
        <v>678</v>
      </c>
      <c r="P1422" s="40" t="s">
        <v>5118</v>
      </c>
      <c r="Q1422" t="s">
        <v>316</v>
      </c>
    </row>
    <row r="1423" spans="1:17" x14ac:dyDescent="0.25">
      <c r="A1423" s="2" t="str">
        <f>HYPERLINK("https://www.ncbi.nlm.nih.gov/pubmed/19382925","19382925")</f>
        <v>19382925</v>
      </c>
      <c r="B1423">
        <f t="shared" si="92"/>
        <v>1</v>
      </c>
      <c r="C1423">
        <f t="shared" si="92"/>
        <v>0</v>
      </c>
      <c r="D1423">
        <f t="shared" si="92"/>
        <v>0</v>
      </c>
      <c r="E1423">
        <f t="shared" si="93"/>
        <v>1</v>
      </c>
      <c r="F1423">
        <v>2009</v>
      </c>
      <c r="G1423" t="s">
        <v>5131</v>
      </c>
      <c r="H1423">
        <v>0</v>
      </c>
      <c r="I1423" s="65">
        <v>0</v>
      </c>
      <c r="J1423" t="s">
        <v>5133</v>
      </c>
      <c r="K1423" s="35" t="s">
        <v>5134</v>
      </c>
      <c r="L1423" s="35" t="s">
        <v>5132</v>
      </c>
      <c r="M1423" s="39" t="str">
        <f>HYPERLINK("http://dx.doi.org/10.1111/j.1751-0813.2009.00420.x","10.1111/j.1751-0813.2009.00420.x")</f>
        <v>10.1111/j.1751-0813.2009.00420.x</v>
      </c>
      <c r="N1423" s="40" t="s">
        <v>5135</v>
      </c>
      <c r="O1423" s="40" t="s">
        <v>746</v>
      </c>
      <c r="P1423" s="40" t="s">
        <v>5136</v>
      </c>
      <c r="Q1423" t="s">
        <v>316</v>
      </c>
    </row>
    <row r="1424" spans="1:17" x14ac:dyDescent="0.25">
      <c r="A1424" s="2" t="str">
        <f>HYPERLINK("https://www.ncbi.nlm.nih.gov/pubmed/19362400","19362400")</f>
        <v>19362400</v>
      </c>
      <c r="B1424">
        <f t="shared" ref="B1424:D1443" si="94">IF(ISBLANK(B$3),0,(LEN($L1424) - LEN(SUBSTITUTE(LOWER($L1424),LOWER(B$3),"")))/LEN(B$3))</f>
        <v>1</v>
      </c>
      <c r="C1424">
        <f t="shared" si="94"/>
        <v>0</v>
      </c>
      <c r="D1424">
        <f t="shared" si="94"/>
        <v>0</v>
      </c>
      <c r="E1424">
        <f t="shared" si="93"/>
        <v>1</v>
      </c>
      <c r="F1424">
        <v>2009</v>
      </c>
      <c r="G1424" t="s">
        <v>5137</v>
      </c>
      <c r="H1424">
        <v>0</v>
      </c>
      <c r="I1424" s="65">
        <v>0</v>
      </c>
      <c r="J1424" t="s">
        <v>5139</v>
      </c>
      <c r="K1424" s="35" t="s">
        <v>707</v>
      </c>
      <c r="L1424" s="35" t="s">
        <v>5138</v>
      </c>
      <c r="M1424" s="39" t="str">
        <f>HYPERLINK("http://dx.doi.org/10.1016/j.envpol.2009.03.016","10.1016/j.envpol.2009.03.016")</f>
        <v>10.1016/j.envpol.2009.03.016</v>
      </c>
      <c r="N1424" s="40" t="s">
        <v>1986</v>
      </c>
      <c r="O1424" s="40" t="s">
        <v>5140</v>
      </c>
      <c r="P1424" s="40" t="s">
        <v>5141</v>
      </c>
      <c r="Q1424" t="s">
        <v>316</v>
      </c>
    </row>
    <row r="1425" spans="1:17" x14ac:dyDescent="0.25">
      <c r="A1425" s="2" t="str">
        <f>HYPERLINK("https://www.ncbi.nlm.nih.gov/pubmed/19336526","19336526")</f>
        <v>19336526</v>
      </c>
      <c r="B1425">
        <f t="shared" si="94"/>
        <v>1</v>
      </c>
      <c r="C1425">
        <f t="shared" si="94"/>
        <v>0</v>
      </c>
      <c r="D1425">
        <f t="shared" si="94"/>
        <v>0</v>
      </c>
      <c r="E1425">
        <f t="shared" si="93"/>
        <v>1</v>
      </c>
      <c r="F1425">
        <v>2009</v>
      </c>
      <c r="G1425" t="s">
        <v>5150</v>
      </c>
      <c r="H1425">
        <v>0</v>
      </c>
      <c r="I1425" s="64" t="str">
        <f>HYPERLINK("https://www.ncbi.nlm.nih.gov/research/pubtator/?view=docsum&amp;query=PMC2684884","1")</f>
        <v>1</v>
      </c>
      <c r="J1425" t="s">
        <v>5151</v>
      </c>
      <c r="K1425" s="35" t="s">
        <v>2824</v>
      </c>
      <c r="L1425" s="35" t="s">
        <v>7125</v>
      </c>
      <c r="M1425" s="39" t="str">
        <f>HYPERLINK("http://dx.doi.org/10.1124/mol.108.053363","10.1124/mol.108.053363")</f>
        <v>10.1124/mol.108.053363</v>
      </c>
      <c r="N1425" s="40" t="s">
        <v>2041</v>
      </c>
      <c r="O1425" s="40" t="s">
        <v>741</v>
      </c>
      <c r="P1425" s="40" t="s">
        <v>5152</v>
      </c>
      <c r="Q1425" t="s">
        <v>316</v>
      </c>
    </row>
    <row r="1426" spans="1:17" x14ac:dyDescent="0.25">
      <c r="A1426" s="2" t="str">
        <f>HYPERLINK("https://www.ncbi.nlm.nih.gov/pubmed/19183821","19183821")</f>
        <v>19183821</v>
      </c>
      <c r="B1426">
        <f t="shared" si="94"/>
        <v>1</v>
      </c>
      <c r="C1426">
        <f t="shared" si="94"/>
        <v>0</v>
      </c>
      <c r="D1426">
        <f t="shared" si="94"/>
        <v>0</v>
      </c>
      <c r="E1426">
        <f t="shared" si="93"/>
        <v>1</v>
      </c>
      <c r="F1426">
        <v>2009</v>
      </c>
      <c r="G1426" t="s">
        <v>5177</v>
      </c>
      <c r="H1426">
        <v>0</v>
      </c>
      <c r="I1426" s="65">
        <v>0</v>
      </c>
      <c r="J1426" t="s">
        <v>5179</v>
      </c>
      <c r="K1426" s="35" t="s">
        <v>3164</v>
      </c>
      <c r="L1426" s="35" t="s">
        <v>5178</v>
      </c>
      <c r="M1426" s="39" t="str">
        <f>HYPERLINK("http://dx.doi.org/10.1007/s00128-009-9653-4","10.1007/s00128-009-9653-4")</f>
        <v>10.1007/s00128-009-9653-4</v>
      </c>
      <c r="N1426" s="40" t="s">
        <v>1332</v>
      </c>
      <c r="O1426" s="40" t="s">
        <v>690</v>
      </c>
      <c r="P1426" s="40" t="s">
        <v>5180</v>
      </c>
      <c r="Q1426" t="s">
        <v>316</v>
      </c>
    </row>
    <row r="1427" spans="1:17" x14ac:dyDescent="0.25">
      <c r="A1427" s="2" t="str">
        <f>HYPERLINK("https://www.ncbi.nlm.nih.gov/pubmed/19172599","19172599")</f>
        <v>19172599</v>
      </c>
      <c r="B1427">
        <f t="shared" si="94"/>
        <v>1</v>
      </c>
      <c r="C1427">
        <f t="shared" si="94"/>
        <v>2</v>
      </c>
      <c r="D1427">
        <f t="shared" si="94"/>
        <v>0</v>
      </c>
      <c r="E1427">
        <f t="shared" si="93"/>
        <v>3</v>
      </c>
      <c r="F1427">
        <v>2009</v>
      </c>
      <c r="G1427" t="s">
        <v>5181</v>
      </c>
      <c r="H1427">
        <v>0</v>
      </c>
      <c r="I1427" s="65">
        <v>0</v>
      </c>
      <c r="J1427" t="s">
        <v>5183</v>
      </c>
      <c r="K1427" s="35" t="s">
        <v>968</v>
      </c>
      <c r="L1427" s="35" t="s">
        <v>5182</v>
      </c>
      <c r="M1427" s="39" t="str">
        <f>HYPERLINK("http://dx.doi.org/10.1002/ps.1700","10.1002/ps.1700")</f>
        <v>10.1002/ps.1700</v>
      </c>
      <c r="N1427" s="40" t="s">
        <v>2738</v>
      </c>
      <c r="O1427" s="40" t="s">
        <v>690</v>
      </c>
      <c r="P1427" s="40" t="s">
        <v>5184</v>
      </c>
      <c r="Q1427" t="s">
        <v>316</v>
      </c>
    </row>
    <row r="1428" spans="1:17" x14ac:dyDescent="0.25">
      <c r="A1428" s="2" t="str">
        <f>HYPERLINK("https://www.ncbi.nlm.nih.gov/pubmed/19118833","19118833")</f>
        <v>19118833</v>
      </c>
      <c r="B1428">
        <f t="shared" si="94"/>
        <v>1</v>
      </c>
      <c r="C1428">
        <f t="shared" si="94"/>
        <v>0</v>
      </c>
      <c r="D1428">
        <f t="shared" si="94"/>
        <v>0</v>
      </c>
      <c r="E1428">
        <f t="shared" si="93"/>
        <v>1</v>
      </c>
      <c r="F1428">
        <v>2009</v>
      </c>
      <c r="G1428" t="s">
        <v>5189</v>
      </c>
      <c r="H1428">
        <v>0</v>
      </c>
      <c r="I1428" s="65">
        <v>0</v>
      </c>
      <c r="J1428" t="s">
        <v>5191</v>
      </c>
      <c r="K1428" s="35" t="s">
        <v>1340</v>
      </c>
      <c r="L1428" s="35" t="s">
        <v>5190</v>
      </c>
      <c r="M1428" s="39" t="str">
        <f>HYPERLINK("http://dx.doi.org/10.1016/j.chroma.2008.11.076","10.1016/j.chroma.2008.11.076")</f>
        <v>10.1016/j.chroma.2008.11.076</v>
      </c>
      <c r="N1428" s="40" t="s">
        <v>5192</v>
      </c>
      <c r="O1428" s="40" t="s">
        <v>741</v>
      </c>
      <c r="P1428" s="40" t="s">
        <v>5193</v>
      </c>
      <c r="Q1428" t="s">
        <v>316</v>
      </c>
    </row>
    <row r="1429" spans="1:17" x14ac:dyDescent="0.25">
      <c r="A1429" s="2" t="str">
        <f>HYPERLINK("https://www.ncbi.nlm.nih.gov/pubmed/18936865","18936865")</f>
        <v>18936865</v>
      </c>
      <c r="B1429">
        <f t="shared" si="94"/>
        <v>1</v>
      </c>
      <c r="C1429">
        <f t="shared" si="94"/>
        <v>0</v>
      </c>
      <c r="D1429">
        <f t="shared" si="94"/>
        <v>0</v>
      </c>
      <c r="E1429">
        <f t="shared" si="93"/>
        <v>1</v>
      </c>
      <c r="F1429">
        <v>2009</v>
      </c>
      <c r="G1429" t="s">
        <v>5221</v>
      </c>
      <c r="H1429">
        <v>0</v>
      </c>
      <c r="I1429" s="65">
        <v>0</v>
      </c>
      <c r="J1429" t="s">
        <v>5223</v>
      </c>
      <c r="K1429" s="35" t="s">
        <v>3164</v>
      </c>
      <c r="L1429" s="35" t="s">
        <v>5222</v>
      </c>
      <c r="M1429" s="39" t="str">
        <f>HYPERLINK("http://dx.doi.org/10.1007/s00128-008-9572-9","10.1007/s00128-008-9572-9")</f>
        <v>10.1007/s00128-008-9572-9</v>
      </c>
      <c r="N1429" s="40" t="s">
        <v>1332</v>
      </c>
      <c r="O1429" s="40" t="s">
        <v>750</v>
      </c>
      <c r="P1429" s="40" t="s">
        <v>5224</v>
      </c>
      <c r="Q1429" t="s">
        <v>316</v>
      </c>
    </row>
    <row r="1430" spans="1:17" x14ac:dyDescent="0.25">
      <c r="A1430" s="2" t="str">
        <f>HYPERLINK("https://www.ncbi.nlm.nih.gov/pubmed/18699815","18699815")</f>
        <v>18699815</v>
      </c>
      <c r="B1430">
        <f t="shared" si="94"/>
        <v>1</v>
      </c>
      <c r="C1430">
        <f t="shared" si="94"/>
        <v>0</v>
      </c>
      <c r="D1430">
        <f t="shared" si="94"/>
        <v>0</v>
      </c>
      <c r="E1430">
        <f t="shared" si="93"/>
        <v>1</v>
      </c>
      <c r="F1430">
        <v>2008</v>
      </c>
      <c r="G1430" t="s">
        <v>5253</v>
      </c>
      <c r="H1430">
        <v>0</v>
      </c>
      <c r="I1430" s="65">
        <v>0</v>
      </c>
      <c r="J1430" t="s">
        <v>5255</v>
      </c>
      <c r="K1430" s="35" t="s">
        <v>2743</v>
      </c>
      <c r="L1430" s="35" t="s">
        <v>5254</v>
      </c>
      <c r="M1430" s="39" t="str">
        <f>HYPERLINK("http://dx.doi.org/10.1111/j.1365-3164.2008.00688.x","10.1111/j.1365-3164.2008.00688.x")</f>
        <v>10.1111/j.1365-3164.2008.00688.x</v>
      </c>
      <c r="N1430" s="40" t="s">
        <v>1115</v>
      </c>
      <c r="O1430" s="40" t="s">
        <v>746</v>
      </c>
      <c r="P1430" s="40" t="s">
        <v>5256</v>
      </c>
      <c r="Q1430" t="s">
        <v>316</v>
      </c>
    </row>
    <row r="1431" spans="1:17" x14ac:dyDescent="0.25">
      <c r="A1431" s="2" t="str">
        <f>HYPERLINK("https://www.ncbi.nlm.nih.gov/pubmed/18568753","18568753")</f>
        <v>18568753</v>
      </c>
      <c r="B1431">
        <f t="shared" si="94"/>
        <v>1</v>
      </c>
      <c r="C1431">
        <f t="shared" si="94"/>
        <v>1</v>
      </c>
      <c r="D1431">
        <f t="shared" si="94"/>
        <v>0</v>
      </c>
      <c r="E1431">
        <f t="shared" si="93"/>
        <v>2</v>
      </c>
      <c r="F1431">
        <v>2008</v>
      </c>
      <c r="G1431" t="s">
        <v>5291</v>
      </c>
      <c r="H1431">
        <v>0</v>
      </c>
      <c r="I1431" s="65">
        <v>0</v>
      </c>
      <c r="J1431" t="s">
        <v>5293</v>
      </c>
      <c r="K1431" s="35" t="s">
        <v>5294</v>
      </c>
      <c r="L1431" s="35" t="s">
        <v>5292</v>
      </c>
      <c r="M1431" s="39" t="str">
        <f>HYPERLINK("http://dx.doi.org/10.1080/00071660802123344","10.1080/00071660802123344")</f>
        <v>10.1080/00071660802123344</v>
      </c>
      <c r="N1431" s="40" t="s">
        <v>2085</v>
      </c>
      <c r="O1431" s="40" t="s">
        <v>750</v>
      </c>
      <c r="P1431" s="40" t="s">
        <v>5295</v>
      </c>
      <c r="Q1431" t="s">
        <v>316</v>
      </c>
    </row>
    <row r="1432" spans="1:17" x14ac:dyDescent="0.25">
      <c r="A1432" s="2" t="str">
        <f>HYPERLINK("https://www.ncbi.nlm.nih.gov/pubmed/18459413","18459413")</f>
        <v>18459413</v>
      </c>
      <c r="B1432">
        <f t="shared" si="94"/>
        <v>1</v>
      </c>
      <c r="C1432">
        <f t="shared" si="94"/>
        <v>0</v>
      </c>
      <c r="D1432">
        <f t="shared" si="94"/>
        <v>0</v>
      </c>
      <c r="E1432">
        <f t="shared" si="93"/>
        <v>1</v>
      </c>
      <c r="F1432">
        <v>2008</v>
      </c>
      <c r="G1432" t="s">
        <v>5317</v>
      </c>
      <c r="H1432">
        <v>0</v>
      </c>
      <c r="I1432" s="65">
        <v>0</v>
      </c>
      <c r="J1432" t="s">
        <v>5319</v>
      </c>
      <c r="K1432" s="35" t="s">
        <v>909</v>
      </c>
      <c r="L1432" s="35" t="s">
        <v>5318</v>
      </c>
      <c r="M1432" s="39" t="str">
        <f>HYPERLINK("http://dx.doi.org/10.1603/0022-0493(2008)101[472:cagort]2.0.co;2","10.1603/0022-0493(2008)101[472:cagort]2.0.co;2")</f>
        <v>10.1603/0022-0493(2008)101[472:cagort]2.0.co;2</v>
      </c>
      <c r="N1432" s="40" t="s">
        <v>2872</v>
      </c>
      <c r="O1432" s="40" t="s">
        <v>744</v>
      </c>
      <c r="P1432" s="40" t="s">
        <v>5320</v>
      </c>
      <c r="Q1432" t="s">
        <v>316</v>
      </c>
    </row>
    <row r="1433" spans="1:17" x14ac:dyDescent="0.25">
      <c r="A1433" s="2" t="str">
        <f>HYPERLINK("https://www.ncbi.nlm.nih.gov/pubmed/18446586","18446586")</f>
        <v>18446586</v>
      </c>
      <c r="B1433">
        <f t="shared" si="94"/>
        <v>1</v>
      </c>
      <c r="C1433">
        <f t="shared" si="94"/>
        <v>0</v>
      </c>
      <c r="D1433">
        <f t="shared" si="94"/>
        <v>0</v>
      </c>
      <c r="E1433">
        <f t="shared" si="93"/>
        <v>1</v>
      </c>
      <c r="F1433">
        <v>2008</v>
      </c>
      <c r="G1433" t="s">
        <v>5324</v>
      </c>
      <c r="H1433">
        <v>0</v>
      </c>
      <c r="I1433" s="65">
        <v>0</v>
      </c>
      <c r="J1433" t="s">
        <v>5326</v>
      </c>
      <c r="K1433" s="35" t="s">
        <v>5327</v>
      </c>
      <c r="L1433" s="35" t="s">
        <v>5325</v>
      </c>
      <c r="M1433" s="39" t="str">
        <f>HYPERLINK("http://dx.doi.org/10.1080/00207450701750216","10.1080/00207450701750216")</f>
        <v>10.1080/00207450701750216</v>
      </c>
      <c r="N1433" s="40" t="s">
        <v>3562</v>
      </c>
      <c r="O1433" s="40" t="s">
        <v>746</v>
      </c>
      <c r="P1433" s="40" t="s">
        <v>5328</v>
      </c>
      <c r="Q1433" t="s">
        <v>316</v>
      </c>
    </row>
    <row r="1434" spans="1:17" x14ac:dyDescent="0.25">
      <c r="A1434" s="2" t="str">
        <f>HYPERLINK("https://www.ncbi.nlm.nih.gov/pubmed/18414514","18414514")</f>
        <v>18414514</v>
      </c>
      <c r="B1434">
        <f t="shared" si="94"/>
        <v>1</v>
      </c>
      <c r="C1434">
        <f t="shared" si="94"/>
        <v>0</v>
      </c>
      <c r="D1434">
        <f t="shared" si="94"/>
        <v>0</v>
      </c>
      <c r="E1434">
        <f t="shared" si="93"/>
        <v>1</v>
      </c>
      <c r="F1434">
        <v>2009</v>
      </c>
      <c r="G1434" t="s">
        <v>5339</v>
      </c>
      <c r="H1434">
        <v>0</v>
      </c>
      <c r="I1434" s="65">
        <v>0</v>
      </c>
      <c r="J1434" t="s">
        <v>5341</v>
      </c>
      <c r="K1434" s="35" t="s">
        <v>4897</v>
      </c>
      <c r="L1434" s="35" t="s">
        <v>5340</v>
      </c>
      <c r="M1434" s="39" t="str">
        <f>HYPERLINK("http://dx.doi.org/10.1038/jes.2008.6","10.1038/jes.2008.6")</f>
        <v>10.1038/jes.2008.6</v>
      </c>
      <c r="N1434" s="40" t="s">
        <v>1115</v>
      </c>
      <c r="O1434" s="40" t="s">
        <v>638</v>
      </c>
      <c r="P1434" s="40" t="s">
        <v>5342</v>
      </c>
      <c r="Q1434" t="s">
        <v>316</v>
      </c>
    </row>
    <row r="1435" spans="1:17" x14ac:dyDescent="0.25">
      <c r="A1435" s="2" t="str">
        <f>HYPERLINK("https://www.ncbi.nlm.nih.gov/pubmed/18348635","18348635")</f>
        <v>18348635</v>
      </c>
      <c r="B1435">
        <f t="shared" si="94"/>
        <v>1</v>
      </c>
      <c r="C1435">
        <f t="shared" si="94"/>
        <v>0</v>
      </c>
      <c r="D1435">
        <f t="shared" si="94"/>
        <v>0</v>
      </c>
      <c r="E1435">
        <f t="shared" si="93"/>
        <v>1</v>
      </c>
      <c r="F1435">
        <v>2008</v>
      </c>
      <c r="G1435" t="s">
        <v>5346</v>
      </c>
      <c r="H1435">
        <v>0</v>
      </c>
      <c r="I1435" s="65">
        <v>0</v>
      </c>
      <c r="J1435" t="s">
        <v>5347</v>
      </c>
      <c r="K1435" s="35" t="s">
        <v>755</v>
      </c>
      <c r="L1435" s="35" t="s">
        <v>7139</v>
      </c>
      <c r="M1435" s="39" t="str">
        <f>HYPERLINK("http://dx.doi.org/10.1897/07-276R.1","10.1897/07-276R.1")</f>
        <v>10.1897/07-276R.1</v>
      </c>
      <c r="N1435" s="40" t="s">
        <v>1116</v>
      </c>
      <c r="O1435" s="40" t="s">
        <v>744</v>
      </c>
      <c r="P1435" s="40" t="s">
        <v>5348</v>
      </c>
      <c r="Q1435" t="s">
        <v>316</v>
      </c>
    </row>
    <row r="1436" spans="1:17" x14ac:dyDescent="0.25">
      <c r="A1436" s="2" t="str">
        <f>HYPERLINK("https://www.ncbi.nlm.nih.gov/pubmed/18172878","18172878")</f>
        <v>18172878</v>
      </c>
      <c r="B1436">
        <f t="shared" si="94"/>
        <v>1</v>
      </c>
      <c r="C1436">
        <f t="shared" si="94"/>
        <v>0</v>
      </c>
      <c r="D1436">
        <f t="shared" si="94"/>
        <v>0</v>
      </c>
      <c r="E1436">
        <f t="shared" si="93"/>
        <v>1</v>
      </c>
      <c r="F1436">
        <v>2008</v>
      </c>
      <c r="G1436" t="s">
        <v>5379</v>
      </c>
      <c r="H1436">
        <v>0</v>
      </c>
      <c r="I1436" s="65">
        <v>0</v>
      </c>
      <c r="J1436" t="s">
        <v>5380</v>
      </c>
      <c r="K1436" s="35" t="s">
        <v>968</v>
      </c>
      <c r="L1436" s="35" t="s">
        <v>7143</v>
      </c>
      <c r="M1436" s="39" t="str">
        <f>HYPERLINK("http://dx.doi.org/10.1002/ps.1522","10.1002/ps.1522")</f>
        <v>10.1002/ps.1522</v>
      </c>
      <c r="N1436" s="40" t="s">
        <v>2243</v>
      </c>
      <c r="O1436" s="40" t="s">
        <v>750</v>
      </c>
      <c r="P1436" s="40" t="s">
        <v>5381</v>
      </c>
      <c r="Q1436" t="s">
        <v>316</v>
      </c>
    </row>
    <row r="1437" spans="1:17" x14ac:dyDescent="0.25">
      <c r="A1437" s="2" t="str">
        <f>HYPERLINK("https://www.ncbi.nlm.nih.gov/pubmed/20345311","20345311")</f>
        <v>20345311</v>
      </c>
      <c r="B1437">
        <f t="shared" si="94"/>
        <v>1</v>
      </c>
      <c r="C1437">
        <f t="shared" si="94"/>
        <v>2</v>
      </c>
      <c r="D1437">
        <f t="shared" si="94"/>
        <v>0</v>
      </c>
      <c r="E1437">
        <f t="shared" si="93"/>
        <v>3</v>
      </c>
      <c r="F1437">
        <v>2008</v>
      </c>
      <c r="G1437" t="s">
        <v>5382</v>
      </c>
      <c r="H1437">
        <v>0</v>
      </c>
      <c r="I1437" s="64" t="str">
        <f>HYPERLINK("https://www.ncbi.nlm.nih.gov/research/pubtator/?view=docsum&amp;query=PMC3061578","1")</f>
        <v>1</v>
      </c>
      <c r="J1437" t="s">
        <v>5383</v>
      </c>
      <c r="K1437" s="35" t="s">
        <v>2672</v>
      </c>
      <c r="L1437" s="35" t="s">
        <v>7144</v>
      </c>
      <c r="M1437" s="39" t="str">
        <f>HYPERLINK("http://dx.doi.org/10.1673/031.008.0301","10.1673/031.008.0301")</f>
        <v>10.1673/031.008.0301</v>
      </c>
      <c r="N1437" s="40" t="s">
        <v>781</v>
      </c>
      <c r="O1437" s="40" t="s">
        <v>383</v>
      </c>
      <c r="P1437" s="40" t="s">
        <v>750</v>
      </c>
      <c r="Q1437" t="s">
        <v>316</v>
      </c>
    </row>
    <row r="1438" spans="1:17" x14ac:dyDescent="0.25">
      <c r="A1438" s="2" t="str">
        <f>HYPERLINK("https://www.ncbi.nlm.nih.gov/pubmed/18093001","18093001")</f>
        <v>18093001</v>
      </c>
      <c r="B1438">
        <f t="shared" si="94"/>
        <v>1</v>
      </c>
      <c r="C1438">
        <f t="shared" si="94"/>
        <v>0</v>
      </c>
      <c r="D1438">
        <f t="shared" si="94"/>
        <v>0</v>
      </c>
      <c r="E1438">
        <f t="shared" si="93"/>
        <v>1</v>
      </c>
      <c r="F1438">
        <v>2007</v>
      </c>
      <c r="G1438" t="s">
        <v>5388</v>
      </c>
      <c r="H1438">
        <v>0</v>
      </c>
      <c r="I1438" s="65">
        <v>0</v>
      </c>
      <c r="J1438" t="s">
        <v>5389</v>
      </c>
      <c r="K1438" s="35" t="s">
        <v>2238</v>
      </c>
      <c r="L1438" s="35" t="s">
        <v>7145</v>
      </c>
      <c r="M1438" s="39" t="str">
        <f>HYPERLINK("http://dx.doi.org/10.1111/j.1365-2583.2007.00766.x","10.1111/j.1365-2583.2007.00766.x")</f>
        <v>10.1111/j.1365-2583.2007.00766.x</v>
      </c>
      <c r="N1438" s="40" t="s">
        <v>780</v>
      </c>
      <c r="O1438" s="40" t="s">
        <v>741</v>
      </c>
      <c r="P1438" s="40" t="s">
        <v>5390</v>
      </c>
      <c r="Q1438" t="s">
        <v>316</v>
      </c>
    </row>
    <row r="1439" spans="1:17" x14ac:dyDescent="0.25">
      <c r="A1439" s="2" t="str">
        <f>HYPERLINK("https://www.ncbi.nlm.nih.gov/pubmed/18044802","18044802")</f>
        <v>18044802</v>
      </c>
      <c r="B1439">
        <f t="shared" si="94"/>
        <v>1</v>
      </c>
      <c r="C1439">
        <f t="shared" si="94"/>
        <v>0</v>
      </c>
      <c r="D1439">
        <f t="shared" si="94"/>
        <v>0</v>
      </c>
      <c r="E1439">
        <f t="shared" si="93"/>
        <v>1</v>
      </c>
      <c r="F1439">
        <v>2007</v>
      </c>
      <c r="G1439" t="s">
        <v>5391</v>
      </c>
      <c r="H1439">
        <v>0</v>
      </c>
      <c r="I1439" s="65">
        <v>0</v>
      </c>
      <c r="J1439" t="s">
        <v>5393</v>
      </c>
      <c r="K1439" s="35" t="s">
        <v>5394</v>
      </c>
      <c r="L1439" s="35" t="s">
        <v>5392</v>
      </c>
      <c r="M1439" s="39" t="str">
        <f>HYPERLINK("http://dx.doi.org/10.1002/mrc.2090","10.1002/mrc.2090")</f>
        <v>10.1002/mrc.2090</v>
      </c>
      <c r="N1439" s="40" t="s">
        <v>765</v>
      </c>
      <c r="O1439" s="40" t="s">
        <v>915</v>
      </c>
      <c r="P1439" s="40" t="s">
        <v>5395</v>
      </c>
      <c r="Q1439" t="s">
        <v>316</v>
      </c>
    </row>
    <row r="1440" spans="1:17" x14ac:dyDescent="0.25">
      <c r="A1440" s="2" t="str">
        <f>HYPERLINK("https://www.ncbi.nlm.nih.gov/pubmed/18032333","18032333")</f>
        <v>18032333</v>
      </c>
      <c r="B1440">
        <f t="shared" si="94"/>
        <v>1</v>
      </c>
      <c r="C1440">
        <f t="shared" si="94"/>
        <v>0</v>
      </c>
      <c r="D1440">
        <f t="shared" si="94"/>
        <v>0</v>
      </c>
      <c r="E1440">
        <f t="shared" si="93"/>
        <v>1</v>
      </c>
      <c r="F1440">
        <v>2007</v>
      </c>
      <c r="G1440" t="s">
        <v>5396</v>
      </c>
      <c r="H1440">
        <v>1</v>
      </c>
      <c r="I1440" s="65">
        <v>0</v>
      </c>
      <c r="J1440" t="s">
        <v>5398</v>
      </c>
      <c r="K1440" s="35" t="s">
        <v>5399</v>
      </c>
      <c r="L1440" s="35" t="s">
        <v>5397</v>
      </c>
      <c r="M1440" s="39" t="str">
        <f>HYPERLINK("http://dx.doi.org/10.1300/J096v12n01_03","10.1300/J096v12n01_03")</f>
        <v>10.1300/J096v12n01_03</v>
      </c>
      <c r="N1440" s="40" t="s">
        <v>915</v>
      </c>
      <c r="O1440" s="40" t="s">
        <v>638</v>
      </c>
      <c r="P1440" s="40" t="s">
        <v>5400</v>
      </c>
      <c r="Q1440" t="s">
        <v>316</v>
      </c>
    </row>
    <row r="1441" spans="1:17" x14ac:dyDescent="0.25">
      <c r="A1441" s="2" t="str">
        <f>HYPERLINK("https://www.ncbi.nlm.nih.gov/pubmed/19093456","19093456")</f>
        <v>19093456</v>
      </c>
      <c r="B1441">
        <f t="shared" si="94"/>
        <v>1</v>
      </c>
      <c r="C1441">
        <f t="shared" si="94"/>
        <v>0</v>
      </c>
      <c r="D1441">
        <f t="shared" si="94"/>
        <v>0</v>
      </c>
      <c r="E1441">
        <f t="shared" si="93"/>
        <v>1</v>
      </c>
      <c r="F1441">
        <v>2007</v>
      </c>
      <c r="G1441" t="s">
        <v>5410</v>
      </c>
      <c r="H1441">
        <v>0</v>
      </c>
      <c r="I1441" s="65">
        <v>0</v>
      </c>
      <c r="J1441" t="s">
        <v>5411</v>
      </c>
      <c r="K1441" s="35" t="s">
        <v>1660</v>
      </c>
      <c r="L1441" s="35" t="s">
        <v>7148</v>
      </c>
      <c r="M1441" s="39" t="str">
        <f>HYPERLINK("http://dx.doi.org/10.3923/pjbs.2007.3507.3515","10.3923/pjbs.2007.3507.3515")</f>
        <v>10.3923/pjbs.2007.3507.3515</v>
      </c>
      <c r="N1441" s="40" t="s">
        <v>802</v>
      </c>
      <c r="O1441" s="40" t="s">
        <v>1109</v>
      </c>
      <c r="P1441" s="40" t="s">
        <v>5412</v>
      </c>
      <c r="Q1441" t="s">
        <v>316</v>
      </c>
    </row>
    <row r="1442" spans="1:17" x14ac:dyDescent="0.25">
      <c r="A1442" s="2" t="str">
        <f>HYPERLINK("https://www.ncbi.nlm.nih.gov/pubmed/17924716","17924716")</f>
        <v>17924716</v>
      </c>
      <c r="B1442">
        <f t="shared" si="94"/>
        <v>1</v>
      </c>
      <c r="C1442">
        <f t="shared" si="94"/>
        <v>0</v>
      </c>
      <c r="D1442">
        <f t="shared" si="94"/>
        <v>0</v>
      </c>
      <c r="E1442">
        <f t="shared" si="93"/>
        <v>1</v>
      </c>
      <c r="F1442">
        <v>2007</v>
      </c>
      <c r="G1442" t="s">
        <v>5426</v>
      </c>
      <c r="H1442">
        <v>0</v>
      </c>
      <c r="I1442" s="65">
        <v>0</v>
      </c>
      <c r="J1442" t="s">
        <v>5428</v>
      </c>
      <c r="K1442" s="35" t="s">
        <v>5429</v>
      </c>
      <c r="L1442" s="35" t="s">
        <v>5427</v>
      </c>
      <c r="M1442" s="39" t="str">
        <f>HYPERLINK("http://dx.doi.org/10.3934/mbe.2007.4.633","10.3934/mbe.2007.4.633")</f>
        <v>10.3934/mbe.2007.4.633</v>
      </c>
      <c r="N1442" s="40" t="s">
        <v>690</v>
      </c>
      <c r="O1442" s="40" t="s">
        <v>690</v>
      </c>
      <c r="P1442" s="40" t="s">
        <v>5430</v>
      </c>
      <c r="Q1442" t="s">
        <v>316</v>
      </c>
    </row>
    <row r="1443" spans="1:17" x14ac:dyDescent="0.25">
      <c r="A1443" s="2" t="str">
        <f>HYPERLINK("https://www.ncbi.nlm.nih.gov/pubmed/17923330","17923330")</f>
        <v>17923330</v>
      </c>
      <c r="B1443">
        <f t="shared" si="94"/>
        <v>1</v>
      </c>
      <c r="C1443">
        <f t="shared" si="94"/>
        <v>0</v>
      </c>
      <c r="D1443">
        <f t="shared" si="94"/>
        <v>0</v>
      </c>
      <c r="E1443">
        <f t="shared" si="93"/>
        <v>1</v>
      </c>
      <c r="F1443">
        <v>2007</v>
      </c>
      <c r="G1443" t="s">
        <v>5431</v>
      </c>
      <c r="H1443">
        <v>0</v>
      </c>
      <c r="I1443" s="65">
        <v>0</v>
      </c>
      <c r="J1443" t="s">
        <v>5432</v>
      </c>
      <c r="K1443" s="35" t="s">
        <v>1052</v>
      </c>
      <c r="L1443" s="35" t="s">
        <v>7152</v>
      </c>
      <c r="M1443" s="39" t="str">
        <f>HYPERLINK("http://dx.doi.org/10.1016/j.vetpar.2007.08.035","10.1016/j.vetpar.2007.08.035")</f>
        <v>10.1016/j.vetpar.2007.08.035</v>
      </c>
      <c r="N1443" s="40" t="s">
        <v>4031</v>
      </c>
      <c r="O1443" s="40" t="s">
        <v>750</v>
      </c>
      <c r="P1443" s="40" t="s">
        <v>5433</v>
      </c>
      <c r="Q1443" t="s">
        <v>316</v>
      </c>
    </row>
    <row r="1444" spans="1:17" x14ac:dyDescent="0.25">
      <c r="A1444" s="2" t="str">
        <f>HYPERLINK("https://www.ncbi.nlm.nih.gov/pubmed/17675213","17675213")</f>
        <v>17675213</v>
      </c>
      <c r="B1444">
        <f t="shared" ref="B1444:D1463" si="95">IF(ISBLANK(B$3),0,(LEN($L1444) - LEN(SUBSTITUTE(LOWER($L1444),LOWER(B$3),"")))/LEN(B$3))</f>
        <v>1</v>
      </c>
      <c r="C1444">
        <f t="shared" si="95"/>
        <v>0</v>
      </c>
      <c r="D1444">
        <f t="shared" si="95"/>
        <v>0</v>
      </c>
      <c r="E1444">
        <f t="shared" si="93"/>
        <v>1</v>
      </c>
      <c r="F1444">
        <v>2007</v>
      </c>
      <c r="G1444" t="s">
        <v>5458</v>
      </c>
      <c r="H1444">
        <v>0</v>
      </c>
      <c r="I1444" s="65">
        <v>0</v>
      </c>
      <c r="J1444" t="s">
        <v>5460</v>
      </c>
      <c r="K1444" s="35" t="s">
        <v>822</v>
      </c>
      <c r="L1444" s="35" t="s">
        <v>5459</v>
      </c>
      <c r="M1444" s="39" t="str">
        <f>HYPERLINK("http://dx.doi.org/10.1016/j.chemosphere.2007.06.040","10.1016/j.chemosphere.2007.06.040")</f>
        <v>10.1016/j.chemosphere.2007.06.040</v>
      </c>
      <c r="N1444" s="40" t="s">
        <v>3460</v>
      </c>
      <c r="O1444" s="40" t="s">
        <v>741</v>
      </c>
      <c r="P1444" s="40" t="s">
        <v>5461</v>
      </c>
      <c r="Q1444" t="s">
        <v>316</v>
      </c>
    </row>
    <row r="1445" spans="1:17" x14ac:dyDescent="0.25">
      <c r="A1445" s="2" t="str">
        <f>HYPERLINK("https://www.ncbi.nlm.nih.gov/pubmed/17524159","17524159")</f>
        <v>17524159</v>
      </c>
      <c r="B1445">
        <f t="shared" si="95"/>
        <v>1</v>
      </c>
      <c r="C1445">
        <f t="shared" si="95"/>
        <v>0</v>
      </c>
      <c r="D1445">
        <f t="shared" si="95"/>
        <v>0</v>
      </c>
      <c r="E1445">
        <f t="shared" si="93"/>
        <v>1</v>
      </c>
      <c r="F1445">
        <v>2007</v>
      </c>
      <c r="G1445" t="s">
        <v>5468</v>
      </c>
      <c r="H1445">
        <v>0</v>
      </c>
      <c r="I1445" s="65">
        <v>0</v>
      </c>
      <c r="J1445" t="s">
        <v>5469</v>
      </c>
      <c r="K1445" s="35" t="s">
        <v>796</v>
      </c>
      <c r="L1445" s="35" t="s">
        <v>7160</v>
      </c>
      <c r="M1445" s="39" t="str">
        <f>HYPERLINK("http://dx.doi.org/10.1017/S0007485307004993","10.1017/S0007485307004993")</f>
        <v>10.1017/S0007485307004993</v>
      </c>
      <c r="N1445" s="40" t="s">
        <v>749</v>
      </c>
      <c r="O1445" s="40" t="s">
        <v>750</v>
      </c>
      <c r="P1445" s="40" t="s">
        <v>5470</v>
      </c>
      <c r="Q1445" t="s">
        <v>316</v>
      </c>
    </row>
    <row r="1446" spans="1:17" x14ac:dyDescent="0.25">
      <c r="A1446" s="2" t="str">
        <f>HYPERLINK("https://www.ncbi.nlm.nih.gov/pubmed/17421051","17421051")</f>
        <v>17421051</v>
      </c>
      <c r="B1446">
        <f t="shared" si="95"/>
        <v>1</v>
      </c>
      <c r="C1446">
        <f t="shared" si="95"/>
        <v>0</v>
      </c>
      <c r="D1446">
        <f t="shared" si="95"/>
        <v>0</v>
      </c>
      <c r="E1446">
        <f t="shared" si="93"/>
        <v>1</v>
      </c>
      <c r="F1446">
        <v>2007</v>
      </c>
      <c r="G1446" t="s">
        <v>5490</v>
      </c>
      <c r="H1446">
        <v>0</v>
      </c>
      <c r="I1446" s="65">
        <v>0</v>
      </c>
      <c r="J1446" t="s">
        <v>5491</v>
      </c>
      <c r="K1446" s="35" t="s">
        <v>968</v>
      </c>
      <c r="L1446" s="35" t="s">
        <v>7163</v>
      </c>
      <c r="M1446" s="39" t="str">
        <f>HYPERLINK("http://dx.doi.org/10.1002/ps.1361","10.1002/ps.1361")</f>
        <v>10.1002/ps.1361</v>
      </c>
      <c r="N1446" s="40" t="s">
        <v>3613</v>
      </c>
      <c r="O1446" s="40" t="s">
        <v>746</v>
      </c>
      <c r="P1446" s="40" t="s">
        <v>5492</v>
      </c>
      <c r="Q1446" t="s">
        <v>316</v>
      </c>
    </row>
    <row r="1447" spans="1:17" x14ac:dyDescent="0.25">
      <c r="A1447" s="2" t="str">
        <f>HYPERLINK("https://www.ncbi.nlm.nih.gov/pubmed/17416380","17416380")</f>
        <v>17416380</v>
      </c>
      <c r="B1447">
        <f t="shared" si="95"/>
        <v>1</v>
      </c>
      <c r="C1447">
        <f t="shared" si="95"/>
        <v>0</v>
      </c>
      <c r="D1447">
        <f t="shared" si="95"/>
        <v>0</v>
      </c>
      <c r="E1447">
        <f t="shared" si="93"/>
        <v>1</v>
      </c>
      <c r="F1447">
        <v>2007</v>
      </c>
      <c r="G1447" t="s">
        <v>5493</v>
      </c>
      <c r="H1447">
        <v>0</v>
      </c>
      <c r="I1447" s="65">
        <v>0</v>
      </c>
      <c r="J1447" t="s">
        <v>5494</v>
      </c>
      <c r="K1447" s="35" t="s">
        <v>1340</v>
      </c>
      <c r="L1447" s="35" t="s">
        <v>7164</v>
      </c>
      <c r="M1447" s="39" t="str">
        <f>HYPERLINK("http://dx.doi.org/10.1016/j.chroma.2007.03.035","10.1016/j.chroma.2007.03.035")</f>
        <v>10.1016/j.chroma.2007.03.035</v>
      </c>
      <c r="N1447" s="40" t="s">
        <v>5495</v>
      </c>
      <c r="O1447" s="40" t="s">
        <v>3531</v>
      </c>
      <c r="P1447" s="40" t="s">
        <v>5496</v>
      </c>
      <c r="Q1447" t="s">
        <v>316</v>
      </c>
    </row>
    <row r="1448" spans="1:17" x14ac:dyDescent="0.25">
      <c r="A1448" s="2" t="str">
        <f>HYPERLINK("https://www.ncbi.nlm.nih.gov/pubmed/17311043","17311043")</f>
        <v>17311043</v>
      </c>
      <c r="B1448">
        <f t="shared" si="95"/>
        <v>1</v>
      </c>
      <c r="C1448">
        <f t="shared" si="95"/>
        <v>0</v>
      </c>
      <c r="D1448">
        <f t="shared" si="95"/>
        <v>0</v>
      </c>
      <c r="E1448">
        <f t="shared" si="93"/>
        <v>1</v>
      </c>
      <c r="F1448">
        <v>2007</v>
      </c>
      <c r="G1448" t="s">
        <v>5505</v>
      </c>
      <c r="H1448">
        <v>0</v>
      </c>
      <c r="I1448" s="65">
        <v>0</v>
      </c>
      <c r="J1448" t="s">
        <v>5507</v>
      </c>
      <c r="K1448" s="35" t="s">
        <v>5508</v>
      </c>
      <c r="L1448" s="35" t="s">
        <v>5506</v>
      </c>
      <c r="M1448" s="39" t="str">
        <f>HYPERLINK("http://dx.doi.org/10.1038/laban0307-17","10.1038/laban0307-17")</f>
        <v>10.1038/laban0307-17</v>
      </c>
      <c r="N1448" s="40" t="s">
        <v>639</v>
      </c>
      <c r="O1448" s="40" t="s">
        <v>750</v>
      </c>
      <c r="P1448" s="40" t="s">
        <v>5509</v>
      </c>
      <c r="Q1448" t="s">
        <v>316</v>
      </c>
    </row>
    <row r="1449" spans="1:17" x14ac:dyDescent="0.25">
      <c r="A1449" s="2" t="str">
        <f>HYPERLINK("https://www.ncbi.nlm.nih.gov/pubmed/19835054","19835054")</f>
        <v>19835054</v>
      </c>
      <c r="B1449">
        <f t="shared" si="95"/>
        <v>1</v>
      </c>
      <c r="C1449">
        <f t="shared" si="95"/>
        <v>1</v>
      </c>
      <c r="D1449">
        <f t="shared" si="95"/>
        <v>0</v>
      </c>
      <c r="E1449">
        <f t="shared" si="93"/>
        <v>2</v>
      </c>
      <c r="F1449">
        <v>2007</v>
      </c>
      <c r="G1449" t="s">
        <v>5528</v>
      </c>
      <c r="H1449">
        <v>0</v>
      </c>
      <c r="I1449" s="65">
        <v>0</v>
      </c>
      <c r="J1449" t="s">
        <v>5530</v>
      </c>
      <c r="K1449" s="35" t="s">
        <v>5531</v>
      </c>
      <c r="L1449" s="35" t="s">
        <v>5529</v>
      </c>
      <c r="M1449" s="39" t="str">
        <f>HYPERLINK("http://dx.doi.org/","")</f>
        <v/>
      </c>
      <c r="N1449" s="40" t="s">
        <v>5532</v>
      </c>
      <c r="O1449" s="40" t="s">
        <v>383</v>
      </c>
      <c r="P1449" s="40" t="s">
        <v>5533</v>
      </c>
      <c r="Q1449" t="s">
        <v>316</v>
      </c>
    </row>
    <row r="1450" spans="1:17" x14ac:dyDescent="0.25">
      <c r="A1450" s="2" t="str">
        <f>HYPERLINK("https://www.ncbi.nlm.nih.gov/pubmed/17149631","17149631")</f>
        <v>17149631</v>
      </c>
      <c r="B1450">
        <f t="shared" si="95"/>
        <v>1</v>
      </c>
      <c r="C1450">
        <f t="shared" si="95"/>
        <v>0</v>
      </c>
      <c r="D1450">
        <f t="shared" si="95"/>
        <v>0</v>
      </c>
      <c r="E1450">
        <f t="shared" si="93"/>
        <v>1</v>
      </c>
      <c r="F1450">
        <v>2007</v>
      </c>
      <c r="G1450" t="s">
        <v>5540</v>
      </c>
      <c r="H1450">
        <v>0</v>
      </c>
      <c r="I1450" s="65">
        <v>0</v>
      </c>
      <c r="J1450" t="s">
        <v>5542</v>
      </c>
      <c r="K1450" s="35" t="s">
        <v>5543</v>
      </c>
      <c r="L1450" s="35" t="s">
        <v>5541</v>
      </c>
      <c r="M1450" s="39" t="str">
        <f>HYPERLINK("http://dx.doi.org/10.1007/s00106-006-1481-9","10.1007/s00106-006-1481-9")</f>
        <v>10.1007/s00106-006-1481-9</v>
      </c>
      <c r="N1450" s="40" t="s">
        <v>5544</v>
      </c>
      <c r="O1450" s="40" t="s">
        <v>383</v>
      </c>
      <c r="P1450" s="40" t="s">
        <v>5545</v>
      </c>
      <c r="Q1450" t="s">
        <v>316</v>
      </c>
    </row>
    <row r="1451" spans="1:17" x14ac:dyDescent="0.25">
      <c r="A1451" s="2" t="str">
        <f>HYPERLINK("https://www.ncbi.nlm.nih.gov/pubmed/17089333","17089333")</f>
        <v>17089333</v>
      </c>
      <c r="B1451">
        <f t="shared" si="95"/>
        <v>1</v>
      </c>
      <c r="C1451">
        <f t="shared" si="95"/>
        <v>0</v>
      </c>
      <c r="D1451">
        <f t="shared" si="95"/>
        <v>0</v>
      </c>
      <c r="E1451">
        <f t="shared" si="93"/>
        <v>1</v>
      </c>
      <c r="F1451">
        <v>2007</v>
      </c>
      <c r="G1451" t="s">
        <v>5546</v>
      </c>
      <c r="H1451">
        <v>0</v>
      </c>
      <c r="I1451" s="65">
        <v>0</v>
      </c>
      <c r="J1451" t="s">
        <v>5548</v>
      </c>
      <c r="K1451" s="35" t="s">
        <v>968</v>
      </c>
      <c r="L1451" s="35" t="s">
        <v>5547</v>
      </c>
      <c r="M1451" s="39" t="str">
        <f>HYPERLINK("http://dx.doi.org/10.1002/ps.1293","10.1002/ps.1293")</f>
        <v>10.1002/ps.1293</v>
      </c>
      <c r="N1451" s="40" t="s">
        <v>3613</v>
      </c>
      <c r="O1451" s="40" t="s">
        <v>638</v>
      </c>
      <c r="P1451" s="40" t="s">
        <v>5549</v>
      </c>
      <c r="Q1451" t="s">
        <v>316</v>
      </c>
    </row>
    <row r="1452" spans="1:17" x14ac:dyDescent="0.25">
      <c r="A1452" s="2" t="str">
        <f>HYPERLINK("https://www.ncbi.nlm.nih.gov/pubmed/17009722","17009722")</f>
        <v>17009722</v>
      </c>
      <c r="B1452">
        <f t="shared" si="95"/>
        <v>1</v>
      </c>
      <c r="C1452">
        <f t="shared" si="95"/>
        <v>0</v>
      </c>
      <c r="D1452">
        <f t="shared" si="95"/>
        <v>0</v>
      </c>
      <c r="E1452">
        <f t="shared" si="93"/>
        <v>1</v>
      </c>
      <c r="F1452">
        <v>2006</v>
      </c>
      <c r="G1452" t="s">
        <v>5572</v>
      </c>
      <c r="H1452">
        <v>0</v>
      </c>
      <c r="I1452" s="65">
        <v>0</v>
      </c>
      <c r="J1452" t="s">
        <v>5574</v>
      </c>
      <c r="K1452" s="35" t="s">
        <v>5575</v>
      </c>
      <c r="L1452" s="35" t="s">
        <v>5573</v>
      </c>
      <c r="M1452" s="39" t="str">
        <f>HYPERLINK("http://dx.doi.org/","")</f>
        <v/>
      </c>
      <c r="N1452" s="40" t="s">
        <v>684</v>
      </c>
      <c r="O1452" s="40" t="s">
        <v>2555</v>
      </c>
      <c r="P1452" s="40" t="s">
        <v>5576</v>
      </c>
      <c r="Q1452" t="s">
        <v>316</v>
      </c>
    </row>
    <row r="1453" spans="1:17" x14ac:dyDescent="0.25">
      <c r="A1453" s="2" t="str">
        <f>HYPERLINK("https://www.ncbi.nlm.nih.gov/pubmed/16866080","16866080")</f>
        <v>16866080</v>
      </c>
      <c r="B1453">
        <f t="shared" si="95"/>
        <v>1</v>
      </c>
      <c r="C1453">
        <f t="shared" si="95"/>
        <v>0</v>
      </c>
      <c r="D1453">
        <f t="shared" si="95"/>
        <v>0</v>
      </c>
      <c r="E1453">
        <f t="shared" si="93"/>
        <v>1</v>
      </c>
      <c r="F1453">
        <v>2006</v>
      </c>
      <c r="G1453" t="s">
        <v>5601</v>
      </c>
      <c r="H1453">
        <v>0</v>
      </c>
      <c r="I1453" s="65">
        <v>0</v>
      </c>
      <c r="J1453" t="s">
        <v>5603</v>
      </c>
      <c r="K1453" s="35" t="s">
        <v>5604</v>
      </c>
      <c r="L1453" s="35" t="s">
        <v>5602</v>
      </c>
      <c r="M1453" s="39" t="str">
        <f>HYPERLINK("http://dx.doi.org/","")</f>
        <v/>
      </c>
      <c r="N1453" s="40" t="s">
        <v>858</v>
      </c>
      <c r="O1453" s="40" t="s">
        <v>748</v>
      </c>
      <c r="P1453" s="40" t="s">
        <v>5605</v>
      </c>
      <c r="Q1453" t="s">
        <v>316</v>
      </c>
    </row>
    <row r="1454" spans="1:17" x14ac:dyDescent="0.25">
      <c r="A1454" s="2" t="str">
        <f>HYPERLINK("https://www.ncbi.nlm.nih.gov/pubmed/16813323","16813323")</f>
        <v>16813323</v>
      </c>
      <c r="B1454">
        <f t="shared" si="95"/>
        <v>1</v>
      </c>
      <c r="C1454">
        <f t="shared" si="95"/>
        <v>0</v>
      </c>
      <c r="D1454">
        <f t="shared" si="95"/>
        <v>0</v>
      </c>
      <c r="E1454">
        <f t="shared" si="93"/>
        <v>1</v>
      </c>
      <c r="F1454">
        <v>2006</v>
      </c>
      <c r="G1454" t="s">
        <v>5622</v>
      </c>
      <c r="H1454">
        <v>0</v>
      </c>
      <c r="I1454" s="65">
        <v>0</v>
      </c>
      <c r="J1454" t="s">
        <v>5623</v>
      </c>
      <c r="K1454" s="35" t="s">
        <v>909</v>
      </c>
      <c r="L1454" s="35" t="s">
        <v>7178</v>
      </c>
      <c r="M1454" s="39" t="str">
        <f>HYPERLINK("http://dx.doi.org/10.1603/0022-0493-99.3.864","10.1603/0022-0493-99.3.864")</f>
        <v>10.1603/0022-0493-99.3.864</v>
      </c>
      <c r="N1454" s="40" t="s">
        <v>3055</v>
      </c>
      <c r="O1454" s="40" t="s">
        <v>750</v>
      </c>
      <c r="P1454" s="40" t="s">
        <v>5624</v>
      </c>
      <c r="Q1454" t="s">
        <v>316</v>
      </c>
    </row>
    <row r="1455" spans="1:17" x14ac:dyDescent="0.25">
      <c r="A1455" s="2" t="str">
        <f>HYPERLINK("https://www.ncbi.nlm.nih.gov/pubmed/16752382","16752382")</f>
        <v>16752382</v>
      </c>
      <c r="B1455">
        <f t="shared" si="95"/>
        <v>1</v>
      </c>
      <c r="C1455">
        <f t="shared" si="95"/>
        <v>0</v>
      </c>
      <c r="D1455">
        <f t="shared" si="95"/>
        <v>0</v>
      </c>
      <c r="E1455">
        <f t="shared" si="93"/>
        <v>1</v>
      </c>
      <c r="F1455">
        <v>2006</v>
      </c>
      <c r="G1455" t="s">
        <v>5629</v>
      </c>
      <c r="H1455">
        <v>0</v>
      </c>
      <c r="I1455" s="65">
        <v>0</v>
      </c>
      <c r="J1455" t="s">
        <v>5631</v>
      </c>
      <c r="K1455" s="35" t="s">
        <v>968</v>
      </c>
      <c r="L1455" s="35" t="s">
        <v>5630</v>
      </c>
      <c r="M1455" s="39" t="str">
        <f>HYPERLINK("http://dx.doi.org/10.1002/ps.1234","10.1002/ps.1234")</f>
        <v>10.1002/ps.1234</v>
      </c>
      <c r="N1455" s="40" t="s">
        <v>2372</v>
      </c>
      <c r="O1455" s="40" t="s">
        <v>781</v>
      </c>
      <c r="P1455" s="40" t="s">
        <v>5632</v>
      </c>
      <c r="Q1455" t="s">
        <v>316</v>
      </c>
    </row>
    <row r="1456" spans="1:17" x14ac:dyDescent="0.25">
      <c r="A1456" s="2" t="str">
        <f>HYPERLINK("https://www.ncbi.nlm.nih.gov/pubmed/16565514","16565514")</f>
        <v>16565514</v>
      </c>
      <c r="B1456">
        <f t="shared" si="95"/>
        <v>1</v>
      </c>
      <c r="C1456">
        <f t="shared" si="95"/>
        <v>0</v>
      </c>
      <c r="D1456">
        <f t="shared" si="95"/>
        <v>0</v>
      </c>
      <c r="E1456">
        <f t="shared" si="93"/>
        <v>1</v>
      </c>
      <c r="F1456">
        <v>2006</v>
      </c>
      <c r="G1456" t="s">
        <v>5657</v>
      </c>
      <c r="H1456">
        <v>0</v>
      </c>
      <c r="I1456" s="65">
        <v>0</v>
      </c>
      <c r="J1456" t="s">
        <v>5658</v>
      </c>
      <c r="K1456" s="35" t="s">
        <v>4443</v>
      </c>
      <c r="L1456" s="35" t="s">
        <v>7183</v>
      </c>
      <c r="M1456" s="39" t="str">
        <f>HYPERLINK("http://dx.doi.org/10.1093/toxsci/kfj173","10.1093/toxsci/kfj173")</f>
        <v>10.1093/toxsci/kfj173</v>
      </c>
      <c r="N1456" s="40" t="s">
        <v>2216</v>
      </c>
      <c r="O1456" s="40" t="s">
        <v>744</v>
      </c>
      <c r="P1456" s="40" t="s">
        <v>5659</v>
      </c>
      <c r="Q1456" t="s">
        <v>316</v>
      </c>
    </row>
    <row r="1457" spans="1:17" x14ac:dyDescent="0.25">
      <c r="A1457" s="2" t="str">
        <f>HYPERLINK("https://www.ncbi.nlm.nih.gov/pubmed/16537435","16537435")</f>
        <v>16537435</v>
      </c>
      <c r="B1457">
        <f t="shared" si="95"/>
        <v>1</v>
      </c>
      <c r="C1457">
        <f t="shared" si="95"/>
        <v>0</v>
      </c>
      <c r="D1457">
        <f t="shared" si="95"/>
        <v>0</v>
      </c>
      <c r="E1457">
        <f t="shared" si="93"/>
        <v>1</v>
      </c>
      <c r="F1457">
        <v>2006</v>
      </c>
      <c r="G1457" t="s">
        <v>5672</v>
      </c>
      <c r="H1457">
        <v>0</v>
      </c>
      <c r="I1457" s="64" t="str">
        <f>HYPERLINK("https://www.ncbi.nlm.nih.gov/research/pubtator/?view=docsum&amp;query=PMC1458815","1")</f>
        <v>1</v>
      </c>
      <c r="J1457" t="s">
        <v>5673</v>
      </c>
      <c r="K1457" s="35" t="s">
        <v>1947</v>
      </c>
      <c r="L1457" s="35" t="s">
        <v>7187</v>
      </c>
      <c r="M1457" s="39" t="str">
        <f>HYPERLINK("http://dx.doi.org/10.1073/pnas.0600370103","10.1073/pnas.0600370103")</f>
        <v>10.1073/pnas.0600370103</v>
      </c>
      <c r="N1457" s="40" t="s">
        <v>2838</v>
      </c>
      <c r="O1457" s="40" t="s">
        <v>742</v>
      </c>
      <c r="P1457" s="40" t="s">
        <v>5674</v>
      </c>
      <c r="Q1457" t="s">
        <v>316</v>
      </c>
    </row>
    <row r="1458" spans="1:17" x14ac:dyDescent="0.25">
      <c r="A1458" s="2" t="str">
        <f>HYPERLINK("https://www.ncbi.nlm.nih.gov/pubmed/16524769","16524769")</f>
        <v>16524769</v>
      </c>
      <c r="B1458">
        <f t="shared" si="95"/>
        <v>1</v>
      </c>
      <c r="C1458">
        <f t="shared" si="95"/>
        <v>0</v>
      </c>
      <c r="D1458">
        <f t="shared" si="95"/>
        <v>0</v>
      </c>
      <c r="E1458">
        <f t="shared" si="93"/>
        <v>1</v>
      </c>
      <c r="F1458">
        <v>2006</v>
      </c>
      <c r="G1458" t="s">
        <v>5675</v>
      </c>
      <c r="H1458">
        <v>1</v>
      </c>
      <c r="I1458" s="65">
        <v>0</v>
      </c>
      <c r="J1458" t="s">
        <v>5676</v>
      </c>
      <c r="K1458" s="35" t="s">
        <v>5677</v>
      </c>
      <c r="L1458" s="35" t="s">
        <v>7188</v>
      </c>
      <c r="M1458" s="39" t="str">
        <f>HYPERLINK("http://dx.doi.org/10.1016/j.ijmm.2005.11.007","10.1016/j.ijmm.2005.11.007")</f>
        <v>10.1016/j.ijmm.2005.11.007</v>
      </c>
      <c r="N1458" s="40" t="s">
        <v>5678</v>
      </c>
      <c r="O1458" s="40" t="s">
        <v>383</v>
      </c>
      <c r="P1458" s="40" t="s">
        <v>5549</v>
      </c>
      <c r="Q1458" t="s">
        <v>316</v>
      </c>
    </row>
    <row r="1459" spans="1:17" x14ac:dyDescent="0.25">
      <c r="A1459" s="2" t="str">
        <f>HYPERLINK("https://www.ncbi.nlm.nih.gov/pubmed/16457470","16457470")</f>
        <v>16457470</v>
      </c>
      <c r="B1459">
        <f t="shared" si="95"/>
        <v>1</v>
      </c>
      <c r="C1459">
        <f t="shared" si="95"/>
        <v>0</v>
      </c>
      <c r="D1459">
        <f t="shared" si="95"/>
        <v>0</v>
      </c>
      <c r="E1459">
        <f t="shared" si="93"/>
        <v>1</v>
      </c>
      <c r="F1459">
        <v>2005</v>
      </c>
      <c r="G1459" t="s">
        <v>5683</v>
      </c>
      <c r="H1459">
        <v>0</v>
      </c>
      <c r="I1459" s="65">
        <v>0</v>
      </c>
      <c r="J1459" t="s">
        <v>5685</v>
      </c>
      <c r="K1459" s="35" t="s">
        <v>4026</v>
      </c>
      <c r="L1459" s="35" t="s">
        <v>5684</v>
      </c>
      <c r="M1459" s="39" t="str">
        <f>HYPERLINK("http://dx.doi.org/","")</f>
        <v/>
      </c>
      <c r="N1459" s="40" t="s">
        <v>915</v>
      </c>
      <c r="O1459" s="40" t="s">
        <v>744</v>
      </c>
      <c r="P1459" s="40" t="s">
        <v>5686</v>
      </c>
      <c r="Q1459" t="s">
        <v>316</v>
      </c>
    </row>
    <row r="1460" spans="1:17" x14ac:dyDescent="0.25">
      <c r="A1460" s="2" t="str">
        <f>HYPERLINK("https://www.ncbi.nlm.nih.gov/pubmed/16402295","16402295")</f>
        <v>16402295</v>
      </c>
      <c r="B1460">
        <f t="shared" si="95"/>
        <v>1</v>
      </c>
      <c r="C1460">
        <f t="shared" si="95"/>
        <v>0</v>
      </c>
      <c r="D1460">
        <f t="shared" si="95"/>
        <v>0</v>
      </c>
      <c r="E1460">
        <f t="shared" si="93"/>
        <v>1</v>
      </c>
      <c r="F1460">
        <v>2005</v>
      </c>
      <c r="G1460" t="s">
        <v>5691</v>
      </c>
      <c r="H1460">
        <v>0</v>
      </c>
      <c r="I1460" s="65">
        <v>0</v>
      </c>
      <c r="J1460" t="s">
        <v>5693</v>
      </c>
      <c r="K1460" s="35" t="s">
        <v>3164</v>
      </c>
      <c r="L1460" s="35" t="s">
        <v>5692</v>
      </c>
      <c r="M1460" s="39" t="str">
        <f>HYPERLINK("http://dx.doi.org/10.1007/s00128-005-0859-9","10.1007/s00128-005-0859-9")</f>
        <v>10.1007/s00128-005-0859-9</v>
      </c>
      <c r="N1460" s="40" t="s">
        <v>2041</v>
      </c>
      <c r="O1460" s="40" t="s">
        <v>741</v>
      </c>
      <c r="P1460" s="40" t="s">
        <v>5694</v>
      </c>
      <c r="Q1460" t="s">
        <v>316</v>
      </c>
    </row>
    <row r="1461" spans="1:17" x14ac:dyDescent="0.25">
      <c r="A1461" s="2" t="str">
        <f>HYPERLINK("https://www.ncbi.nlm.nih.gov/pubmed/16195902","16195902")</f>
        <v>16195902</v>
      </c>
      <c r="B1461">
        <f t="shared" si="95"/>
        <v>1</v>
      </c>
      <c r="C1461">
        <f t="shared" si="95"/>
        <v>0</v>
      </c>
      <c r="D1461">
        <f t="shared" si="95"/>
        <v>0</v>
      </c>
      <c r="E1461">
        <f t="shared" si="93"/>
        <v>1</v>
      </c>
      <c r="F1461">
        <v>2005</v>
      </c>
      <c r="G1461" t="s">
        <v>5717</v>
      </c>
      <c r="H1461">
        <v>0</v>
      </c>
      <c r="I1461" s="65">
        <v>0</v>
      </c>
      <c r="J1461" t="s">
        <v>5718</v>
      </c>
      <c r="K1461" s="35" t="s">
        <v>5039</v>
      </c>
      <c r="L1461" s="35" t="s">
        <v>7193</v>
      </c>
      <c r="M1461" s="39" t="str">
        <f>HYPERLINK("http://dx.doi.org/10.1007/s10158-005-0008-5","10.1007/s10158-005-0008-5")</f>
        <v>10.1007/s10158-005-0008-5</v>
      </c>
      <c r="N1461" s="40" t="s">
        <v>746</v>
      </c>
      <c r="O1461" s="40" t="s">
        <v>1741</v>
      </c>
      <c r="P1461" s="40" t="s">
        <v>5719</v>
      </c>
      <c r="Q1461" t="s">
        <v>316</v>
      </c>
    </row>
    <row r="1462" spans="1:17" x14ac:dyDescent="0.25">
      <c r="A1462" s="2" t="str">
        <f>HYPERLINK("https://www.ncbi.nlm.nih.gov/pubmed/16172884","16172884")</f>
        <v>16172884</v>
      </c>
      <c r="B1462">
        <f t="shared" si="95"/>
        <v>1</v>
      </c>
      <c r="C1462">
        <f t="shared" si="95"/>
        <v>0</v>
      </c>
      <c r="D1462">
        <f t="shared" si="95"/>
        <v>0</v>
      </c>
      <c r="E1462">
        <f t="shared" si="93"/>
        <v>1</v>
      </c>
      <c r="F1462">
        <v>2005</v>
      </c>
      <c r="G1462" t="s">
        <v>5723</v>
      </c>
      <c r="H1462">
        <v>1</v>
      </c>
      <c r="I1462" s="65">
        <v>0</v>
      </c>
      <c r="J1462" t="s">
        <v>5725</v>
      </c>
      <c r="K1462" s="35" t="s">
        <v>5039</v>
      </c>
      <c r="L1462" s="35" t="s">
        <v>5724</v>
      </c>
      <c r="M1462" s="39" t="str">
        <f>HYPERLINK("http://dx.doi.org/10.1007/s10158-005-0004-9","10.1007/s10158-005-0004-9")</f>
        <v>10.1007/s10158-005-0004-9</v>
      </c>
      <c r="N1462" s="40" t="s">
        <v>746</v>
      </c>
      <c r="O1462" s="40" t="s">
        <v>1741</v>
      </c>
      <c r="P1462" s="40" t="s">
        <v>5726</v>
      </c>
      <c r="Q1462" t="s">
        <v>316</v>
      </c>
    </row>
    <row r="1463" spans="1:17" x14ac:dyDescent="0.25">
      <c r="A1463" s="2" t="str">
        <f>HYPERLINK("https://www.ncbi.nlm.nih.gov/pubmed/16045170","16045170")</f>
        <v>16045170</v>
      </c>
      <c r="B1463">
        <f t="shared" si="95"/>
        <v>1</v>
      </c>
      <c r="C1463">
        <f t="shared" si="95"/>
        <v>0</v>
      </c>
      <c r="D1463">
        <f t="shared" si="95"/>
        <v>0</v>
      </c>
      <c r="E1463">
        <f t="shared" si="93"/>
        <v>1</v>
      </c>
      <c r="F1463">
        <v>2005</v>
      </c>
      <c r="G1463" t="s">
        <v>5744</v>
      </c>
      <c r="H1463">
        <v>1</v>
      </c>
      <c r="I1463" s="65">
        <v>0</v>
      </c>
      <c r="J1463" t="s">
        <v>5746</v>
      </c>
      <c r="K1463" s="35" t="s">
        <v>5747</v>
      </c>
      <c r="L1463" s="35" t="s">
        <v>5745</v>
      </c>
      <c r="M1463" s="39" t="str">
        <f>HYPERLINK("http://dx.doi.org/","")</f>
        <v/>
      </c>
      <c r="N1463" s="40" t="s">
        <v>659</v>
      </c>
      <c r="O1463" s="40" t="s">
        <v>744</v>
      </c>
      <c r="P1463" s="40" t="s">
        <v>5748</v>
      </c>
      <c r="Q1463" t="s">
        <v>316</v>
      </c>
    </row>
    <row r="1464" spans="1:17" x14ac:dyDescent="0.25">
      <c r="A1464" s="2" t="str">
        <f>HYPERLINK("https://www.ncbi.nlm.nih.gov/pubmed/16044331","16044331")</f>
        <v>16044331</v>
      </c>
      <c r="B1464">
        <f t="shared" ref="B1464:D1483" si="96">IF(ISBLANK(B$3),0,(LEN($L1464) - LEN(SUBSTITUTE(LOWER($L1464),LOWER(B$3),"")))/LEN(B$3))</f>
        <v>1</v>
      </c>
      <c r="C1464">
        <f t="shared" si="96"/>
        <v>0</v>
      </c>
      <c r="D1464">
        <f t="shared" si="96"/>
        <v>0</v>
      </c>
      <c r="E1464">
        <f t="shared" si="93"/>
        <v>1</v>
      </c>
      <c r="F1464">
        <v>2005</v>
      </c>
      <c r="G1464" t="s">
        <v>5749</v>
      </c>
      <c r="H1464">
        <v>0</v>
      </c>
      <c r="I1464" s="65">
        <v>0</v>
      </c>
      <c r="J1464" t="s">
        <v>5750</v>
      </c>
      <c r="K1464" s="35" t="s">
        <v>5751</v>
      </c>
      <c r="L1464" s="35" t="s">
        <v>7196</v>
      </c>
      <c r="M1464" s="39" t="str">
        <f>HYPERLINK("http://dx.doi.org/10.1007/s00359-005-0007-3","10.1007/s00359-005-0007-3")</f>
        <v>10.1007/s00359-005-0007-3</v>
      </c>
      <c r="N1464" s="40" t="s">
        <v>4316</v>
      </c>
      <c r="O1464" s="40" t="s">
        <v>660</v>
      </c>
      <c r="P1464" s="40" t="s">
        <v>5752</v>
      </c>
      <c r="Q1464" t="s">
        <v>316</v>
      </c>
    </row>
    <row r="1465" spans="1:17" x14ac:dyDescent="0.25">
      <c r="A1465" s="2" t="str">
        <f>HYPERLINK("https://www.ncbi.nlm.nih.gov/pubmed/16027231","16027231")</f>
        <v>16027231</v>
      </c>
      <c r="B1465">
        <f t="shared" si="96"/>
        <v>1</v>
      </c>
      <c r="C1465">
        <f t="shared" si="96"/>
        <v>0</v>
      </c>
      <c r="D1465">
        <f t="shared" si="96"/>
        <v>0</v>
      </c>
      <c r="E1465">
        <f t="shared" si="93"/>
        <v>1</v>
      </c>
      <c r="F1465">
        <v>2005</v>
      </c>
      <c r="G1465" t="s">
        <v>5758</v>
      </c>
      <c r="H1465">
        <v>1</v>
      </c>
      <c r="I1465" s="65">
        <v>0</v>
      </c>
      <c r="J1465" t="s">
        <v>5760</v>
      </c>
      <c r="K1465" s="35" t="s">
        <v>2824</v>
      </c>
      <c r="L1465" s="35" t="s">
        <v>5759</v>
      </c>
      <c r="M1465" s="39" t="str">
        <f>HYPERLINK("http://dx.doi.org/10.1124/mol.105.015313","10.1124/mol.105.015313")</f>
        <v>10.1124/mol.105.015313</v>
      </c>
      <c r="N1465" s="40" t="s">
        <v>1200</v>
      </c>
      <c r="O1465" s="40" t="s">
        <v>690</v>
      </c>
      <c r="P1465" s="40" t="s">
        <v>5761</v>
      </c>
      <c r="Q1465" t="s">
        <v>316</v>
      </c>
    </row>
    <row r="1466" spans="1:17" x14ac:dyDescent="0.25">
      <c r="A1466" s="2" t="str">
        <f>HYPERLINK("https://www.ncbi.nlm.nih.gov/pubmed/16022319","16022319")</f>
        <v>16022319</v>
      </c>
      <c r="B1466">
        <f t="shared" si="96"/>
        <v>1</v>
      </c>
      <c r="C1466">
        <f t="shared" si="96"/>
        <v>0</v>
      </c>
      <c r="D1466">
        <f t="shared" si="96"/>
        <v>0</v>
      </c>
      <c r="E1466">
        <f t="shared" si="93"/>
        <v>1</v>
      </c>
      <c r="F1466">
        <v>2005</v>
      </c>
      <c r="G1466" t="s">
        <v>5769</v>
      </c>
      <c r="H1466">
        <v>0</v>
      </c>
      <c r="I1466" s="65">
        <v>0</v>
      </c>
      <c r="J1466" t="s">
        <v>5771</v>
      </c>
      <c r="K1466" s="35" t="s">
        <v>909</v>
      </c>
      <c r="L1466" s="35" t="s">
        <v>5770</v>
      </c>
      <c r="M1466" s="39" t="str">
        <f>HYPERLINK("http://dx.doi.org/10.1603/0022-0493-98.3.899","10.1603/0022-0493-98.3.899")</f>
        <v>10.1603/0022-0493-98.3.899</v>
      </c>
      <c r="N1466" s="40" t="s">
        <v>3516</v>
      </c>
      <c r="O1466" s="40" t="s">
        <v>750</v>
      </c>
      <c r="P1466" s="40" t="s">
        <v>5772</v>
      </c>
      <c r="Q1466" t="s">
        <v>316</v>
      </c>
    </row>
    <row r="1467" spans="1:17" x14ac:dyDescent="0.25">
      <c r="A1467" s="2" t="str">
        <f>HYPERLINK("https://www.ncbi.nlm.nih.gov/pubmed/16022294","16022294")</f>
        <v>16022294</v>
      </c>
      <c r="B1467">
        <f t="shared" si="96"/>
        <v>1</v>
      </c>
      <c r="C1467">
        <f t="shared" si="96"/>
        <v>0</v>
      </c>
      <c r="D1467">
        <f t="shared" si="96"/>
        <v>0</v>
      </c>
      <c r="E1467">
        <f t="shared" si="93"/>
        <v>1</v>
      </c>
      <c r="F1467">
        <v>2005</v>
      </c>
      <c r="G1467" t="s">
        <v>5773</v>
      </c>
      <c r="H1467">
        <v>0</v>
      </c>
      <c r="I1467" s="65">
        <v>0</v>
      </c>
      <c r="J1467" t="s">
        <v>5775</v>
      </c>
      <c r="K1467" s="35" t="s">
        <v>909</v>
      </c>
      <c r="L1467" s="35" t="s">
        <v>5774</v>
      </c>
      <c r="M1467" s="39" t="str">
        <f>HYPERLINK("http://dx.doi.org/10.1603/0022-0493-98.3.689","10.1603/0022-0493-98.3.689")</f>
        <v>10.1603/0022-0493-98.3.689</v>
      </c>
      <c r="N1467" s="40" t="s">
        <v>3516</v>
      </c>
      <c r="O1467" s="40" t="s">
        <v>750</v>
      </c>
      <c r="P1467" s="40" t="s">
        <v>5776</v>
      </c>
      <c r="Q1467" t="s">
        <v>316</v>
      </c>
    </row>
    <row r="1468" spans="1:17" x14ac:dyDescent="0.25">
      <c r="A1468" s="2" t="str">
        <f>HYPERLINK("https://www.ncbi.nlm.nih.gov/pubmed/15837612","15837612")</f>
        <v>15837612</v>
      </c>
      <c r="B1468">
        <f t="shared" si="96"/>
        <v>1</v>
      </c>
      <c r="C1468">
        <f t="shared" si="96"/>
        <v>0</v>
      </c>
      <c r="D1468">
        <f t="shared" si="96"/>
        <v>0</v>
      </c>
      <c r="E1468">
        <f t="shared" si="93"/>
        <v>1</v>
      </c>
      <c r="F1468">
        <v>2005</v>
      </c>
      <c r="G1468" t="s">
        <v>5814</v>
      </c>
      <c r="H1468">
        <v>1</v>
      </c>
      <c r="I1468" s="65">
        <v>0</v>
      </c>
      <c r="J1468" t="s">
        <v>1321</v>
      </c>
      <c r="K1468" s="35" t="s">
        <v>5816</v>
      </c>
      <c r="L1468" s="35" t="s">
        <v>5815</v>
      </c>
      <c r="M1468" s="39" t="str">
        <f>HYPERLINK("http://dx.doi.org/10.1016/j.pt.2005.03.010","10.1016/j.pt.2005.03.010")</f>
        <v>10.1016/j.pt.2005.03.010</v>
      </c>
      <c r="N1468" s="40" t="s">
        <v>1364</v>
      </c>
      <c r="O1468" s="40" t="s">
        <v>746</v>
      </c>
      <c r="P1468" s="40" t="s">
        <v>5817</v>
      </c>
      <c r="Q1468" t="s">
        <v>316</v>
      </c>
    </row>
    <row r="1469" spans="1:17" x14ac:dyDescent="0.25">
      <c r="A1469" s="2" t="str">
        <f>HYPERLINK("https://www.ncbi.nlm.nih.gov/pubmed/15786926","15786926")</f>
        <v>15786926</v>
      </c>
      <c r="B1469">
        <f t="shared" si="96"/>
        <v>1</v>
      </c>
      <c r="C1469">
        <f t="shared" si="96"/>
        <v>0</v>
      </c>
      <c r="D1469">
        <f t="shared" si="96"/>
        <v>0</v>
      </c>
      <c r="E1469">
        <f t="shared" si="93"/>
        <v>1</v>
      </c>
      <c r="F1469">
        <v>2005</v>
      </c>
      <c r="G1469" t="s">
        <v>5818</v>
      </c>
      <c r="H1469">
        <v>0</v>
      </c>
      <c r="I1469" s="65">
        <v>0</v>
      </c>
      <c r="J1469" t="s">
        <v>5820</v>
      </c>
      <c r="K1469" s="35" t="s">
        <v>4754</v>
      </c>
      <c r="L1469" s="35" t="s">
        <v>5819</v>
      </c>
      <c r="M1469" s="39" t="str">
        <f>HYPERLINK("http://dx.doi.org/10.1136/vr.156.10.327","10.1136/vr.156.10.327")</f>
        <v>10.1136/vr.156.10.327</v>
      </c>
      <c r="N1469" s="40" t="s">
        <v>5276</v>
      </c>
      <c r="O1469" s="40" t="s">
        <v>802</v>
      </c>
      <c r="P1469" s="40" t="s">
        <v>5821</v>
      </c>
      <c r="Q1469" t="s">
        <v>316</v>
      </c>
    </row>
    <row r="1470" spans="1:17" x14ac:dyDescent="0.25">
      <c r="A1470" s="2" t="str">
        <f>HYPERLINK("https://www.ncbi.nlm.nih.gov/pubmed/15750780","15750780")</f>
        <v>15750780</v>
      </c>
      <c r="B1470">
        <f t="shared" si="96"/>
        <v>1</v>
      </c>
      <c r="C1470">
        <f t="shared" si="96"/>
        <v>0</v>
      </c>
      <c r="D1470">
        <f t="shared" si="96"/>
        <v>0</v>
      </c>
      <c r="E1470">
        <f t="shared" si="93"/>
        <v>1</v>
      </c>
      <c r="F1470">
        <v>2005</v>
      </c>
      <c r="G1470" t="s">
        <v>5822</v>
      </c>
      <c r="H1470">
        <v>0</v>
      </c>
      <c r="I1470" s="65">
        <v>0</v>
      </c>
      <c r="J1470" t="s">
        <v>5824</v>
      </c>
      <c r="K1470" s="35" t="s">
        <v>1395</v>
      </c>
      <c r="L1470" s="35" t="s">
        <v>5823</v>
      </c>
      <c r="M1470" s="39" t="str">
        <f>HYPERLINK("http://dx.doi.org/10.1007/s00244-003-0262-7","10.1007/s00244-003-0262-7")</f>
        <v>10.1007/s00244-003-0262-7</v>
      </c>
      <c r="N1470" s="40" t="s">
        <v>1450</v>
      </c>
      <c r="O1470" s="40" t="s">
        <v>744</v>
      </c>
      <c r="P1470" s="40" t="s">
        <v>5825</v>
      </c>
      <c r="Q1470" t="s">
        <v>316</v>
      </c>
    </row>
    <row r="1471" spans="1:17" x14ac:dyDescent="0.25">
      <c r="A1471" s="2" t="str">
        <f>HYPERLINK("https://www.ncbi.nlm.nih.gov/pubmed/15551628","15551628")</f>
        <v>15551628</v>
      </c>
      <c r="B1471">
        <f t="shared" si="96"/>
        <v>1</v>
      </c>
      <c r="C1471">
        <f t="shared" si="96"/>
        <v>0</v>
      </c>
      <c r="D1471">
        <f t="shared" si="96"/>
        <v>0</v>
      </c>
      <c r="E1471">
        <f t="shared" si="93"/>
        <v>1</v>
      </c>
      <c r="F1471">
        <v>2004</v>
      </c>
      <c r="G1471" t="s">
        <v>5878</v>
      </c>
      <c r="H1471">
        <v>0</v>
      </c>
      <c r="I1471" s="65">
        <v>0</v>
      </c>
      <c r="J1471" t="s">
        <v>5880</v>
      </c>
      <c r="K1471" s="35" t="s">
        <v>4487</v>
      </c>
      <c r="L1471" s="35" t="s">
        <v>5879</v>
      </c>
      <c r="M1471" s="39" t="str">
        <f>HYPERLINK("http://dx.doi.org/","")</f>
        <v/>
      </c>
      <c r="N1471" s="40" t="s">
        <v>5812</v>
      </c>
      <c r="O1471" s="40" t="s">
        <v>1109</v>
      </c>
      <c r="P1471" s="40" t="s">
        <v>5881</v>
      </c>
      <c r="Q1471" t="s">
        <v>316</v>
      </c>
    </row>
    <row r="1472" spans="1:17" x14ac:dyDescent="0.25">
      <c r="A1472" s="2" t="str">
        <f>HYPERLINK("https://www.ncbi.nlm.nih.gov/pubmed/15474615","15474615")</f>
        <v>15474615</v>
      </c>
      <c r="B1472">
        <f t="shared" si="96"/>
        <v>1</v>
      </c>
      <c r="C1472">
        <f t="shared" si="96"/>
        <v>0</v>
      </c>
      <c r="D1472">
        <f t="shared" si="96"/>
        <v>0</v>
      </c>
      <c r="E1472">
        <f t="shared" si="93"/>
        <v>1</v>
      </c>
      <c r="F1472">
        <v>2004</v>
      </c>
      <c r="G1472" t="s">
        <v>5902</v>
      </c>
      <c r="H1472">
        <v>0</v>
      </c>
      <c r="I1472" s="65">
        <v>0</v>
      </c>
      <c r="J1472" t="s">
        <v>5903</v>
      </c>
      <c r="K1472" s="35" t="s">
        <v>937</v>
      </c>
      <c r="L1472" s="35" t="s">
        <v>7211</v>
      </c>
      <c r="M1472" s="39" t="str">
        <f>HYPERLINK("http://dx.doi.org/10.1016/j.neuro.2004.04.004","10.1016/j.neuro.2004.04.004")</f>
        <v>10.1016/j.neuro.2004.04.004</v>
      </c>
      <c r="N1472" s="40" t="s">
        <v>1369</v>
      </c>
      <c r="O1472" s="40" t="s">
        <v>741</v>
      </c>
      <c r="P1472" s="40" t="s">
        <v>5904</v>
      </c>
      <c r="Q1472" t="s">
        <v>316</v>
      </c>
    </row>
    <row r="1473" spans="1:17" x14ac:dyDescent="0.25">
      <c r="A1473" s="2" t="str">
        <f>HYPERLINK("https://www.ncbi.nlm.nih.gov/pubmed/15386133","15386133")</f>
        <v>15386133</v>
      </c>
      <c r="B1473">
        <f t="shared" si="96"/>
        <v>1</v>
      </c>
      <c r="C1473">
        <f t="shared" si="96"/>
        <v>0</v>
      </c>
      <c r="D1473">
        <f t="shared" si="96"/>
        <v>0</v>
      </c>
      <c r="E1473">
        <f t="shared" si="93"/>
        <v>1</v>
      </c>
      <c r="F1473">
        <v>2004</v>
      </c>
      <c r="G1473" t="s">
        <v>5905</v>
      </c>
      <c r="H1473">
        <v>0</v>
      </c>
      <c r="I1473" s="65">
        <v>0</v>
      </c>
      <c r="J1473" t="s">
        <v>5906</v>
      </c>
      <c r="K1473" s="35" t="s">
        <v>1395</v>
      </c>
      <c r="L1473" s="35" t="s">
        <v>7212</v>
      </c>
      <c r="M1473" s="39" t="str">
        <f>HYPERLINK("http://dx.doi.org/10.1007/s00244-004-3052-y","10.1007/s00244-004-3052-y")</f>
        <v>10.1007/s00244-004-3052-y</v>
      </c>
      <c r="N1473" s="40" t="s">
        <v>2814</v>
      </c>
      <c r="O1473" s="40" t="s">
        <v>750</v>
      </c>
      <c r="P1473" s="40" t="s">
        <v>5907</v>
      </c>
      <c r="Q1473" t="s">
        <v>316</v>
      </c>
    </row>
    <row r="1474" spans="1:17" x14ac:dyDescent="0.25">
      <c r="A1474" s="2" t="str">
        <f>HYPERLINK("https://www.ncbi.nlm.nih.gov/pubmed/15328714","15328714")</f>
        <v>15328714</v>
      </c>
      <c r="B1474">
        <f t="shared" si="96"/>
        <v>1</v>
      </c>
      <c r="C1474">
        <f t="shared" si="96"/>
        <v>0</v>
      </c>
      <c r="D1474">
        <f t="shared" si="96"/>
        <v>0</v>
      </c>
      <c r="E1474">
        <f t="shared" si="93"/>
        <v>1</v>
      </c>
      <c r="F1474">
        <v>2004</v>
      </c>
      <c r="G1474" t="s">
        <v>5911</v>
      </c>
      <c r="H1474">
        <v>0</v>
      </c>
      <c r="I1474" s="65">
        <v>0</v>
      </c>
      <c r="J1474" t="s">
        <v>5913</v>
      </c>
      <c r="K1474" s="35" t="s">
        <v>1649</v>
      </c>
      <c r="L1474" s="35" t="s">
        <v>5912</v>
      </c>
      <c r="M1474" s="39" t="str">
        <f>HYPERLINK("http://dx.doi.org/10.2460/javma.2004.225.389","10.2460/javma.2004.225.389")</f>
        <v>10.2460/javma.2004.225.389</v>
      </c>
      <c r="N1474" s="40" t="s">
        <v>5914</v>
      </c>
      <c r="O1474" s="40" t="s">
        <v>750</v>
      </c>
      <c r="P1474" s="40" t="s">
        <v>5915</v>
      </c>
      <c r="Q1474" t="s">
        <v>316</v>
      </c>
    </row>
    <row r="1475" spans="1:17" x14ac:dyDescent="0.25">
      <c r="A1475" s="2" t="str">
        <f>HYPERLINK("https://www.ncbi.nlm.nih.gov/pubmed/15185942","15185942")</f>
        <v>15185942</v>
      </c>
      <c r="B1475">
        <f t="shared" si="96"/>
        <v>1</v>
      </c>
      <c r="C1475">
        <f t="shared" si="96"/>
        <v>0</v>
      </c>
      <c r="D1475">
        <f t="shared" si="96"/>
        <v>0</v>
      </c>
      <c r="E1475">
        <f t="shared" si="93"/>
        <v>1</v>
      </c>
      <c r="F1475">
        <v>2004</v>
      </c>
      <c r="G1475" t="s">
        <v>5932</v>
      </c>
      <c r="H1475">
        <v>0</v>
      </c>
      <c r="I1475" s="65">
        <v>0</v>
      </c>
      <c r="J1475" t="s">
        <v>5934</v>
      </c>
      <c r="K1475" s="35" t="s">
        <v>1027</v>
      </c>
      <c r="L1475" s="35" t="s">
        <v>5933</v>
      </c>
      <c r="M1475" s="39" t="str">
        <f>HYPERLINK("http://dx.doi.org/10.1603/0022-2585-41.3.408","10.1603/0022-2585-41.3.408")</f>
        <v>10.1603/0022-2585-41.3.408</v>
      </c>
      <c r="N1475" s="40" t="s">
        <v>1104</v>
      </c>
      <c r="O1475" s="40" t="s">
        <v>750</v>
      </c>
      <c r="P1475" s="40" t="s">
        <v>4032</v>
      </c>
      <c r="Q1475" t="s">
        <v>316</v>
      </c>
    </row>
    <row r="1476" spans="1:17" x14ac:dyDescent="0.25">
      <c r="A1476" s="2" t="str">
        <f>HYPERLINK("https://www.ncbi.nlm.nih.gov/pubmed/15165074","15165074")</f>
        <v>15165074</v>
      </c>
      <c r="B1476">
        <f t="shared" si="96"/>
        <v>1</v>
      </c>
      <c r="C1476">
        <f t="shared" si="96"/>
        <v>0</v>
      </c>
      <c r="D1476">
        <f t="shared" si="96"/>
        <v>0</v>
      </c>
      <c r="E1476">
        <f t="shared" ref="E1476:E1539" si="97">SUM(B1476:D1476)</f>
        <v>1</v>
      </c>
      <c r="F1476">
        <v>2004</v>
      </c>
      <c r="G1476" t="s">
        <v>5935</v>
      </c>
      <c r="H1476">
        <v>0</v>
      </c>
      <c r="I1476" s="65">
        <v>0</v>
      </c>
      <c r="J1476" t="s">
        <v>5937</v>
      </c>
      <c r="K1476" s="35" t="s">
        <v>5938</v>
      </c>
      <c r="L1476" s="35" t="s">
        <v>5936</v>
      </c>
      <c r="M1476" s="39" t="str">
        <f>HYPERLINK("http://dx.doi.org/10.1645/GE-3270RN","10.1645/GE-3270RN")</f>
        <v>10.1645/GE-3270RN</v>
      </c>
      <c r="N1476" s="40" t="s">
        <v>2505</v>
      </c>
      <c r="O1476" s="40" t="s">
        <v>744</v>
      </c>
      <c r="P1476" s="40" t="s">
        <v>5939</v>
      </c>
      <c r="Q1476" t="s">
        <v>316</v>
      </c>
    </row>
    <row r="1477" spans="1:17" x14ac:dyDescent="0.25">
      <c r="A1477" s="2" t="str">
        <f>HYPERLINK("https://www.ncbi.nlm.nih.gov/pubmed/15144009","15144009")</f>
        <v>15144009</v>
      </c>
      <c r="B1477">
        <f t="shared" si="96"/>
        <v>1</v>
      </c>
      <c r="C1477">
        <f t="shared" si="96"/>
        <v>0</v>
      </c>
      <c r="D1477">
        <f t="shared" si="96"/>
        <v>0</v>
      </c>
      <c r="E1477">
        <f t="shared" si="97"/>
        <v>1</v>
      </c>
      <c r="F1477">
        <v>2004</v>
      </c>
      <c r="G1477" t="s">
        <v>5950</v>
      </c>
      <c r="H1477">
        <v>0</v>
      </c>
      <c r="I1477" s="65">
        <v>0</v>
      </c>
      <c r="J1477" t="s">
        <v>5952</v>
      </c>
      <c r="K1477" s="35" t="s">
        <v>4754</v>
      </c>
      <c r="L1477" s="35" t="s">
        <v>5951</v>
      </c>
      <c r="M1477" s="39" t="str">
        <f>HYPERLINK("http://dx.doi.org/","")</f>
        <v/>
      </c>
      <c r="N1477" s="40" t="s">
        <v>757</v>
      </c>
      <c r="O1477" s="40" t="s">
        <v>659</v>
      </c>
      <c r="P1477" s="40" t="s">
        <v>5953</v>
      </c>
      <c r="Q1477" t="s">
        <v>316</v>
      </c>
    </row>
    <row r="1478" spans="1:17" x14ac:dyDescent="0.25">
      <c r="A1478" s="2" t="str">
        <f>HYPERLINK("https://www.ncbi.nlm.nih.gov/pubmed/15030559","15030559")</f>
        <v>15030559</v>
      </c>
      <c r="B1478">
        <f t="shared" si="96"/>
        <v>1</v>
      </c>
      <c r="C1478">
        <f t="shared" si="96"/>
        <v>0</v>
      </c>
      <c r="D1478">
        <f t="shared" si="96"/>
        <v>0</v>
      </c>
      <c r="E1478">
        <f t="shared" si="97"/>
        <v>1</v>
      </c>
      <c r="F1478">
        <v>2004</v>
      </c>
      <c r="G1478" t="s">
        <v>5961</v>
      </c>
      <c r="H1478">
        <v>1</v>
      </c>
      <c r="I1478" s="65">
        <v>0</v>
      </c>
      <c r="J1478" t="s">
        <v>5963</v>
      </c>
      <c r="K1478" s="35" t="s">
        <v>2743</v>
      </c>
      <c r="L1478" s="35" t="s">
        <v>5962</v>
      </c>
      <c r="M1478" s="39" t="str">
        <f>HYPERLINK("http://dx.doi.org/10.1111/j.1365-3164.2004.00362.x","10.1111/j.1365-3164.2004.00362.x")</f>
        <v>10.1111/j.1365-3164.2004.00362.x</v>
      </c>
      <c r="N1478" s="40" t="s">
        <v>929</v>
      </c>
      <c r="O1478" s="40" t="s">
        <v>744</v>
      </c>
      <c r="P1478" s="40" t="s">
        <v>5964</v>
      </c>
      <c r="Q1478" t="s">
        <v>316</v>
      </c>
    </row>
    <row r="1479" spans="1:17" x14ac:dyDescent="0.25">
      <c r="A1479" s="2" t="str">
        <f>HYPERLINK("https://www.ncbi.nlm.nih.gov/pubmed/14635176","14635176")</f>
        <v>14635176</v>
      </c>
      <c r="B1479">
        <f t="shared" si="96"/>
        <v>1</v>
      </c>
      <c r="C1479">
        <f t="shared" si="96"/>
        <v>0</v>
      </c>
      <c r="D1479">
        <f t="shared" si="96"/>
        <v>0</v>
      </c>
      <c r="E1479">
        <f t="shared" si="97"/>
        <v>1</v>
      </c>
      <c r="F1479">
        <v>2003</v>
      </c>
      <c r="G1479" t="s">
        <v>6003</v>
      </c>
      <c r="H1479">
        <v>1</v>
      </c>
      <c r="I1479" s="65">
        <v>0</v>
      </c>
      <c r="J1479" t="s">
        <v>6004</v>
      </c>
      <c r="K1479" s="35" t="s">
        <v>2220</v>
      </c>
      <c r="L1479" s="35" t="s">
        <v>7223</v>
      </c>
      <c r="M1479" s="39" t="str">
        <f>HYPERLINK("http://dx.doi.org/10.1002/arch.10112","10.1002/arch.10112")</f>
        <v>10.1002/arch.10112</v>
      </c>
      <c r="N1479" s="40" t="s">
        <v>2010</v>
      </c>
      <c r="O1479" s="40" t="s">
        <v>690</v>
      </c>
      <c r="P1479" s="40" t="s">
        <v>6005</v>
      </c>
      <c r="Q1479" t="s">
        <v>316</v>
      </c>
    </row>
    <row r="1480" spans="1:17" x14ac:dyDescent="0.25">
      <c r="A1480" s="2" t="str">
        <f>HYPERLINK("https://www.ncbi.nlm.nih.gov/pubmed/14503598","14503598")</f>
        <v>14503598</v>
      </c>
      <c r="B1480">
        <f t="shared" si="96"/>
        <v>1</v>
      </c>
      <c r="C1480">
        <f t="shared" si="96"/>
        <v>2</v>
      </c>
      <c r="D1480">
        <f t="shared" si="96"/>
        <v>0</v>
      </c>
      <c r="E1480">
        <f t="shared" si="97"/>
        <v>3</v>
      </c>
      <c r="F1480">
        <v>2003</v>
      </c>
      <c r="G1480" t="s">
        <v>6022</v>
      </c>
      <c r="H1480">
        <v>0</v>
      </c>
      <c r="I1480" s="65">
        <v>0</v>
      </c>
      <c r="J1480" t="s">
        <v>6024</v>
      </c>
      <c r="K1480" s="35" t="s">
        <v>909</v>
      </c>
      <c r="L1480" s="35" t="s">
        <v>6023</v>
      </c>
      <c r="M1480" s="39" t="str">
        <f>HYPERLINK("http://dx.doi.org/10.1093/jee/96.4.1254","10.1093/jee/96.4.1254")</f>
        <v>10.1093/jee/96.4.1254</v>
      </c>
      <c r="N1480" s="40" t="s">
        <v>3165</v>
      </c>
      <c r="O1480" s="40" t="s">
        <v>690</v>
      </c>
      <c r="P1480" s="40" t="s">
        <v>6025</v>
      </c>
      <c r="Q1480" t="s">
        <v>316</v>
      </c>
    </row>
    <row r="1481" spans="1:17" x14ac:dyDescent="0.25">
      <c r="A1481" s="2" t="str">
        <f>HYPERLINK("https://www.ncbi.nlm.nih.gov/pubmed/12928873","12928873")</f>
        <v>12928873</v>
      </c>
      <c r="B1481">
        <f t="shared" si="96"/>
        <v>1</v>
      </c>
      <c r="C1481">
        <f t="shared" si="96"/>
        <v>0</v>
      </c>
      <c r="D1481">
        <f t="shared" si="96"/>
        <v>0</v>
      </c>
      <c r="E1481">
        <f t="shared" si="97"/>
        <v>1</v>
      </c>
      <c r="F1481">
        <v>2003</v>
      </c>
      <c r="G1481" t="s">
        <v>6026</v>
      </c>
      <c r="H1481">
        <v>0</v>
      </c>
      <c r="I1481" s="65">
        <v>0</v>
      </c>
      <c r="J1481" t="s">
        <v>6028</v>
      </c>
      <c r="K1481" s="35" t="s">
        <v>1210</v>
      </c>
      <c r="L1481" s="35" t="s">
        <v>6027</v>
      </c>
      <c r="M1481" s="39" t="str">
        <f>HYPERLINK("http://dx.doi.org/10.1007/s00436-003-0908-4","10.1007/s00436-003-0908-4")</f>
        <v>10.1007/s00436-003-0908-4</v>
      </c>
      <c r="N1481" s="40" t="s">
        <v>6029</v>
      </c>
      <c r="O1481" s="40" t="s">
        <v>383</v>
      </c>
      <c r="P1481" s="40" t="s">
        <v>6030</v>
      </c>
      <c r="Q1481" t="s">
        <v>316</v>
      </c>
    </row>
    <row r="1482" spans="1:17" x14ac:dyDescent="0.25">
      <c r="A1482" s="2" t="str">
        <f>HYPERLINK("https://www.ncbi.nlm.nih.gov/pubmed/12763092","12763092")</f>
        <v>12763092</v>
      </c>
      <c r="B1482">
        <f t="shared" si="96"/>
        <v>1</v>
      </c>
      <c r="C1482">
        <f t="shared" si="96"/>
        <v>0</v>
      </c>
      <c r="D1482">
        <f t="shared" si="96"/>
        <v>0</v>
      </c>
      <c r="E1482">
        <f t="shared" si="97"/>
        <v>1</v>
      </c>
      <c r="F1482">
        <v>2003</v>
      </c>
      <c r="G1482" t="s">
        <v>6060</v>
      </c>
      <c r="H1482">
        <v>0</v>
      </c>
      <c r="I1482" s="65">
        <v>0</v>
      </c>
      <c r="J1482" t="s">
        <v>6062</v>
      </c>
      <c r="K1482" s="35" t="s">
        <v>6063</v>
      </c>
      <c r="L1482" s="35" t="s">
        <v>6061</v>
      </c>
      <c r="M1482" s="39" t="str">
        <f>HYPERLINK("http://dx.doi.org/10.1016/s0028-3908(03)00116-3","10.1016/s0028-3908(03)00116-3")</f>
        <v>10.1016/s0028-3908(03)00116-3</v>
      </c>
      <c r="N1482" s="40" t="s">
        <v>2001</v>
      </c>
      <c r="O1482" s="40" t="s">
        <v>781</v>
      </c>
      <c r="P1482" s="40" t="s">
        <v>6064</v>
      </c>
      <c r="Q1482" t="s">
        <v>316</v>
      </c>
    </row>
    <row r="1483" spans="1:17" x14ac:dyDescent="0.25">
      <c r="A1483" s="2" t="str">
        <f>HYPERLINK("https://www.ncbi.nlm.nih.gov/pubmed/12747004","12747004")</f>
        <v>12747004</v>
      </c>
      <c r="B1483">
        <f t="shared" si="96"/>
        <v>1</v>
      </c>
      <c r="C1483">
        <f t="shared" si="96"/>
        <v>0</v>
      </c>
      <c r="D1483">
        <f t="shared" si="96"/>
        <v>0</v>
      </c>
      <c r="E1483">
        <f t="shared" si="97"/>
        <v>1</v>
      </c>
      <c r="F1483">
        <v>2003</v>
      </c>
      <c r="G1483" t="s">
        <v>6065</v>
      </c>
      <c r="H1483">
        <v>1</v>
      </c>
      <c r="I1483" s="65">
        <v>0</v>
      </c>
      <c r="J1483" t="s">
        <v>6067</v>
      </c>
      <c r="K1483" s="35" t="s">
        <v>1273</v>
      </c>
      <c r="L1483" s="35" t="s">
        <v>6066</v>
      </c>
      <c r="M1483" s="39" t="str">
        <f>HYPERLINK("http://dx.doi.org/","")</f>
        <v/>
      </c>
      <c r="N1483" s="40" t="s">
        <v>780</v>
      </c>
      <c r="O1483" s="40" t="s">
        <v>638</v>
      </c>
      <c r="P1483" s="40" t="s">
        <v>6068</v>
      </c>
      <c r="Q1483" t="s">
        <v>316</v>
      </c>
    </row>
    <row r="1484" spans="1:17" x14ac:dyDescent="0.25">
      <c r="A1484" s="2" t="str">
        <f>HYPERLINK("https://www.ncbi.nlm.nih.gov/pubmed/12539835","12539835")</f>
        <v>12539835</v>
      </c>
      <c r="B1484">
        <f t="shared" ref="B1484:D1508" si="98">IF(ISBLANK(B$3),0,(LEN($L1484) - LEN(SUBSTITUTE(LOWER($L1484),LOWER(B$3),"")))/LEN(B$3))</f>
        <v>1</v>
      </c>
      <c r="C1484">
        <f t="shared" si="98"/>
        <v>0</v>
      </c>
      <c r="D1484">
        <f t="shared" si="98"/>
        <v>0</v>
      </c>
      <c r="E1484">
        <f t="shared" si="97"/>
        <v>1</v>
      </c>
      <c r="F1484">
        <v>2002</v>
      </c>
      <c r="G1484" t="s">
        <v>6104</v>
      </c>
      <c r="H1484">
        <v>0</v>
      </c>
      <c r="I1484" s="65">
        <v>0</v>
      </c>
      <c r="J1484" t="s">
        <v>6105</v>
      </c>
      <c r="K1484" s="35" t="s">
        <v>909</v>
      </c>
      <c r="L1484" s="35" t="s">
        <v>7232</v>
      </c>
      <c r="M1484" s="39" t="str">
        <f>HYPERLINK("http://dx.doi.org/10.1603/0022-0493-95.6.1222","10.1603/0022-0493-95.6.1222")</f>
        <v>10.1603/0022-0493-95.6.1222</v>
      </c>
      <c r="N1484" s="40" t="s">
        <v>6089</v>
      </c>
      <c r="O1484" s="40" t="s">
        <v>741</v>
      </c>
      <c r="P1484" s="40" t="s">
        <v>6106</v>
      </c>
      <c r="Q1484" t="s">
        <v>316</v>
      </c>
    </row>
    <row r="1485" spans="1:17" x14ac:dyDescent="0.25">
      <c r="A1485" s="2" t="str">
        <f>HYPERLINK("https://www.ncbi.nlm.nih.gov/pubmed/12489883","12489883")</f>
        <v>12489883</v>
      </c>
      <c r="B1485">
        <f t="shared" si="98"/>
        <v>1</v>
      </c>
      <c r="C1485">
        <f t="shared" si="98"/>
        <v>2</v>
      </c>
      <c r="D1485">
        <f t="shared" si="98"/>
        <v>0</v>
      </c>
      <c r="E1485">
        <f t="shared" si="97"/>
        <v>3</v>
      </c>
      <c r="F1485">
        <v>2002</v>
      </c>
      <c r="G1485" t="s">
        <v>6110</v>
      </c>
      <c r="H1485">
        <v>0</v>
      </c>
      <c r="I1485" s="65">
        <v>0</v>
      </c>
      <c r="J1485" t="s">
        <v>6112</v>
      </c>
      <c r="K1485" s="35" t="s">
        <v>1340</v>
      </c>
      <c r="L1485" s="35" t="s">
        <v>6111</v>
      </c>
      <c r="M1485" s="39" t="str">
        <f>HYPERLINK("http://dx.doi.org/10.1016/s0021-9673(02)01505-4","10.1016/s0021-9673(02)01505-4")</f>
        <v>10.1016/s0021-9673(02)01505-4</v>
      </c>
      <c r="N1485" s="40" t="s">
        <v>6113</v>
      </c>
      <c r="O1485" s="40" t="s">
        <v>744</v>
      </c>
      <c r="P1485" s="40" t="s">
        <v>6114</v>
      </c>
      <c r="Q1485" t="s">
        <v>316</v>
      </c>
    </row>
    <row r="1486" spans="1:17" x14ac:dyDescent="0.25">
      <c r="A1486" s="2" t="str">
        <f>HYPERLINK("https://www.ncbi.nlm.nih.gov/pubmed/12425060","12425060")</f>
        <v>12425060</v>
      </c>
      <c r="B1486">
        <f t="shared" si="98"/>
        <v>1</v>
      </c>
      <c r="C1486">
        <f t="shared" si="98"/>
        <v>3</v>
      </c>
      <c r="D1486">
        <f t="shared" si="98"/>
        <v>0</v>
      </c>
      <c r="E1486">
        <f t="shared" si="97"/>
        <v>4</v>
      </c>
      <c r="F1486">
        <v>2001</v>
      </c>
      <c r="G1486" t="s">
        <v>6119</v>
      </c>
      <c r="H1486">
        <v>0</v>
      </c>
      <c r="I1486" s="65">
        <v>0</v>
      </c>
      <c r="J1486" t="s">
        <v>6121</v>
      </c>
      <c r="K1486" s="35" t="s">
        <v>6122</v>
      </c>
      <c r="L1486" s="35" t="s">
        <v>6120</v>
      </c>
      <c r="M1486" s="39" t="str">
        <f>HYPERLINK("http://dx.doi.org/","")</f>
        <v/>
      </c>
      <c r="N1486" s="40" t="s">
        <v>2424</v>
      </c>
      <c r="O1486" s="40" t="s">
        <v>6123</v>
      </c>
      <c r="P1486" s="40" t="s">
        <v>6124</v>
      </c>
      <c r="Q1486" t="s">
        <v>316</v>
      </c>
    </row>
    <row r="1487" spans="1:17" x14ac:dyDescent="0.25">
      <c r="A1487" s="2" t="str">
        <f>HYPERLINK("https://www.ncbi.nlm.nih.gov/pubmed/12370061","12370061")</f>
        <v>12370061</v>
      </c>
      <c r="B1487">
        <f t="shared" si="98"/>
        <v>1</v>
      </c>
      <c r="C1487">
        <f t="shared" si="98"/>
        <v>0</v>
      </c>
      <c r="D1487">
        <f t="shared" si="98"/>
        <v>0</v>
      </c>
      <c r="E1487">
        <f t="shared" si="97"/>
        <v>1</v>
      </c>
      <c r="F1487">
        <v>2002</v>
      </c>
      <c r="G1487" t="s">
        <v>6129</v>
      </c>
      <c r="H1487">
        <v>1</v>
      </c>
      <c r="I1487" s="65">
        <v>0</v>
      </c>
      <c r="J1487" t="s">
        <v>6131</v>
      </c>
      <c r="K1487" s="35" t="s">
        <v>6132</v>
      </c>
      <c r="L1487" s="35" t="s">
        <v>6130</v>
      </c>
      <c r="M1487" s="39" t="str">
        <f>HYPERLINK("http://dx.doi.org/10.2174/1389557023405927","10.2174/1389557023405927")</f>
        <v>10.2174/1389557023405927</v>
      </c>
      <c r="N1487" s="40" t="s">
        <v>744</v>
      </c>
      <c r="O1487" s="40" t="s">
        <v>690</v>
      </c>
      <c r="P1487" s="40" t="s">
        <v>6133</v>
      </c>
      <c r="Q1487" t="s">
        <v>316</v>
      </c>
    </row>
    <row r="1488" spans="1:17" x14ac:dyDescent="0.25">
      <c r="A1488" s="2" t="str">
        <f>HYPERLINK("https://www.ncbi.nlm.nih.gov/pubmed/12216793","12216793")</f>
        <v>12216793</v>
      </c>
      <c r="B1488">
        <f t="shared" si="98"/>
        <v>1</v>
      </c>
      <c r="C1488">
        <f t="shared" si="98"/>
        <v>0</v>
      </c>
      <c r="D1488">
        <f t="shared" si="98"/>
        <v>0</v>
      </c>
      <c r="E1488">
        <f t="shared" si="97"/>
        <v>1</v>
      </c>
      <c r="F1488">
        <v>2002</v>
      </c>
      <c r="G1488" t="s">
        <v>6139</v>
      </c>
      <c r="H1488">
        <v>0</v>
      </c>
      <c r="I1488" s="65">
        <v>0</v>
      </c>
      <c r="J1488" t="s">
        <v>6141</v>
      </c>
      <c r="K1488" s="35" t="s">
        <v>3473</v>
      </c>
      <c r="L1488" s="35" t="s">
        <v>6140</v>
      </c>
      <c r="M1488" s="39" t="str">
        <f>HYPERLINK("http://dx.doi.org/10.1638/1042-7260(2002)033[0052:EOSAEO]2.0.CO;2","10.1638/1042-7260(2002)033[0052:EOSAEO]2.0.CO;2")</f>
        <v>10.1638/1042-7260(2002)033[0052:EOSAEO]2.0.CO;2</v>
      </c>
      <c r="N1488" s="40" t="s">
        <v>877</v>
      </c>
      <c r="O1488" s="40" t="s">
        <v>638</v>
      </c>
      <c r="P1488" s="40" t="s">
        <v>6142</v>
      </c>
      <c r="Q1488" t="s">
        <v>316</v>
      </c>
    </row>
    <row r="1489" spans="1:17" x14ac:dyDescent="0.25">
      <c r="A1489" s="2" t="str">
        <f>HYPERLINK("https://www.ncbi.nlm.nih.gov/pubmed/12054137","12054137")</f>
        <v>12054137</v>
      </c>
      <c r="B1489">
        <f t="shared" si="98"/>
        <v>1</v>
      </c>
      <c r="C1489">
        <f t="shared" si="98"/>
        <v>0</v>
      </c>
      <c r="D1489">
        <f t="shared" si="98"/>
        <v>0</v>
      </c>
      <c r="E1489">
        <f t="shared" si="97"/>
        <v>1</v>
      </c>
      <c r="F1489">
        <v>2002</v>
      </c>
      <c r="G1489" t="s">
        <v>6159</v>
      </c>
      <c r="H1489">
        <v>0</v>
      </c>
      <c r="I1489" s="65">
        <v>0</v>
      </c>
      <c r="J1489" t="s">
        <v>6161</v>
      </c>
      <c r="K1489" s="35" t="s">
        <v>4754</v>
      </c>
      <c r="L1489" s="35" t="s">
        <v>6160</v>
      </c>
      <c r="M1489" s="39" t="str">
        <f>HYPERLINK("http://dx.doi.org/10.1136/vr.150.21.668","10.1136/vr.150.21.668")</f>
        <v>10.1136/vr.150.21.668</v>
      </c>
      <c r="N1489" s="40" t="s">
        <v>4031</v>
      </c>
      <c r="O1489" s="40" t="s">
        <v>1364</v>
      </c>
      <c r="P1489" s="40" t="s">
        <v>6162</v>
      </c>
      <c r="Q1489" t="s">
        <v>316</v>
      </c>
    </row>
    <row r="1490" spans="1:17" x14ac:dyDescent="0.25">
      <c r="A1490" s="2" t="str">
        <f>HYPERLINK("https://www.ncbi.nlm.nih.gov/pubmed/11879973","11879973")</f>
        <v>11879973</v>
      </c>
      <c r="B1490">
        <f t="shared" si="98"/>
        <v>1</v>
      </c>
      <c r="C1490">
        <f t="shared" si="98"/>
        <v>0</v>
      </c>
      <c r="D1490">
        <f t="shared" si="98"/>
        <v>0</v>
      </c>
      <c r="E1490">
        <f t="shared" si="97"/>
        <v>1</v>
      </c>
      <c r="F1490">
        <v>2002</v>
      </c>
      <c r="G1490" t="s">
        <v>6182</v>
      </c>
      <c r="H1490">
        <v>0</v>
      </c>
      <c r="I1490" s="65">
        <v>0</v>
      </c>
      <c r="J1490" t="s">
        <v>6184</v>
      </c>
      <c r="K1490" s="35" t="s">
        <v>1936</v>
      </c>
      <c r="L1490" s="35" t="s">
        <v>6183</v>
      </c>
      <c r="M1490" s="39" t="str">
        <f>HYPERLINK("http://dx.doi.org/10.1016/s0378-4274(01)00471-4","10.1016/s0378-4274(01)00471-4")</f>
        <v>10.1016/s0378-4274(01)00471-4</v>
      </c>
      <c r="N1490" s="40" t="s">
        <v>5812</v>
      </c>
      <c r="O1490" s="40" t="s">
        <v>3531</v>
      </c>
      <c r="P1490" s="40" t="s">
        <v>2105</v>
      </c>
      <c r="Q1490" t="s">
        <v>316</v>
      </c>
    </row>
    <row r="1491" spans="1:17" x14ac:dyDescent="0.25">
      <c r="A1491" s="2" t="str">
        <f>HYPERLINK("https://www.ncbi.nlm.nih.gov/pubmed/11812623","11812623")</f>
        <v>11812623</v>
      </c>
      <c r="B1491">
        <f t="shared" si="98"/>
        <v>1</v>
      </c>
      <c r="C1491">
        <f t="shared" si="98"/>
        <v>9</v>
      </c>
      <c r="D1491">
        <f t="shared" si="98"/>
        <v>0</v>
      </c>
      <c r="E1491">
        <f t="shared" si="97"/>
        <v>10</v>
      </c>
      <c r="F1491">
        <v>2002</v>
      </c>
      <c r="G1491" t="s">
        <v>6185</v>
      </c>
      <c r="H1491">
        <v>0</v>
      </c>
      <c r="I1491" s="65">
        <v>0</v>
      </c>
      <c r="J1491" t="s">
        <v>6186</v>
      </c>
      <c r="K1491" s="35" t="s">
        <v>1052</v>
      </c>
      <c r="L1491" s="35" t="s">
        <v>7237</v>
      </c>
      <c r="M1491" s="39" t="str">
        <f>HYPERLINK("http://dx.doi.org/10.1016/s0304-4017(01)00627-6","10.1016/s0304-4017(01)00627-6")</f>
        <v>10.1016/s0304-4017(01)00627-6</v>
      </c>
      <c r="N1491" s="40" t="s">
        <v>2207</v>
      </c>
      <c r="O1491" s="40" t="s">
        <v>750</v>
      </c>
      <c r="P1491" s="40" t="s">
        <v>6187</v>
      </c>
      <c r="Q1491" t="s">
        <v>316</v>
      </c>
    </row>
    <row r="1492" spans="1:17" x14ac:dyDescent="0.25">
      <c r="A1492" s="2" t="str">
        <f>HYPERLINK("https://www.ncbi.nlm.nih.gov/pubmed/11714703","11714703")</f>
        <v>11714703</v>
      </c>
      <c r="B1492">
        <f t="shared" si="98"/>
        <v>1</v>
      </c>
      <c r="C1492">
        <f t="shared" si="98"/>
        <v>0</v>
      </c>
      <c r="D1492">
        <f t="shared" si="98"/>
        <v>0</v>
      </c>
      <c r="E1492">
        <f t="shared" si="97"/>
        <v>1</v>
      </c>
      <c r="F1492">
        <v>2002</v>
      </c>
      <c r="G1492" t="s">
        <v>6202</v>
      </c>
      <c r="H1492">
        <v>0</v>
      </c>
      <c r="I1492" s="65">
        <v>0</v>
      </c>
      <c r="J1492" t="s">
        <v>6204</v>
      </c>
      <c r="K1492" s="35" t="s">
        <v>2278</v>
      </c>
      <c r="L1492" s="35" t="s">
        <v>6203</v>
      </c>
      <c r="M1492" s="39" t="str">
        <f>HYPERLINK("http://dx.doi.org/10.1074/jbc.M107635200","10.1074/jbc.M107635200")</f>
        <v>10.1074/jbc.M107635200</v>
      </c>
      <c r="N1492" s="40" t="s">
        <v>1032</v>
      </c>
      <c r="O1492" s="40" t="s">
        <v>750</v>
      </c>
      <c r="P1492" s="40" t="s">
        <v>6205</v>
      </c>
      <c r="Q1492" t="s">
        <v>316</v>
      </c>
    </row>
    <row r="1493" spans="1:17" x14ac:dyDescent="0.25">
      <c r="A1493" s="2" t="str">
        <f>HYPERLINK("https://www.ncbi.nlm.nih.gov/pubmed/11561859","11561859")</f>
        <v>11561859</v>
      </c>
      <c r="B1493">
        <f t="shared" si="98"/>
        <v>1</v>
      </c>
      <c r="C1493">
        <f t="shared" si="98"/>
        <v>0</v>
      </c>
      <c r="D1493">
        <f t="shared" si="98"/>
        <v>0</v>
      </c>
      <c r="E1493">
        <f t="shared" si="97"/>
        <v>1</v>
      </c>
      <c r="F1493">
        <v>2001</v>
      </c>
      <c r="G1493" t="s">
        <v>6226</v>
      </c>
      <c r="H1493">
        <v>0</v>
      </c>
      <c r="I1493" s="65">
        <v>0</v>
      </c>
      <c r="J1493" t="s">
        <v>6228</v>
      </c>
      <c r="K1493" s="35" t="s">
        <v>909</v>
      </c>
      <c r="L1493" s="35" t="s">
        <v>6227</v>
      </c>
      <c r="M1493" s="39" t="str">
        <f>HYPERLINK("http://dx.doi.org/10.1603/0022-0493-94.4.963","10.1603/0022-0493-94.4.963")</f>
        <v>10.1603/0022-0493-94.4.963</v>
      </c>
      <c r="N1493" s="40" t="s">
        <v>1562</v>
      </c>
      <c r="O1493" s="40" t="s">
        <v>690</v>
      </c>
      <c r="P1493" s="40" t="s">
        <v>6229</v>
      </c>
      <c r="Q1493" t="s">
        <v>316</v>
      </c>
    </row>
    <row r="1494" spans="1:17" x14ac:dyDescent="0.25">
      <c r="A1494" s="2" t="str">
        <f>HYPERLINK("https://www.ncbi.nlm.nih.gov/pubmed/11504214","11504214")</f>
        <v>11504214</v>
      </c>
      <c r="B1494">
        <f t="shared" si="98"/>
        <v>1</v>
      </c>
      <c r="C1494">
        <f t="shared" si="98"/>
        <v>0</v>
      </c>
      <c r="D1494">
        <f t="shared" si="98"/>
        <v>1</v>
      </c>
      <c r="E1494">
        <f t="shared" si="97"/>
        <v>2</v>
      </c>
      <c r="F1494">
        <v>2001</v>
      </c>
      <c r="G1494" t="s">
        <v>6234</v>
      </c>
      <c r="H1494">
        <v>0</v>
      </c>
      <c r="I1494" s="65">
        <v>0</v>
      </c>
      <c r="J1494" t="s">
        <v>6236</v>
      </c>
      <c r="K1494" s="35" t="s">
        <v>4754</v>
      </c>
      <c r="L1494" s="35" t="s">
        <v>6235</v>
      </c>
      <c r="M1494" s="39" t="str">
        <f>HYPERLINK("http://dx.doi.org/","")</f>
        <v/>
      </c>
      <c r="N1494" s="40" t="s">
        <v>6191</v>
      </c>
      <c r="O1494" s="40" t="s">
        <v>690</v>
      </c>
      <c r="P1494" s="40" t="s">
        <v>677</v>
      </c>
      <c r="Q1494" t="s">
        <v>316</v>
      </c>
    </row>
    <row r="1495" spans="1:17" x14ac:dyDescent="0.25">
      <c r="A1495" s="2" t="str">
        <f>HYPERLINK("https://www.ncbi.nlm.nih.gov/pubmed/11407027","11407027")</f>
        <v>11407027</v>
      </c>
      <c r="B1495">
        <f t="shared" si="98"/>
        <v>1</v>
      </c>
      <c r="C1495">
        <f t="shared" si="98"/>
        <v>0</v>
      </c>
      <c r="D1495">
        <f t="shared" si="98"/>
        <v>0</v>
      </c>
      <c r="E1495">
        <f t="shared" si="97"/>
        <v>1</v>
      </c>
      <c r="F1495">
        <v>2001</v>
      </c>
      <c r="G1495" t="s">
        <v>6258</v>
      </c>
      <c r="H1495">
        <v>0</v>
      </c>
      <c r="I1495" s="65">
        <v>0</v>
      </c>
      <c r="J1495" t="s">
        <v>6260</v>
      </c>
      <c r="K1495" s="35" t="s">
        <v>968</v>
      </c>
      <c r="L1495" s="35" t="s">
        <v>6259</v>
      </c>
      <c r="M1495" s="39" t="str">
        <f>HYPERLINK("http://dx.doi.org/10.1002/ps.319","10.1002/ps.319")</f>
        <v>10.1002/ps.319</v>
      </c>
      <c r="N1495" s="40" t="s">
        <v>764</v>
      </c>
      <c r="O1495" s="40" t="s">
        <v>741</v>
      </c>
      <c r="P1495" s="40" t="s">
        <v>6261</v>
      </c>
      <c r="Q1495" t="s">
        <v>316</v>
      </c>
    </row>
    <row r="1496" spans="1:17" x14ac:dyDescent="0.25">
      <c r="A1496" s="2" t="str">
        <f>HYPERLINK("https://www.ncbi.nlm.nih.gov/pubmed/11378196","11378196")</f>
        <v>11378196</v>
      </c>
      <c r="B1496">
        <f t="shared" si="98"/>
        <v>1</v>
      </c>
      <c r="C1496">
        <f t="shared" si="98"/>
        <v>0</v>
      </c>
      <c r="D1496">
        <f t="shared" si="98"/>
        <v>0</v>
      </c>
      <c r="E1496">
        <f t="shared" si="97"/>
        <v>1</v>
      </c>
      <c r="F1496">
        <v>2001</v>
      </c>
      <c r="G1496" t="s">
        <v>6262</v>
      </c>
      <c r="H1496">
        <v>0</v>
      </c>
      <c r="I1496" s="65">
        <v>0</v>
      </c>
      <c r="J1496" t="s">
        <v>6263</v>
      </c>
      <c r="K1496" s="35" t="s">
        <v>4336</v>
      </c>
      <c r="L1496" s="35" t="s">
        <v>7245</v>
      </c>
      <c r="M1496" s="39" t="str">
        <f>HYPERLINK("http://dx.doi.org/10.1016/s0166-6851(01)00258-4","10.1016/s0166-6851(01)00258-4")</f>
        <v>10.1016/s0166-6851(01)00258-4</v>
      </c>
      <c r="N1496" s="40" t="s">
        <v>910</v>
      </c>
      <c r="O1496" s="40" t="s">
        <v>744</v>
      </c>
      <c r="P1496" s="40" t="s">
        <v>6264</v>
      </c>
      <c r="Q1496" t="s">
        <v>316</v>
      </c>
    </row>
    <row r="1497" spans="1:17" x14ac:dyDescent="0.25">
      <c r="A1497" s="2" t="str">
        <f>HYPERLINK("https://www.ncbi.nlm.nih.gov/pubmed/11332847","11332847")</f>
        <v>11332847</v>
      </c>
      <c r="B1497">
        <f t="shared" si="98"/>
        <v>1</v>
      </c>
      <c r="C1497">
        <f t="shared" si="98"/>
        <v>0</v>
      </c>
      <c r="D1497">
        <f t="shared" si="98"/>
        <v>0</v>
      </c>
      <c r="E1497">
        <f t="shared" si="97"/>
        <v>1</v>
      </c>
      <c r="F1497">
        <v>2001</v>
      </c>
      <c r="G1497" t="s">
        <v>6269</v>
      </c>
      <c r="H1497">
        <v>0</v>
      </c>
      <c r="I1497" s="65">
        <v>0</v>
      </c>
      <c r="J1497" t="s">
        <v>6271</v>
      </c>
      <c r="K1497" s="35" t="s">
        <v>909</v>
      </c>
      <c r="L1497" s="35" t="s">
        <v>6270</v>
      </c>
      <c r="M1497" s="39" t="str">
        <f>HYPERLINK("http://dx.doi.org/10.1603/0022-0493-94.2.511","10.1603/0022-0493-94.2.511")</f>
        <v>10.1603/0022-0493-94.2.511</v>
      </c>
      <c r="N1497" s="40" t="s">
        <v>1562</v>
      </c>
      <c r="O1497" s="40" t="s">
        <v>744</v>
      </c>
      <c r="P1497" s="40" t="s">
        <v>6272</v>
      </c>
      <c r="Q1497" t="s">
        <v>316</v>
      </c>
    </row>
    <row r="1498" spans="1:17" x14ac:dyDescent="0.25">
      <c r="A1498" s="2" t="str">
        <f>HYPERLINK("https://www.ncbi.nlm.nih.gov/pubmed/11296822","11296822")</f>
        <v>11296822</v>
      </c>
      <c r="B1498">
        <f t="shared" si="98"/>
        <v>1</v>
      </c>
      <c r="C1498">
        <f t="shared" si="98"/>
        <v>0</v>
      </c>
      <c r="D1498">
        <f t="shared" si="98"/>
        <v>0</v>
      </c>
      <c r="E1498">
        <f t="shared" si="97"/>
        <v>1</v>
      </c>
      <c r="F1498">
        <v>2001</v>
      </c>
      <c r="G1498" t="s">
        <v>6287</v>
      </c>
      <c r="H1498">
        <v>0</v>
      </c>
      <c r="I1498" s="65">
        <v>0</v>
      </c>
      <c r="J1498" t="s">
        <v>6289</v>
      </c>
      <c r="K1498" s="35" t="s">
        <v>1027</v>
      </c>
      <c r="L1498" s="35" t="s">
        <v>6288</v>
      </c>
      <c r="M1498" s="39" t="str">
        <f>HYPERLINK("http://dx.doi.org/10.1603/0022-2585-38.2.193","10.1603/0022-2585-38.2.193")</f>
        <v>10.1603/0022-2585-38.2.193</v>
      </c>
      <c r="N1498" s="40" t="s">
        <v>3973</v>
      </c>
      <c r="O1498" s="40" t="s">
        <v>744</v>
      </c>
      <c r="P1498" s="40" t="s">
        <v>6290</v>
      </c>
      <c r="Q1498" t="s">
        <v>316</v>
      </c>
    </row>
    <row r="1499" spans="1:17" x14ac:dyDescent="0.25">
      <c r="A1499" s="2" t="str">
        <f>HYPERLINK("https://www.ncbi.nlm.nih.gov/pubmed/11267909","11267909")</f>
        <v>11267909</v>
      </c>
      <c r="B1499">
        <f t="shared" si="98"/>
        <v>1</v>
      </c>
      <c r="C1499">
        <f t="shared" si="98"/>
        <v>1</v>
      </c>
      <c r="D1499">
        <f t="shared" si="98"/>
        <v>0</v>
      </c>
      <c r="E1499">
        <f t="shared" si="97"/>
        <v>2</v>
      </c>
      <c r="F1499">
        <v>2001</v>
      </c>
      <c r="G1499" t="s">
        <v>6297</v>
      </c>
      <c r="H1499">
        <v>0</v>
      </c>
      <c r="I1499" s="65">
        <v>0</v>
      </c>
      <c r="J1499" t="s">
        <v>6298</v>
      </c>
      <c r="K1499" s="35" t="s">
        <v>2206</v>
      </c>
      <c r="L1499" s="35" t="s">
        <v>7250</v>
      </c>
      <c r="M1499" s="39" t="str">
        <f>HYPERLINK("http://dx.doi.org/10.1016/s0965-1748(00)00179-x","10.1016/s0965-1748(00)00179-x")</f>
        <v>10.1016/s0965-1748(00)00179-x</v>
      </c>
      <c r="N1499" s="40" t="s">
        <v>753</v>
      </c>
      <c r="O1499" s="40" t="s">
        <v>6299</v>
      </c>
      <c r="P1499" s="40" t="s">
        <v>6300</v>
      </c>
      <c r="Q1499" t="s">
        <v>316</v>
      </c>
    </row>
    <row r="1500" spans="1:17" x14ac:dyDescent="0.25">
      <c r="A1500" s="2" t="str">
        <f>HYPERLINK("https://www.ncbi.nlm.nih.gov/pubmed/10916298","10916298")</f>
        <v>10916298</v>
      </c>
      <c r="B1500">
        <f t="shared" si="98"/>
        <v>1</v>
      </c>
      <c r="C1500">
        <f t="shared" si="98"/>
        <v>0</v>
      </c>
      <c r="D1500">
        <f t="shared" si="98"/>
        <v>0</v>
      </c>
      <c r="E1500">
        <f t="shared" si="97"/>
        <v>1</v>
      </c>
      <c r="F1500">
        <v>2000</v>
      </c>
      <c r="G1500" t="s">
        <v>6344</v>
      </c>
      <c r="H1500">
        <v>0</v>
      </c>
      <c r="I1500" s="65">
        <v>0</v>
      </c>
      <c r="J1500" t="s">
        <v>6346</v>
      </c>
      <c r="K1500" s="35" t="s">
        <v>1027</v>
      </c>
      <c r="L1500" s="35" t="s">
        <v>6345</v>
      </c>
      <c r="M1500" s="39" t="str">
        <f>HYPERLINK("http://dx.doi.org/10.1603/0022-2585-37.4.571","10.1603/0022-2585-37.4.571")</f>
        <v>10.1603/0022-2585-37.4.571</v>
      </c>
      <c r="N1500" s="40" t="s">
        <v>1869</v>
      </c>
      <c r="O1500" s="40" t="s">
        <v>690</v>
      </c>
      <c r="P1500" s="40" t="s">
        <v>6347</v>
      </c>
      <c r="Q1500" t="s">
        <v>316</v>
      </c>
    </row>
    <row r="1501" spans="1:17" x14ac:dyDescent="0.25">
      <c r="A1501" s="2" t="str">
        <f>HYPERLINK("https://www.ncbi.nlm.nih.gov/pubmed/10197255","10197255")</f>
        <v>10197255</v>
      </c>
      <c r="B1501">
        <f t="shared" si="98"/>
        <v>1</v>
      </c>
      <c r="C1501">
        <f t="shared" si="98"/>
        <v>0</v>
      </c>
      <c r="D1501">
        <f t="shared" si="98"/>
        <v>0</v>
      </c>
      <c r="E1501">
        <f t="shared" si="97"/>
        <v>1</v>
      </c>
      <c r="F1501">
        <v>1999</v>
      </c>
      <c r="G1501" t="s">
        <v>6403</v>
      </c>
      <c r="H1501">
        <v>0</v>
      </c>
      <c r="I1501" s="65">
        <v>0</v>
      </c>
      <c r="J1501" t="s">
        <v>6405</v>
      </c>
      <c r="K1501" s="35" t="s">
        <v>5134</v>
      </c>
      <c r="L1501" s="35" t="s">
        <v>6404</v>
      </c>
      <c r="M1501" s="39" t="str">
        <f>HYPERLINK("http://dx.doi.org/","")</f>
        <v/>
      </c>
      <c r="N1501" s="40" t="s">
        <v>1074</v>
      </c>
      <c r="O1501" s="40" t="s">
        <v>750</v>
      </c>
      <c r="P1501" s="40" t="s">
        <v>2382</v>
      </c>
      <c r="Q1501" t="s">
        <v>316</v>
      </c>
    </row>
    <row r="1502" spans="1:17" x14ac:dyDescent="0.25">
      <c r="A1502" s="2" t="str">
        <f>HYPERLINK("https://www.ncbi.nlm.nih.gov/pubmed/9681970","9681970")</f>
        <v>9681970</v>
      </c>
      <c r="B1502">
        <f t="shared" si="98"/>
        <v>1</v>
      </c>
      <c r="C1502">
        <f t="shared" si="98"/>
        <v>0</v>
      </c>
      <c r="D1502">
        <f t="shared" si="98"/>
        <v>0</v>
      </c>
      <c r="E1502">
        <f t="shared" si="97"/>
        <v>1</v>
      </c>
      <c r="F1502">
        <v>1998</v>
      </c>
      <c r="G1502" t="s">
        <v>6416</v>
      </c>
      <c r="H1502">
        <v>0</v>
      </c>
      <c r="I1502" s="64" t="str">
        <f>HYPERLINK("https://www.ncbi.nlm.nih.gov/research/pubtator/?view=docsum&amp;query=PMC1533205","1")</f>
        <v>1</v>
      </c>
      <c r="J1502" t="s">
        <v>6417</v>
      </c>
      <c r="K1502" s="35" t="s">
        <v>676</v>
      </c>
      <c r="L1502" s="35" t="s">
        <v>7265</v>
      </c>
      <c r="M1502" s="39" t="str">
        <f>HYPERLINK("http://dx.doi.org/10.1289/ehp.98106437","10.1289/ehp.98106437")</f>
        <v>10.1289/ehp.98106437</v>
      </c>
      <c r="N1502" s="40" t="s">
        <v>3978</v>
      </c>
      <c r="O1502" s="40" t="s">
        <v>781</v>
      </c>
      <c r="P1502" s="40" t="s">
        <v>6418</v>
      </c>
      <c r="Q1502" t="s">
        <v>316</v>
      </c>
    </row>
    <row r="1503" spans="1:17" x14ac:dyDescent="0.25">
      <c r="A1503" s="2" t="str">
        <f>HYPERLINK("https://www.ncbi.nlm.nih.gov/pubmed/9226857","9226857")</f>
        <v>9226857</v>
      </c>
      <c r="B1503">
        <f t="shared" si="98"/>
        <v>1</v>
      </c>
      <c r="C1503">
        <f t="shared" si="98"/>
        <v>0</v>
      </c>
      <c r="D1503">
        <f t="shared" si="98"/>
        <v>0</v>
      </c>
      <c r="E1503">
        <f t="shared" si="97"/>
        <v>1</v>
      </c>
      <c r="F1503">
        <v>1997</v>
      </c>
      <c r="G1503" t="s">
        <v>6451</v>
      </c>
      <c r="H1503">
        <v>0</v>
      </c>
      <c r="I1503" s="65">
        <v>0</v>
      </c>
      <c r="J1503" t="s">
        <v>6453</v>
      </c>
      <c r="K1503" s="35" t="s">
        <v>4754</v>
      </c>
      <c r="L1503" s="35" t="s">
        <v>6452</v>
      </c>
      <c r="M1503" s="39" t="str">
        <f>HYPERLINK("http://dx.doi.org/","")</f>
        <v/>
      </c>
      <c r="N1503" s="40" t="s">
        <v>4162</v>
      </c>
      <c r="O1503" s="40" t="s">
        <v>1369</v>
      </c>
      <c r="P1503" s="40" t="s">
        <v>2090</v>
      </c>
      <c r="Q1503" t="s">
        <v>316</v>
      </c>
    </row>
    <row r="1504" spans="1:17" x14ac:dyDescent="0.25">
      <c r="A1504" s="2" t="str">
        <f>HYPERLINK("https://www.ncbi.nlm.nih.gov/pubmed/8546445","8546445")</f>
        <v>8546445</v>
      </c>
      <c r="B1504">
        <f t="shared" si="98"/>
        <v>1</v>
      </c>
      <c r="C1504">
        <f t="shared" si="98"/>
        <v>0</v>
      </c>
      <c r="D1504">
        <f t="shared" si="98"/>
        <v>0</v>
      </c>
      <c r="E1504">
        <f t="shared" si="97"/>
        <v>1</v>
      </c>
      <c r="F1504">
        <v>1996</v>
      </c>
      <c r="G1504" t="s">
        <v>6472</v>
      </c>
      <c r="H1504">
        <v>1</v>
      </c>
      <c r="I1504" s="65">
        <v>0</v>
      </c>
      <c r="J1504" t="s">
        <v>6004</v>
      </c>
      <c r="K1504" s="35" t="s">
        <v>6474</v>
      </c>
      <c r="L1504" s="35" t="s">
        <v>6473</v>
      </c>
      <c r="M1504" s="39" t="str">
        <f>HYPERLINK("http://dx.doi.org/10.1146/annurev.en.41.010196.001115","10.1146/annurev.en.41.010196.001115")</f>
        <v>10.1146/annurev.en.41.010196.001115</v>
      </c>
      <c r="N1504" s="40" t="s">
        <v>1104</v>
      </c>
      <c r="O1504" s="40" t="s">
        <v>383</v>
      </c>
      <c r="P1504" s="40" t="s">
        <v>6475</v>
      </c>
      <c r="Q1504" t="s">
        <v>316</v>
      </c>
    </row>
    <row r="1505" spans="1:17" x14ac:dyDescent="0.25">
      <c r="A1505" s="2" t="str">
        <f>HYPERLINK("https://www.ncbi.nlm.nih.gov/pubmed/7885191","7885191")</f>
        <v>7885191</v>
      </c>
      <c r="B1505">
        <f t="shared" si="98"/>
        <v>1</v>
      </c>
      <c r="C1505">
        <f t="shared" si="98"/>
        <v>1</v>
      </c>
      <c r="D1505">
        <f t="shared" si="98"/>
        <v>0</v>
      </c>
      <c r="E1505">
        <f t="shared" si="97"/>
        <v>2</v>
      </c>
      <c r="F1505">
        <v>1995</v>
      </c>
      <c r="G1505" t="s">
        <v>6480</v>
      </c>
      <c r="H1505">
        <v>0</v>
      </c>
      <c r="I1505" s="65">
        <v>0</v>
      </c>
      <c r="J1505" t="s">
        <v>6481</v>
      </c>
      <c r="K1505" s="35" t="s">
        <v>1303</v>
      </c>
      <c r="L1505" s="35" t="s">
        <v>7268</v>
      </c>
      <c r="M1505" s="39" t="str">
        <f>HYPERLINK("http://dx.doi.org/10.1016/0024-3205(95)00006-r","10.1016/0024-3205(95)00006-r")</f>
        <v>10.1016/0024-3205(95)00006-r</v>
      </c>
      <c r="N1505" s="40" t="s">
        <v>751</v>
      </c>
      <c r="O1505" s="40" t="s">
        <v>802</v>
      </c>
      <c r="P1505" s="40" t="s">
        <v>6482</v>
      </c>
      <c r="Q1505" t="s">
        <v>316</v>
      </c>
    </row>
    <row r="1506" spans="1:17" x14ac:dyDescent="0.25">
      <c r="A1506" s="2" t="str">
        <f>HYPERLINK("https://www.ncbi.nlm.nih.gov/pubmed/7533909","7533909")</f>
        <v>7533909</v>
      </c>
      <c r="B1506">
        <f t="shared" si="98"/>
        <v>1</v>
      </c>
      <c r="C1506">
        <f t="shared" si="98"/>
        <v>0</v>
      </c>
      <c r="D1506">
        <f t="shared" si="98"/>
        <v>0</v>
      </c>
      <c r="E1506">
        <f t="shared" si="97"/>
        <v>1</v>
      </c>
      <c r="F1506">
        <v>1994</v>
      </c>
      <c r="G1506" t="s">
        <v>6483</v>
      </c>
      <c r="H1506">
        <v>0</v>
      </c>
      <c r="I1506" s="65">
        <v>0</v>
      </c>
      <c r="J1506" t="s">
        <v>6485</v>
      </c>
      <c r="K1506" s="35" t="s">
        <v>1595</v>
      </c>
      <c r="L1506" s="35" t="s">
        <v>6484</v>
      </c>
      <c r="M1506" s="39" t="str">
        <f>HYPERLINK("http://dx.doi.org/10.1098/rspb.1994.0178","10.1098/rspb.1994.0178")</f>
        <v>10.1098/rspb.1994.0178</v>
      </c>
      <c r="N1506" s="40" t="s">
        <v>2361</v>
      </c>
      <c r="O1506" s="40" t="s">
        <v>6486</v>
      </c>
      <c r="P1506" s="40" t="s">
        <v>6487</v>
      </c>
      <c r="Q1506" t="s">
        <v>316</v>
      </c>
    </row>
    <row r="1507" spans="1:17" x14ac:dyDescent="0.25">
      <c r="A1507" s="2" t="str">
        <f>HYPERLINK("https://www.ncbi.nlm.nih.gov/pubmed/7898754","7898754")</f>
        <v>7898754</v>
      </c>
      <c r="B1507">
        <f t="shared" si="98"/>
        <v>1</v>
      </c>
      <c r="C1507">
        <f t="shared" si="98"/>
        <v>0</v>
      </c>
      <c r="D1507">
        <f t="shared" si="98"/>
        <v>0</v>
      </c>
      <c r="E1507">
        <f t="shared" si="97"/>
        <v>1</v>
      </c>
      <c r="F1507">
        <v>1994</v>
      </c>
      <c r="G1507" t="s">
        <v>6488</v>
      </c>
      <c r="H1507">
        <v>0</v>
      </c>
      <c r="I1507" s="65">
        <v>0</v>
      </c>
      <c r="J1507" t="s">
        <v>6490</v>
      </c>
      <c r="K1507" s="35" t="s">
        <v>6491</v>
      </c>
      <c r="L1507" s="35" t="s">
        <v>6489</v>
      </c>
      <c r="M1507" s="39" t="str">
        <f>HYPERLINK("http://dx.doi.org/10.1016/0304-3940(94)90578-9","10.1016/0304-3940(94)90578-9")</f>
        <v>10.1016/0304-3940(94)90578-9</v>
      </c>
      <c r="N1507" s="40" t="s">
        <v>6492</v>
      </c>
      <c r="O1507" s="40" t="s">
        <v>3531</v>
      </c>
      <c r="P1507" s="40" t="s">
        <v>6493</v>
      </c>
      <c r="Q1507" t="s">
        <v>316</v>
      </c>
    </row>
    <row r="1508" spans="1:17" x14ac:dyDescent="0.25">
      <c r="A1508" s="2" t="str">
        <f>HYPERLINK("https://www.ncbi.nlm.nih.gov/pubmed/8393587","8393587")</f>
        <v>8393587</v>
      </c>
      <c r="B1508">
        <f t="shared" si="98"/>
        <v>1</v>
      </c>
      <c r="C1508">
        <f t="shared" si="98"/>
        <v>0</v>
      </c>
      <c r="D1508">
        <f t="shared" si="98"/>
        <v>0</v>
      </c>
      <c r="E1508">
        <f t="shared" si="97"/>
        <v>1</v>
      </c>
      <c r="F1508">
        <v>1993</v>
      </c>
      <c r="G1508" t="s">
        <v>6494</v>
      </c>
      <c r="H1508">
        <v>0</v>
      </c>
      <c r="I1508" s="65">
        <v>0</v>
      </c>
      <c r="J1508" t="s">
        <v>6496</v>
      </c>
      <c r="K1508" s="35" t="s">
        <v>3707</v>
      </c>
      <c r="L1508" s="35" t="s">
        <v>6495</v>
      </c>
      <c r="M1508" s="39" t="str">
        <f>HYPERLINK("http://dx.doi.org/10.1126/science.8393587","10.1126/science.8393587")</f>
        <v>10.1126/science.8393587</v>
      </c>
      <c r="N1508" s="40" t="s">
        <v>6497</v>
      </c>
      <c r="O1508" s="40" t="s">
        <v>6498</v>
      </c>
      <c r="P1508" s="40" t="s">
        <v>6499</v>
      </c>
      <c r="Q1508" t="s">
        <v>316</v>
      </c>
    </row>
  </sheetData>
  <autoFilter ref="A3:S3" xr:uid="{00000000-0001-0000-0100-000000000000}">
    <sortState xmlns:xlrd2="http://schemas.microsoft.com/office/spreadsheetml/2017/richdata2" ref="A4:S1508">
      <sortCondition descending="1" ref="B3"/>
    </sortState>
  </autoFilter>
  <mergeCells count="1">
    <mergeCell ref="B2:D2"/>
  </mergeCells>
  <conditionalFormatting sqref="B4:B1508">
    <cfRule type="cellIs" dxfId="105" priority="9" operator="equal">
      <formula>0</formula>
    </cfRule>
    <cfRule type="colorScale" priority="10">
      <colorScale>
        <cfvo type="min"/>
        <cfvo type="percentile" val="50"/>
        <cfvo type="max"/>
        <color rgb="FF63BE7B"/>
        <color rgb="FFFFEB84"/>
        <color rgb="FFF8696B"/>
      </colorScale>
    </cfRule>
  </conditionalFormatting>
  <conditionalFormatting sqref="C4:C1508">
    <cfRule type="cellIs" dxfId="104" priority="7" operator="equal">
      <formula>0</formula>
    </cfRule>
    <cfRule type="colorScale" priority="8">
      <colorScale>
        <cfvo type="min"/>
        <cfvo type="percentile" val="50"/>
        <cfvo type="max"/>
        <color rgb="FF63BE7B"/>
        <color rgb="FFFFEB84"/>
        <color rgb="FFF8696B"/>
      </colorScale>
    </cfRule>
  </conditionalFormatting>
  <conditionalFormatting sqref="D4:D1508">
    <cfRule type="cellIs" dxfId="103" priority="5" operator="equal">
      <formula>0</formula>
    </cfRule>
    <cfRule type="colorScale" priority="6">
      <colorScale>
        <cfvo type="min"/>
        <cfvo type="percentile" val="50"/>
        <cfvo type="max"/>
        <color rgb="FF63BE7B"/>
        <color rgb="FFFFEB84"/>
        <color rgb="FFF8696B"/>
      </colorScale>
    </cfRule>
  </conditionalFormatting>
  <conditionalFormatting sqref="E4:E1508">
    <cfRule type="cellIs" dxfId="102" priority="3" operator="equal">
      <formula>0</formula>
    </cfRule>
    <cfRule type="colorScale" priority="4">
      <colorScale>
        <cfvo type="min"/>
        <cfvo type="percentile" val="50"/>
        <cfvo type="max"/>
        <color rgb="FF63BE7B"/>
        <color rgb="FFFFEB84"/>
        <color rgb="FFF8696B"/>
      </colorScale>
    </cfRule>
  </conditionalFormatting>
  <conditionalFormatting sqref="H4:H1508">
    <cfRule type="cellIs" dxfId="101" priority="1" operator="equal">
      <formula>1</formula>
    </cfRule>
    <cfRule type="cellIs" dxfId="100" priority="2" operat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QueryForm">
                <anchor moveWithCells="1" sizeWithCells="1">
                  <from>
                    <xdr:col>2</xdr:col>
                    <xdr:colOff>66675</xdr:colOff>
                    <xdr:row>0</xdr:row>
                    <xdr:rowOff>152400</xdr:rowOff>
                  </from>
                  <to>
                    <xdr:col>3</xdr:col>
                    <xdr:colOff>381000</xdr:colOff>
                    <xdr:row>0</xdr:row>
                    <xdr:rowOff>495300</xdr:rowOff>
                  </to>
                </anchor>
              </controlPr>
            </control>
          </mc:Choice>
        </mc:AlternateContent>
        <mc:AlternateContent xmlns:mc="http://schemas.openxmlformats.org/markup-compatibility/2006">
          <mc:Choice Requires="x14">
            <control shapeId="4099" r:id="rId5" name="Button 3">
              <controlPr defaultSize="0" print="0" autoFill="0" autoPict="0" macro="[0]!TakeGroupNotes">
                <anchor moveWithCells="1" sizeWithCells="1">
                  <from>
                    <xdr:col>6</xdr:col>
                    <xdr:colOff>4953000</xdr:colOff>
                    <xdr:row>2</xdr:row>
                    <xdr:rowOff>133350</xdr:rowOff>
                  </from>
                  <to>
                    <xdr:col>6</xdr:col>
                    <xdr:colOff>5924550</xdr:colOff>
                    <xdr:row>2</xdr:row>
                    <xdr:rowOff>571500</xdr:rowOff>
                  </to>
                </anchor>
              </controlPr>
            </control>
          </mc:Choice>
        </mc:AlternateContent>
        <mc:AlternateContent xmlns:mc="http://schemas.openxmlformats.org/markup-compatibility/2006">
          <mc:Choice Requires="x14">
            <control shapeId="4102" r:id="rId6" name="Button 6">
              <controlPr defaultSize="0" print="0" autoFill="0" autoPict="0" macro="[0]!Sheet1.DoThings">
                <anchor moveWithCells="1" sizeWithCells="1">
                  <from>
                    <xdr:col>6</xdr:col>
                    <xdr:colOff>6067425</xdr:colOff>
                    <xdr:row>2</xdr:row>
                    <xdr:rowOff>114300</xdr:rowOff>
                  </from>
                  <to>
                    <xdr:col>6</xdr:col>
                    <xdr:colOff>6934200</xdr:colOff>
                    <xdr:row>2</xdr:row>
                    <xdr:rowOff>581025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6"/>
  <sheetViews>
    <sheetView workbookViewId="0">
      <pane ySplit="2" topLeftCell="A3" activePane="bottomLeft" state="frozen"/>
      <selection pane="bottomLeft"/>
    </sheetView>
  </sheetViews>
  <sheetFormatPr defaultRowHeight="15" x14ac:dyDescent="0.25"/>
  <cols>
    <col min="1" max="1" width="18.7109375" customWidth="1"/>
    <col min="2" max="2" width="12.42578125" customWidth="1"/>
    <col min="3" max="3" width="99" customWidth="1"/>
    <col min="4" max="4" width="9.140625" hidden="1" customWidth="1"/>
    <col min="5" max="5" width="15.5703125" hidden="1" customWidth="1"/>
    <col min="6" max="6" width="21.140625" customWidth="1"/>
  </cols>
  <sheetData>
    <row r="1" spans="1:11" ht="36" customHeight="1" thickBot="1" x14ac:dyDescent="0.35">
      <c r="A1" s="4" t="s">
        <v>397</v>
      </c>
      <c r="F1" s="71" t="s">
        <v>33</v>
      </c>
      <c r="G1" s="71"/>
      <c r="H1" s="71"/>
      <c r="I1" s="71"/>
      <c r="J1" s="71"/>
      <c r="K1" s="71"/>
    </row>
    <row r="2" spans="1:11" s="1" customFormat="1" ht="20.25" customHeight="1" thickTop="1" thickBot="1" x14ac:dyDescent="0.3">
      <c r="A2" s="1" t="s">
        <v>11</v>
      </c>
      <c r="B2" s="9" t="s">
        <v>37</v>
      </c>
      <c r="C2" s="51" t="s">
        <v>12</v>
      </c>
      <c r="D2" s="1" t="s">
        <v>389</v>
      </c>
      <c r="E2" s="1" t="s">
        <v>46</v>
      </c>
      <c r="F2" s="1" t="s">
        <v>388</v>
      </c>
    </row>
    <row r="3" spans="1:11" s="52" customFormat="1" ht="20.25" customHeight="1" x14ac:dyDescent="0.25">
      <c r="A3" s="10">
        <v>44433.693993055553</v>
      </c>
      <c r="B3" s="52">
        <v>1505</v>
      </c>
      <c r="C3" s="35" t="s">
        <v>6500</v>
      </c>
      <c r="D3" s="52" t="s">
        <v>150</v>
      </c>
    </row>
    <row r="4" spans="1:11" s="52" customFormat="1" ht="20.25" customHeight="1" x14ac:dyDescent="0.25">
      <c r="A4" s="10">
        <v>44433.692800925928</v>
      </c>
      <c r="B4" s="52">
        <v>111</v>
      </c>
      <c r="C4" s="35" t="s">
        <v>6529</v>
      </c>
      <c r="D4" s="52" t="s">
        <v>150</v>
      </c>
    </row>
    <row r="5" spans="1:11" s="52" customFormat="1" ht="20.25" customHeight="1" x14ac:dyDescent="0.25">
      <c r="A5" s="10">
        <v>44433.435208333336</v>
      </c>
      <c r="B5" s="52">
        <v>6</v>
      </c>
      <c r="C5" s="35" t="s">
        <v>760</v>
      </c>
      <c r="D5" s="52" t="s">
        <v>150</v>
      </c>
      <c r="F5" s="52" t="s">
        <v>557</v>
      </c>
    </row>
    <row r="6" spans="1:11" s="52" customFormat="1" ht="20.25" customHeight="1" x14ac:dyDescent="0.25">
      <c r="A6" s="10">
        <v>44433.435196759259</v>
      </c>
      <c r="B6" s="52">
        <v>13</v>
      </c>
      <c r="C6" s="35" t="s">
        <v>759</v>
      </c>
      <c r="D6" s="52" t="s">
        <v>150</v>
      </c>
      <c r="F6" s="52" t="s">
        <v>646</v>
      </c>
    </row>
  </sheetData>
  <autoFilter ref="A2:F2" xr:uid="{00000000-0009-0000-0000-000003000000}">
    <sortState xmlns:xlrd2="http://schemas.microsoft.com/office/spreadsheetml/2017/richdata2" ref="A2:F2">
      <sortCondition ref="C2"/>
    </sortState>
  </autoFilter>
  <mergeCells count="1">
    <mergeCell ref="F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ackToMain">
                <anchor moveWithCells="1" sizeWithCells="1">
                  <from>
                    <xdr:col>2</xdr:col>
                    <xdr:colOff>504825</xdr:colOff>
                    <xdr:row>0</xdr:row>
                    <xdr:rowOff>57150</xdr:rowOff>
                  </from>
                  <to>
                    <xdr:col>2</xdr:col>
                    <xdr:colOff>1143000</xdr:colOff>
                    <xdr:row>0</xdr:row>
                    <xdr:rowOff>371475</xdr:rowOff>
                  </to>
                </anchor>
              </controlPr>
            </control>
          </mc:Choice>
        </mc:AlternateContent>
        <mc:AlternateContent xmlns:mc="http://schemas.openxmlformats.org/markup-compatibility/2006">
          <mc:Choice Requires="x14">
            <control shapeId="9218" r:id="rId4" name="Button 2">
              <controlPr defaultSize="0" print="0" autoFill="0" autoPict="0" macro="[0]!showBatchForm">
                <anchor moveWithCells="1" sizeWithCells="1">
                  <from>
                    <xdr:col>2</xdr:col>
                    <xdr:colOff>3676650</xdr:colOff>
                    <xdr:row>0</xdr:row>
                    <xdr:rowOff>95250</xdr:rowOff>
                  </from>
                  <to>
                    <xdr:col>2</xdr:col>
                    <xdr:colOff>4591050</xdr:colOff>
                    <xdr:row>0</xdr:row>
                    <xdr:rowOff>428625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H10"/>
  <sheetViews>
    <sheetView zoomScaleNormal="100" workbookViewId="0">
      <pane xSplit="4" ySplit="5" topLeftCell="E6" activePane="bottomRight" state="frozen"/>
      <selection activeCell="B1" sqref="B1"/>
      <selection pane="topRight" activeCell="E1" sqref="E1"/>
      <selection pane="bottomLeft" activeCell="B6" sqref="B6"/>
      <selection pane="bottomRight"/>
    </sheetView>
  </sheetViews>
  <sheetFormatPr defaultRowHeight="15" x14ac:dyDescent="0.25"/>
  <cols>
    <col min="1" max="1" width="19.42578125" customWidth="1"/>
    <col min="2" max="2" width="33.42578125" customWidth="1"/>
    <col min="3" max="3" width="62.28515625" customWidth="1"/>
    <col min="4" max="4" width="19.42578125" hidden="1" customWidth="1"/>
  </cols>
  <sheetData>
    <row r="1" spans="1:8" ht="19.5" thickBot="1" x14ac:dyDescent="0.35">
      <c r="A1" s="13" t="s">
        <v>27</v>
      </c>
      <c r="B1" s="13" t="s">
        <v>28</v>
      </c>
      <c r="C1" s="21"/>
    </row>
    <row r="2" spans="1:8" ht="36" customHeight="1" thickBot="1" x14ac:dyDescent="0.3">
      <c r="A2" s="53" t="s">
        <v>632</v>
      </c>
      <c r="B2" s="1"/>
    </row>
    <row r="3" spans="1:8" s="8" customFormat="1" ht="81.75" customHeight="1" thickTop="1" thickBot="1" x14ac:dyDescent="0.3">
      <c r="A3" s="29"/>
      <c r="B3" s="29"/>
      <c r="C3" s="29" t="s">
        <v>210</v>
      </c>
      <c r="E3" s="57" t="s">
        <v>72</v>
      </c>
      <c r="F3" s="57" t="s">
        <v>74</v>
      </c>
      <c r="G3" s="57" t="s">
        <v>197</v>
      </c>
      <c r="H3" s="57" t="s">
        <v>215</v>
      </c>
    </row>
    <row r="4" spans="1:8" s="8" customFormat="1" ht="16.5" hidden="1" customHeight="1" thickBot="1" x14ac:dyDescent="0.3">
      <c r="A4" s="29"/>
      <c r="B4" s="29"/>
      <c r="C4" s="29" t="s">
        <v>175</v>
      </c>
      <c r="E4" s="58" t="s">
        <v>68</v>
      </c>
      <c r="F4" s="58" t="s">
        <v>68</v>
      </c>
      <c r="G4" s="58" t="s">
        <v>98</v>
      </c>
      <c r="H4" s="58" t="s">
        <v>98</v>
      </c>
    </row>
    <row r="5" spans="1:8" s="19" customFormat="1" ht="45" customHeight="1" thickBot="1" x14ac:dyDescent="0.3">
      <c r="A5" s="19" t="s">
        <v>344</v>
      </c>
      <c r="B5" s="19" t="s">
        <v>14</v>
      </c>
      <c r="C5" s="19" t="s">
        <v>211</v>
      </c>
      <c r="D5" s="19" t="s">
        <v>348</v>
      </c>
      <c r="E5" s="19" t="s">
        <v>71</v>
      </c>
      <c r="F5" s="19" t="s">
        <v>73</v>
      </c>
      <c r="G5" s="19" t="s">
        <v>107</v>
      </c>
      <c r="H5" s="19" t="s">
        <v>214</v>
      </c>
    </row>
    <row r="6" spans="1:8" x14ac:dyDescent="0.25">
      <c r="A6" s="2" t="s">
        <v>400</v>
      </c>
      <c r="B6" t="s">
        <v>417</v>
      </c>
      <c r="C6" t="s">
        <v>416</v>
      </c>
      <c r="E6">
        <v>36</v>
      </c>
      <c r="F6">
        <v>96</v>
      </c>
      <c r="G6">
        <v>13</v>
      </c>
      <c r="H6">
        <v>7</v>
      </c>
    </row>
    <row r="7" spans="1:8" x14ac:dyDescent="0.25">
      <c r="A7" s="2" t="s">
        <v>404</v>
      </c>
      <c r="B7" t="s">
        <v>403</v>
      </c>
      <c r="C7" t="s">
        <v>414</v>
      </c>
      <c r="E7">
        <v>5</v>
      </c>
      <c r="F7">
        <v>10</v>
      </c>
      <c r="G7">
        <v>1057</v>
      </c>
      <c r="H7">
        <v>532</v>
      </c>
    </row>
    <row r="8" spans="1:8" x14ac:dyDescent="0.25">
      <c r="A8" s="2" t="s">
        <v>556</v>
      </c>
      <c r="B8" t="s">
        <v>557</v>
      </c>
      <c r="C8" t="s">
        <v>558</v>
      </c>
      <c r="E8">
        <v>6</v>
      </c>
      <c r="F8">
        <v>26</v>
      </c>
      <c r="G8">
        <v>119</v>
      </c>
      <c r="H8">
        <v>92</v>
      </c>
    </row>
    <row r="9" spans="1:8" x14ac:dyDescent="0.25">
      <c r="C9" t="s">
        <v>6525</v>
      </c>
      <c r="E9">
        <v>13</v>
      </c>
      <c r="F9">
        <v>26</v>
      </c>
      <c r="G9">
        <v>105</v>
      </c>
      <c r="H9">
        <v>35</v>
      </c>
    </row>
    <row r="10" spans="1:8" x14ac:dyDescent="0.25">
      <c r="A10" s="2" t="s">
        <v>592</v>
      </c>
      <c r="B10" t="s">
        <v>593</v>
      </c>
      <c r="C10" t="s">
        <v>594</v>
      </c>
      <c r="E10">
        <v>7</v>
      </c>
      <c r="F10">
        <v>24</v>
      </c>
      <c r="G10">
        <v>934</v>
      </c>
      <c r="H10">
        <v>1505</v>
      </c>
    </row>
  </sheetData>
  <autoFilter ref="A5:H5" xr:uid="{00000000-0001-0000-0600-000000000000}"/>
  <conditionalFormatting sqref="D5">
    <cfRule type="cellIs" dxfId="99" priority="14318" operator="equal">
      <formula>1</formula>
    </cfRule>
  </conditionalFormatting>
  <conditionalFormatting sqref="D5">
    <cfRule type="cellIs" dxfId="98" priority="14268" operator="equal">
      <formula>0</formula>
    </cfRule>
  </conditionalFormatting>
  <conditionalFormatting sqref="D5">
    <cfRule type="cellIs" dxfId="97" priority="10059" operator="equal">
      <formula>0</formula>
    </cfRule>
  </conditionalFormatting>
  <conditionalFormatting sqref="D5">
    <cfRule type="cellIs" dxfId="96" priority="10058" operator="equal">
      <formula>1</formula>
    </cfRule>
  </conditionalFormatting>
  <conditionalFormatting sqref="D5">
    <cfRule type="cellIs" dxfId="95" priority="10152" operator="equal">
      <formula>0</formula>
    </cfRule>
  </conditionalFormatting>
  <conditionalFormatting sqref="D5">
    <cfRule type="cellIs" dxfId="94" priority="9675" operator="equal">
      <formula>0</formula>
    </cfRule>
  </conditionalFormatting>
  <conditionalFormatting sqref="D5">
    <cfRule type="cellIs" dxfId="93" priority="9674" operator="equal">
      <formula>1</formula>
    </cfRule>
  </conditionalFormatting>
  <conditionalFormatting sqref="D5">
    <cfRule type="cellIs" dxfId="92" priority="9642" operator="equal">
      <formula>0</formula>
    </cfRule>
  </conditionalFormatting>
  <conditionalFormatting sqref="D5">
    <cfRule type="cellIs" dxfId="91" priority="9641" operator="equal">
      <formula>1</formula>
    </cfRule>
  </conditionalFormatting>
  <conditionalFormatting sqref="D5">
    <cfRule type="colorScale" priority="17360">
      <colorScale>
        <cfvo type="min"/>
        <cfvo type="percentile" val="50"/>
        <cfvo type="max"/>
        <color rgb="FF63BE7B"/>
        <color rgb="FFFFEB84"/>
        <color rgb="FFF8696B"/>
      </colorScale>
    </cfRule>
  </conditionalFormatting>
  <conditionalFormatting sqref="D5">
    <cfRule type="cellIs" dxfId="90" priority="17361" operator="equal">
      <formula>1</formula>
    </cfRule>
    <cfRule type="colorScale" priority="17362">
      <colorScale>
        <cfvo type="min"/>
        <cfvo type="percentile" val="50"/>
        <cfvo type="max"/>
        <color rgb="FF63BE7B"/>
        <color rgb="FFFFEB84"/>
        <color rgb="FFF8696B"/>
      </colorScale>
    </cfRule>
    <cfRule type="cellIs" dxfId="89" priority="17363" operator="equal">
      <formula>0</formula>
    </cfRule>
    <cfRule type="cellIs" dxfId="88" priority="17364" operator="equal">
      <formula>1</formula>
    </cfRule>
    <cfRule type="colorScale" priority="17365">
      <colorScale>
        <cfvo type="min"/>
        <cfvo type="percentile" val="50"/>
        <cfvo type="max"/>
        <color rgb="FF63BE7B"/>
        <color rgb="FFFFEB84"/>
        <color rgb="FFF8696B"/>
      </colorScale>
    </cfRule>
    <cfRule type="cellIs" dxfId="87" priority="17366" operator="equal">
      <formula>0</formula>
    </cfRule>
    <cfRule type="cellIs" dxfId="86" priority="17367" operator="equal">
      <formula>1</formula>
    </cfRule>
    <cfRule type="colorScale" priority="17368">
      <colorScale>
        <cfvo type="min"/>
        <cfvo type="percentile" val="50"/>
        <cfvo type="max"/>
        <color rgb="FF63BE7B"/>
        <color rgb="FFFFEB84"/>
        <color rgb="FFF8696B"/>
      </colorScale>
    </cfRule>
    <cfRule type="cellIs" dxfId="85" priority="17369" operator="equal">
      <formula>0</formula>
    </cfRule>
    <cfRule type="cellIs" dxfId="84" priority="17370" operator="equal">
      <formula>1</formula>
    </cfRule>
    <cfRule type="colorScale" priority="17371">
      <colorScale>
        <cfvo type="min"/>
        <cfvo type="percentile" val="50"/>
        <cfvo type="max"/>
        <color rgb="FF63BE7B"/>
        <color rgb="FFFFEB84"/>
        <color rgb="FFF8696B"/>
      </colorScale>
    </cfRule>
    <cfRule type="colorScale" priority="17372">
      <colorScale>
        <cfvo type="min"/>
        <cfvo type="percentile" val="50"/>
        <cfvo type="max"/>
        <color rgb="FF63BE7B"/>
        <color rgb="FFFFEB84"/>
        <color rgb="FFF8696B"/>
      </colorScale>
    </cfRule>
  </conditionalFormatting>
  <conditionalFormatting sqref="D5">
    <cfRule type="cellIs" dxfId="83" priority="17373" operator="equal">
      <formula>0</formula>
    </cfRule>
    <cfRule type="cellIs" dxfId="82" priority="17374" operator="equal">
      <formula>1</formula>
    </cfRule>
    <cfRule type="colorScale" priority="17375">
      <colorScale>
        <cfvo type="min"/>
        <cfvo type="percentile" val="50"/>
        <cfvo type="max"/>
        <color rgb="FF63BE7B"/>
        <color rgb="FFFFEB84"/>
        <color rgb="FFF8696B"/>
      </colorScale>
    </cfRule>
    <cfRule type="cellIs" dxfId="81" priority="17376" operator="equal">
      <formula>0</formula>
    </cfRule>
    <cfRule type="cellIs" dxfId="80" priority="17377" operator="equal">
      <formula>1</formula>
    </cfRule>
    <cfRule type="colorScale" priority="17378">
      <colorScale>
        <cfvo type="min"/>
        <cfvo type="percentile" val="50"/>
        <cfvo type="max"/>
        <color rgb="FF63BE7B"/>
        <color rgb="FFFFEB84"/>
        <color rgb="FFF8696B"/>
      </colorScale>
    </cfRule>
    <cfRule type="cellIs" dxfId="79" priority="17379" operator="equal">
      <formula>0</formula>
    </cfRule>
    <cfRule type="cellIs" dxfId="78" priority="17380" operator="equal">
      <formula>1</formula>
    </cfRule>
    <cfRule type="colorScale" priority="17381">
      <colorScale>
        <cfvo type="min"/>
        <cfvo type="percentile" val="50"/>
        <cfvo type="max"/>
        <color rgb="FF63BE7B"/>
        <color rgb="FFFFEB84"/>
        <color rgb="FFF8696B"/>
      </colorScale>
    </cfRule>
    <cfRule type="cellIs" dxfId="77" priority="17382" operator="equal">
      <formula>0</formula>
    </cfRule>
    <cfRule type="cellIs" dxfId="76" priority="17383" operator="equal">
      <formula>1</formula>
    </cfRule>
  </conditionalFormatting>
  <conditionalFormatting sqref="D5">
    <cfRule type="cellIs" dxfId="75" priority="17384" operator="equal">
      <formula>1</formula>
    </cfRule>
    <cfRule type="cellIs" dxfId="74" priority="17385" operator="equal">
      <formula>0</formula>
    </cfRule>
    <cfRule type="colorScale" priority="17386">
      <colorScale>
        <cfvo type="min"/>
        <cfvo type="percentile" val="50"/>
        <cfvo type="max"/>
        <color rgb="FF63BE7B"/>
        <color rgb="FFFFEB84"/>
        <color rgb="FFF8696B"/>
      </colorScale>
    </cfRule>
  </conditionalFormatting>
  <conditionalFormatting sqref="D6:D8">
    <cfRule type="cellIs" dxfId="73" priority="46" operator="equal">
      <formula>1</formula>
    </cfRule>
    <cfRule type="cellIs" dxfId="72" priority="47" operator="equal">
      <formula>0</formula>
    </cfRule>
    <cfRule type="colorScale" priority="48">
      <colorScale>
        <cfvo type="min"/>
        <cfvo type="percentile" val="50"/>
        <cfvo type="max"/>
        <color rgb="FF63BE7B"/>
        <color rgb="FFFFEB84"/>
        <color rgb="FFF8696B"/>
      </colorScale>
    </cfRule>
  </conditionalFormatting>
  <conditionalFormatting sqref="D6:D9">
    <cfRule type="cellIs" dxfId="71" priority="34" operator="equal">
      <formula>1</formula>
    </cfRule>
    <cfRule type="cellIs" dxfId="70" priority="35" operator="equal">
      <formula>0</formula>
    </cfRule>
    <cfRule type="colorScale" priority="36">
      <colorScale>
        <cfvo type="min"/>
        <cfvo type="percentile" val="50"/>
        <cfvo type="max"/>
        <color rgb="FF63BE7B"/>
        <color rgb="FFFFEB84"/>
        <color rgb="FFF8696B"/>
      </colorScale>
    </cfRule>
  </conditionalFormatting>
  <conditionalFormatting sqref="D6:D10">
    <cfRule type="cellIs" dxfId="69" priority="10" operator="equal">
      <formula>1</formula>
    </cfRule>
    <cfRule type="cellIs" dxfId="68" priority="11" operator="equal">
      <formula>0</formula>
    </cfRule>
    <cfRule type="colorScale" priority="12">
      <colorScale>
        <cfvo type="min"/>
        <cfvo type="percentile" val="50"/>
        <cfvo type="max"/>
        <color rgb="FF63BE7B"/>
        <color rgb="FFFFEB84"/>
        <color rgb="FFF8696B"/>
      </colorScale>
    </cfRule>
    <cfRule type="cellIs" dxfId="67" priority="22" operator="equal">
      <formula>1</formula>
    </cfRule>
    <cfRule type="cellIs" dxfId="66" priority="23" operator="equal">
      <formula>0</formula>
    </cfRule>
    <cfRule type="colorScale" priority="24">
      <colorScale>
        <cfvo type="min"/>
        <cfvo type="percentile" val="50"/>
        <cfvo type="max"/>
        <color rgb="FF63BE7B"/>
        <color rgb="FFFFEB84"/>
        <color rgb="FFF8696B"/>
      </colorScale>
    </cfRule>
  </conditionalFormatting>
  <conditionalFormatting sqref="E6:E10">
    <cfRule type="cellIs" dxfId="65" priority="7" operator="equal">
      <formula>1</formula>
    </cfRule>
    <cfRule type="cellIs" dxfId="64" priority="8" operator="equal">
      <formula>0</formula>
    </cfRule>
    <cfRule type="colorScale" priority="9">
      <colorScale>
        <cfvo type="min"/>
        <cfvo type="percentile" val="50"/>
        <cfvo type="max"/>
        <color rgb="FF63BE7B"/>
        <color rgb="FFFFEB84"/>
        <color rgb="FFF8696B"/>
      </colorScale>
    </cfRule>
  </conditionalFormatting>
  <conditionalFormatting sqref="F6:F10">
    <cfRule type="cellIs" dxfId="63" priority="4" operator="equal">
      <formula>1</formula>
    </cfRule>
    <cfRule type="cellIs" dxfId="62" priority="5" operator="equal">
      <formula>0</formula>
    </cfRule>
    <cfRule type="colorScale" priority="6">
      <colorScale>
        <cfvo type="min"/>
        <cfvo type="percentile" val="50"/>
        <cfvo type="max"/>
        <color rgb="FF63BE7B"/>
        <color rgb="FFFFEB84"/>
        <color rgb="FFF8696B"/>
      </colorScale>
    </cfRule>
  </conditionalFormatting>
  <conditionalFormatting sqref="G6:G10">
    <cfRule type="cellIs" dxfId="61" priority="1" operator="equal">
      <formula>1</formula>
    </cfRule>
    <cfRule type="cellIs" dxfId="60" priority="2" operator="equal">
      <formula>0</formula>
    </cfRule>
    <cfRule type="colorScale" priority="3">
      <colorScale>
        <cfvo type="min"/>
        <cfvo type="percentile" val="50"/>
        <cfvo type="max"/>
        <color rgb="FF63BE7B"/>
        <color rgb="FFFFEB84"/>
        <color rgb="FFF8696B"/>
      </colorScale>
    </cfRule>
  </conditionalFormatting>
  <hyperlinks>
    <hyperlink ref="A6" r:id="rId1" display="https://comptox.epa.gov/dashboard/dsstoxdb/results?search=DTXSID0020319" xr:uid="{A4E93108-CDDE-4AB9-AFC6-6C44AC5AD744}"/>
    <hyperlink ref="A7" r:id="rId2" display="https://comptox.epa.gov/dashboard/dsstoxdb/results?search=DTXSID4020329" xr:uid="{503A8FB8-6F99-4A42-8EC5-DA096ADF028F}"/>
    <hyperlink ref="A8" r:id="rId3" display="https://comptox.epa.gov/dashboard/dsstoxdb/results?search=DTXSID7029871" xr:uid="{826F730C-72EC-448B-9AF3-605D152161C9}"/>
    <hyperlink ref="A10" r:id="rId4" display="https://comptox.epa.gov/dashboard/dsstoxdb/results?search=DTXSID5021463" xr:uid="{21FAB82A-685B-40B5-800C-79638F09083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41" r:id="rId8" name="Button 1">
              <controlPr defaultSize="0" print="0" autoFill="0" autoPict="0" macro="[0]!PubMedquerySelections">
                <anchor moveWithCells="1" sizeWithCells="1">
                  <from>
                    <xdr:col>2</xdr:col>
                    <xdr:colOff>95250</xdr:colOff>
                    <xdr:row>1</xdr:row>
                    <xdr:rowOff>38100</xdr:rowOff>
                  </from>
                  <to>
                    <xdr:col>2</xdr:col>
                    <xdr:colOff>1514475</xdr:colOff>
                    <xdr:row>1</xdr:row>
                    <xdr:rowOff>419100</xdr:rowOff>
                  </to>
                </anchor>
              </controlPr>
            </control>
          </mc:Choice>
        </mc:AlternateContent>
        <mc:AlternateContent xmlns:mc="http://schemas.openxmlformats.org/markup-compatibility/2006">
          <mc:Choice Requires="x14">
            <control shapeId="10242" r:id="rId9" name="Button 2">
              <controlPr defaultSize="0" print="0" autoFill="0" autoPict="0" macro="[0]!Sheet5.showformLandscapeMorestuff">
                <anchor moveWithCells="1" sizeWithCells="1">
                  <from>
                    <xdr:col>2</xdr:col>
                    <xdr:colOff>1895475</xdr:colOff>
                    <xdr:row>1</xdr:row>
                    <xdr:rowOff>38100</xdr:rowOff>
                  </from>
                  <to>
                    <xdr:col>2</xdr:col>
                    <xdr:colOff>2524125</xdr:colOff>
                    <xdr:row>1</xdr:row>
                    <xdr:rowOff>419100</xdr:rowOff>
                  </to>
                </anchor>
              </controlPr>
            </control>
          </mc:Choice>
        </mc:AlternateContent>
        <mc:AlternateContent xmlns:mc="http://schemas.openxmlformats.org/markup-compatibility/2006">
          <mc:Choice Requires="x14">
            <control shapeId="10244" r:id="rId10" name="Button 4">
              <controlPr defaultSize="0" print="0" autoFill="0" autoPict="0" macro="[0]!heatmapbycols">
                <anchor moveWithCells="1" sizeWithCells="1">
                  <from>
                    <xdr:col>2</xdr:col>
                    <xdr:colOff>2609850</xdr:colOff>
                    <xdr:row>1</xdr:row>
                    <xdr:rowOff>38100</xdr:rowOff>
                  </from>
                  <to>
                    <xdr:col>2</xdr:col>
                    <xdr:colOff>3276600</xdr:colOff>
                    <xdr:row>1</xdr:row>
                    <xdr:rowOff>419100</xdr:rowOff>
                  </to>
                </anchor>
              </controlPr>
            </control>
          </mc:Choice>
        </mc:AlternateContent>
        <mc:AlternateContent xmlns:mc="http://schemas.openxmlformats.org/markup-compatibility/2006">
          <mc:Choice Requires="x14">
            <control shapeId="10245" r:id="rId11" name="Button 5">
              <controlPr defaultSize="0" print="0" autoFill="0" autoPict="0" macro="[0]!heatmapbyRows">
                <anchor moveWithCells="1" sizeWithCells="1">
                  <from>
                    <xdr:col>2</xdr:col>
                    <xdr:colOff>3390900</xdr:colOff>
                    <xdr:row>1</xdr:row>
                    <xdr:rowOff>38100</xdr:rowOff>
                  </from>
                  <to>
                    <xdr:col>2</xdr:col>
                    <xdr:colOff>4067175</xdr:colOff>
                    <xdr:row>1</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F4275-FE5C-4D01-8D54-493121360063}">
  <sheetPr codeName="Sheet17"/>
  <dimension ref="A1:D20"/>
  <sheetViews>
    <sheetView zoomScale="110" zoomScaleNormal="110" workbookViewId="0">
      <pane ySplit="2" topLeftCell="A3" activePane="bottomLeft" state="frozen"/>
      <selection pane="bottomLeft"/>
    </sheetView>
  </sheetViews>
  <sheetFormatPr defaultRowHeight="15" x14ac:dyDescent="0.25"/>
  <cols>
    <col min="1" max="1" width="29.5703125" customWidth="1"/>
    <col min="2" max="2" width="39.42578125" customWidth="1"/>
    <col min="4" max="4" width="55.42578125" customWidth="1"/>
  </cols>
  <sheetData>
    <row r="1" spans="1:4" ht="52.5" customHeight="1" thickBot="1" x14ac:dyDescent="0.35">
      <c r="A1" s="46" t="s">
        <v>628</v>
      </c>
      <c r="B1" s="52"/>
      <c r="C1" s="52"/>
      <c r="D1" s="7" t="s">
        <v>627</v>
      </c>
    </row>
    <row r="2" spans="1:4" ht="16.5" thickTop="1" thickBot="1" x14ac:dyDescent="0.3">
      <c r="A2" s="53" t="s">
        <v>632</v>
      </c>
      <c r="B2" s="1"/>
      <c r="C2" s="1"/>
    </row>
    <row r="3" spans="1:4" ht="16.5" thickTop="1" thickBot="1" x14ac:dyDescent="0.3">
      <c r="A3" s="1" t="s">
        <v>629</v>
      </c>
      <c r="B3" s="1" t="s">
        <v>630</v>
      </c>
      <c r="C3" s="1" t="s">
        <v>631</v>
      </c>
    </row>
    <row r="4" spans="1:4" x14ac:dyDescent="0.25">
      <c r="A4" s="67" t="s">
        <v>6506</v>
      </c>
      <c r="B4" t="s">
        <v>6507</v>
      </c>
      <c r="C4">
        <v>715</v>
      </c>
    </row>
    <row r="5" spans="1:4" x14ac:dyDescent="0.25">
      <c r="A5" s="67" t="s">
        <v>6506</v>
      </c>
      <c r="B5" t="s">
        <v>6508</v>
      </c>
      <c r="C5">
        <v>365</v>
      </c>
    </row>
    <row r="6" spans="1:4" x14ac:dyDescent="0.25">
      <c r="A6" s="67" t="s">
        <v>6506</v>
      </c>
      <c r="B6" t="s">
        <v>6503</v>
      </c>
      <c r="C6">
        <v>247</v>
      </c>
    </row>
    <row r="7" spans="1:4" x14ac:dyDescent="0.25">
      <c r="A7" s="67" t="s">
        <v>6506</v>
      </c>
      <c r="B7" t="s">
        <v>6509</v>
      </c>
      <c r="C7">
        <v>2</v>
      </c>
    </row>
    <row r="8" spans="1:4" x14ac:dyDescent="0.25">
      <c r="A8" s="67" t="s">
        <v>6506</v>
      </c>
      <c r="B8" t="s">
        <v>6510</v>
      </c>
      <c r="C8">
        <v>6</v>
      </c>
    </row>
    <row r="9" spans="1:4" x14ac:dyDescent="0.25">
      <c r="A9" s="67" t="s">
        <v>6506</v>
      </c>
      <c r="B9" t="s">
        <v>6511</v>
      </c>
      <c r="C9">
        <v>0</v>
      </c>
    </row>
    <row r="10" spans="1:4" x14ac:dyDescent="0.25">
      <c r="A10" s="67" t="s">
        <v>6506</v>
      </c>
      <c r="B10" t="s">
        <v>6512</v>
      </c>
      <c r="C10">
        <v>14</v>
      </c>
    </row>
    <row r="11" spans="1:4" x14ac:dyDescent="0.25">
      <c r="A11" s="67" t="s">
        <v>6506</v>
      </c>
      <c r="B11" t="s">
        <v>6513</v>
      </c>
      <c r="C11">
        <v>26</v>
      </c>
    </row>
    <row r="12" spans="1:4" x14ac:dyDescent="0.25">
      <c r="A12" s="67" t="s">
        <v>6506</v>
      </c>
      <c r="B12" t="s">
        <v>6514</v>
      </c>
      <c r="C12">
        <v>60</v>
      </c>
    </row>
    <row r="13" spans="1:4" x14ac:dyDescent="0.25">
      <c r="A13" s="66" t="s">
        <v>6505</v>
      </c>
      <c r="B13" t="s">
        <v>6517</v>
      </c>
      <c r="C13">
        <v>55</v>
      </c>
    </row>
    <row r="14" spans="1:4" x14ac:dyDescent="0.25">
      <c r="A14" s="66" t="s">
        <v>6505</v>
      </c>
      <c r="B14" t="s">
        <v>6518</v>
      </c>
      <c r="C14">
        <v>13</v>
      </c>
    </row>
    <row r="15" spans="1:4" x14ac:dyDescent="0.25">
      <c r="A15" s="66" t="s">
        <v>6505</v>
      </c>
      <c r="B15" t="s">
        <v>6519</v>
      </c>
      <c r="C15">
        <v>18</v>
      </c>
    </row>
    <row r="16" spans="1:4" x14ac:dyDescent="0.25">
      <c r="A16" s="66" t="s">
        <v>6505</v>
      </c>
      <c r="B16" t="s">
        <v>6520</v>
      </c>
      <c r="C16">
        <v>12</v>
      </c>
    </row>
    <row r="17" spans="1:3" x14ac:dyDescent="0.25">
      <c r="A17" s="66" t="s">
        <v>6505</v>
      </c>
      <c r="B17" t="s">
        <v>6521</v>
      </c>
      <c r="C17">
        <v>3</v>
      </c>
    </row>
    <row r="18" spans="1:3" x14ac:dyDescent="0.25">
      <c r="A18" s="66" t="s">
        <v>6505</v>
      </c>
      <c r="B18" t="s">
        <v>6522</v>
      </c>
      <c r="C18">
        <v>1</v>
      </c>
    </row>
    <row r="19" spans="1:3" x14ac:dyDescent="0.25">
      <c r="A19" s="66" t="s">
        <v>6505</v>
      </c>
      <c r="B19" t="s">
        <v>6515</v>
      </c>
      <c r="C19">
        <v>229</v>
      </c>
    </row>
    <row r="20" spans="1:3" x14ac:dyDescent="0.25">
      <c r="A20" s="66" t="s">
        <v>6505</v>
      </c>
      <c r="B20" t="s">
        <v>6516</v>
      </c>
      <c r="C20">
        <v>13</v>
      </c>
    </row>
  </sheetData>
  <autoFilter ref="A3:C3" xr:uid="{641F4275-FE5C-4D01-8D54-493121360063}">
    <sortState xmlns:xlrd2="http://schemas.microsoft.com/office/spreadsheetml/2017/richdata2" ref="A4:C51">
      <sortCondition descending="1" ref="C3"/>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mapterms">
                <anchor moveWithCells="1" sizeWithCells="1">
                  <from>
                    <xdr:col>1</xdr:col>
                    <xdr:colOff>161925</xdr:colOff>
                    <xdr:row>0</xdr:row>
                    <xdr:rowOff>142875</xdr:rowOff>
                  </from>
                  <to>
                    <xdr:col>1</xdr:col>
                    <xdr:colOff>962025</xdr:colOff>
                    <xdr:row>0</xdr:row>
                    <xdr:rowOff>571500</xdr:rowOff>
                  </to>
                </anchor>
              </controlPr>
            </control>
          </mc:Choice>
        </mc:AlternateContent>
        <mc:AlternateContent xmlns:mc="http://schemas.openxmlformats.org/markup-compatibility/2006">
          <mc:Choice Requires="x14">
            <control shapeId="24578" r:id="rId4" name="Button 2">
              <controlPr defaultSize="0" print="0" autoFill="0" autoPict="0" macro="[0]!Button2_Click">
                <anchor moveWithCells="1" sizeWithCells="1">
                  <from>
                    <xdr:col>1</xdr:col>
                    <xdr:colOff>1419225</xdr:colOff>
                    <xdr:row>0</xdr:row>
                    <xdr:rowOff>114300</xdr:rowOff>
                  </from>
                  <to>
                    <xdr:col>1</xdr:col>
                    <xdr:colOff>2238375</xdr:colOff>
                    <xdr:row>0</xdr:row>
                    <xdr:rowOff>542925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17"/>
  <sheetViews>
    <sheetView workbookViewId="0">
      <pane ySplit="2" topLeftCell="A3" activePane="bottomLeft" state="frozen"/>
      <selection pane="bottomLeft" activeCell="T17" sqref="T17"/>
    </sheetView>
  </sheetViews>
  <sheetFormatPr defaultRowHeight="15" x14ac:dyDescent="0.25"/>
  <cols>
    <col min="1" max="1" width="15.28515625" customWidth="1"/>
    <col min="2" max="2" width="5.140625" customWidth="1"/>
    <col min="3" max="4" width="4.42578125" customWidth="1"/>
    <col min="5" max="5" width="7.140625" customWidth="1"/>
    <col min="6" max="6" width="14.7109375" customWidth="1"/>
    <col min="7" max="7" width="20.42578125" customWidth="1"/>
    <col min="8" max="8" width="7" customWidth="1"/>
    <col min="9" max="9" width="56.28515625" customWidth="1"/>
    <col min="10" max="10" width="38.5703125" customWidth="1"/>
    <col min="11" max="11" width="16.5703125" customWidth="1"/>
    <col min="12" max="12" width="9.140625" hidden="1" customWidth="1"/>
    <col min="13" max="13" width="12.28515625" hidden="1" customWidth="1"/>
    <col min="14" max="14" width="14.85546875" customWidth="1"/>
    <col min="20" max="20" width="7" customWidth="1"/>
  </cols>
  <sheetData>
    <row r="1" spans="1:24" ht="55.5" customHeight="1" thickBot="1" x14ac:dyDescent="0.4">
      <c r="A1" s="14" t="s">
        <v>4</v>
      </c>
      <c r="B1" s="3"/>
      <c r="C1" s="56"/>
      <c r="D1" s="56"/>
      <c r="E1" s="3"/>
      <c r="F1" s="55" t="s">
        <v>374</v>
      </c>
      <c r="G1" s="52"/>
      <c r="I1" s="5"/>
      <c r="J1" s="7" t="s">
        <v>34</v>
      </c>
      <c r="K1" s="7"/>
      <c r="L1" s="7"/>
      <c r="M1" s="7"/>
      <c r="V1" s="54"/>
      <c r="W1" s="54"/>
      <c r="X1" s="54"/>
    </row>
    <row r="2" spans="1:24" ht="58.5" customHeight="1" thickTop="1" thickBot="1" x14ac:dyDescent="0.3">
      <c r="A2" s="1" t="s">
        <v>5</v>
      </c>
      <c r="B2" s="15" t="s">
        <v>16</v>
      </c>
      <c r="C2" s="15" t="s">
        <v>17</v>
      </c>
      <c r="D2" s="15" t="s">
        <v>18</v>
      </c>
      <c r="E2" s="1" t="s">
        <v>394</v>
      </c>
      <c r="F2" s="1" t="s">
        <v>20</v>
      </c>
      <c r="G2" s="1" t="s">
        <v>6</v>
      </c>
      <c r="H2" s="1" t="s">
        <v>21</v>
      </c>
      <c r="I2" s="1" t="s">
        <v>0</v>
      </c>
      <c r="J2" s="1" t="s">
        <v>9</v>
      </c>
      <c r="K2" s="1" t="s">
        <v>19</v>
      </c>
      <c r="L2" s="1" t="s">
        <v>328</v>
      </c>
      <c r="M2" s="1" t="s">
        <v>8</v>
      </c>
      <c r="N2" s="18" t="s">
        <v>22</v>
      </c>
      <c r="O2" s="18" t="s">
        <v>324</v>
      </c>
      <c r="P2" s="18" t="s">
        <v>317</v>
      </c>
      <c r="Q2" s="18" t="s">
        <v>318</v>
      </c>
      <c r="R2" s="18" t="s">
        <v>319</v>
      </c>
      <c r="S2" s="18" t="s">
        <v>323</v>
      </c>
      <c r="T2" s="18" t="s">
        <v>370</v>
      </c>
      <c r="U2" s="18" t="s">
        <v>371</v>
      </c>
      <c r="V2" s="18" t="s">
        <v>392</v>
      </c>
    </row>
    <row r="3" spans="1:24" ht="15.95" customHeight="1" x14ac:dyDescent="0.25">
      <c r="A3" s="2" t="str">
        <f>HYPERLINK("https://www.ncbi.nlm.nih.gov/pubmed/33925709","33925709")</f>
        <v>33925709</v>
      </c>
      <c r="B3" s="52">
        <v>1</v>
      </c>
      <c r="C3" s="52">
        <v>0</v>
      </c>
      <c r="D3" s="52">
        <v>0</v>
      </c>
      <c r="E3" s="52" t="s">
        <v>383</v>
      </c>
      <c r="F3" s="17"/>
      <c r="G3" s="50"/>
      <c r="H3" s="52">
        <v>2021</v>
      </c>
      <c r="I3" s="52" t="s">
        <v>655</v>
      </c>
      <c r="J3" s="52" t="s">
        <v>657</v>
      </c>
      <c r="K3" s="52" t="s">
        <v>658</v>
      </c>
      <c r="L3" s="52"/>
      <c r="M3" s="52" t="s">
        <v>656</v>
      </c>
      <c r="N3" s="10">
        <v>44418.363437499997</v>
      </c>
      <c r="O3" s="2" t="str">
        <f>HYPERLINK("http://dx.doi.org/10.3390/ijerph18094664","10.3390/ijerph18094664")</f>
        <v>10.3390/ijerph18094664</v>
      </c>
      <c r="P3" s="49" t="s">
        <v>659</v>
      </c>
      <c r="Q3" s="49" t="s">
        <v>660</v>
      </c>
      <c r="R3" s="49" t="s">
        <v>383</v>
      </c>
      <c r="S3" s="52" t="s">
        <v>316</v>
      </c>
      <c r="T3" s="64" t="str">
        <f>HYPERLINK("https://www.ncbi.nlm.nih.gov/research/pubtator/?view=docsum&amp;query=PMC8124988","1")</f>
        <v>1</v>
      </c>
      <c r="U3" s="52"/>
      <c r="V3" s="52"/>
      <c r="W3" s="52"/>
      <c r="X3" s="52"/>
    </row>
    <row r="4" spans="1:24" ht="15.95" customHeight="1" x14ac:dyDescent="0.25">
      <c r="A4" s="2" t="str">
        <f>HYPERLINK("https://www.ncbi.nlm.nih.gov/pubmed/33798513","33798513")</f>
        <v>33798513</v>
      </c>
      <c r="B4" s="52">
        <v>1</v>
      </c>
      <c r="C4" s="52">
        <v>0</v>
      </c>
      <c r="D4" s="52">
        <v>0</v>
      </c>
      <c r="E4" s="52" t="s">
        <v>383</v>
      </c>
      <c r="F4" s="17"/>
      <c r="G4" s="50"/>
      <c r="H4" s="52">
        <v>2021</v>
      </c>
      <c r="I4" s="52" t="s">
        <v>661</v>
      </c>
      <c r="J4" s="52" t="s">
        <v>663</v>
      </c>
      <c r="K4" s="52" t="s">
        <v>664</v>
      </c>
      <c r="L4" s="52"/>
      <c r="M4" s="52" t="s">
        <v>662</v>
      </c>
      <c r="N4" s="10">
        <v>44418.363437499997</v>
      </c>
      <c r="O4" s="2" t="str">
        <f>HYPERLINK("http://dx.doi.org/10.1016/j.envres.2021.111078","10.1016/j.envres.2021.111078")</f>
        <v>10.1016/j.envres.2021.111078</v>
      </c>
      <c r="P4" s="49" t="s">
        <v>665</v>
      </c>
      <c r="Q4" s="49" t="s">
        <v>383</v>
      </c>
      <c r="R4" s="49" t="s">
        <v>666</v>
      </c>
      <c r="S4" s="52" t="s">
        <v>316</v>
      </c>
      <c r="T4" s="64" t="str">
        <f>HYPERLINK("https://www.ncbi.nlm.nih.gov/research/pubtator/?view=docsum&amp;query=PMC8212567","1")</f>
        <v>1</v>
      </c>
      <c r="U4" s="52"/>
      <c r="V4" s="52"/>
      <c r="W4" s="52"/>
      <c r="X4" s="52"/>
    </row>
    <row r="5" spans="1:24" ht="15.95" customHeight="1" x14ac:dyDescent="0.25">
      <c r="A5" s="2" t="str">
        <f>HYPERLINK("https://www.ncbi.nlm.nih.gov/pubmed/33621874","33621874")</f>
        <v>33621874</v>
      </c>
      <c r="B5" s="52">
        <v>1</v>
      </c>
      <c r="C5" s="52">
        <v>0</v>
      </c>
      <c r="D5" s="52">
        <v>0</v>
      </c>
      <c r="E5" s="52" t="s">
        <v>383</v>
      </c>
      <c r="F5" s="17"/>
      <c r="G5" s="50"/>
      <c r="H5" s="52">
        <v>2021</v>
      </c>
      <c r="I5" s="52" t="s">
        <v>667</v>
      </c>
      <c r="J5" s="52" t="s">
        <v>669</v>
      </c>
      <c r="K5" s="52" t="s">
        <v>670</v>
      </c>
      <c r="L5" s="52"/>
      <c r="M5" s="52" t="s">
        <v>668</v>
      </c>
      <c r="N5" s="10">
        <v>44418.363437499997</v>
      </c>
      <c r="O5" s="2" t="str">
        <f>HYPERLINK("http://dx.doi.org/10.1016/j.scitotenv.2021.145771","10.1016/j.scitotenv.2021.145771")</f>
        <v>10.1016/j.scitotenv.2021.145771</v>
      </c>
      <c r="P5" s="49" t="s">
        <v>671</v>
      </c>
      <c r="Q5" s="49" t="s">
        <v>383</v>
      </c>
      <c r="R5" s="49" t="s">
        <v>672</v>
      </c>
      <c r="S5" s="52" t="s">
        <v>316</v>
      </c>
      <c r="T5" s="65">
        <v>0</v>
      </c>
      <c r="U5" s="52"/>
      <c r="V5" s="52"/>
      <c r="W5" s="52"/>
      <c r="X5" s="52"/>
    </row>
    <row r="6" spans="1:24" ht="15.95" customHeight="1" x14ac:dyDescent="0.25">
      <c r="A6" s="2" t="str">
        <f>HYPERLINK("https://www.ncbi.nlm.nih.gov/pubmed/33236927","33236927")</f>
        <v>33236927</v>
      </c>
      <c r="B6" s="52">
        <v>1</v>
      </c>
      <c r="C6" s="52">
        <v>0</v>
      </c>
      <c r="D6" s="52">
        <v>0</v>
      </c>
      <c r="E6" s="52" t="s">
        <v>383</v>
      </c>
      <c r="F6" s="17"/>
      <c r="G6" s="50"/>
      <c r="H6" s="52">
        <v>2020</v>
      </c>
      <c r="I6" s="52" t="s">
        <v>673</v>
      </c>
      <c r="J6" s="52" t="s">
        <v>675</v>
      </c>
      <c r="K6" s="52" t="s">
        <v>676</v>
      </c>
      <c r="L6" s="52"/>
      <c r="M6" s="52" t="s">
        <v>674</v>
      </c>
      <c r="N6" s="10">
        <v>44418.363437499997</v>
      </c>
      <c r="O6" s="2" t="str">
        <f>HYPERLINK("http://dx.doi.org/10.1289/EHP6774","10.1289/EHP6774")</f>
        <v>10.1289/EHP6774</v>
      </c>
      <c r="P6" s="49" t="s">
        <v>677</v>
      </c>
      <c r="Q6" s="49" t="s">
        <v>678</v>
      </c>
      <c r="R6" s="49" t="s">
        <v>679</v>
      </c>
      <c r="S6" s="52" t="s">
        <v>316</v>
      </c>
      <c r="T6" s="64" t="str">
        <f>HYPERLINK("https://www.ncbi.nlm.nih.gov/research/pubtator/?view=docsum&amp;query=PMC7687371","1")</f>
        <v>1</v>
      </c>
      <c r="U6" s="52"/>
      <c r="V6" s="52"/>
      <c r="W6" s="52"/>
      <c r="X6" s="52"/>
    </row>
    <row r="7" spans="1:24" ht="15.95" customHeight="1" x14ac:dyDescent="0.25">
      <c r="A7" s="2" t="str">
        <f>HYPERLINK("https://www.ncbi.nlm.nih.gov/pubmed/33181237","33181237")</f>
        <v>33181237</v>
      </c>
      <c r="B7" s="52">
        <v>1</v>
      </c>
      <c r="C7" s="52">
        <v>0</v>
      </c>
      <c r="D7" s="52">
        <v>0</v>
      </c>
      <c r="E7" s="52" t="s">
        <v>383</v>
      </c>
      <c r="F7" s="17"/>
      <c r="G7" s="50"/>
      <c r="H7" s="52">
        <v>2021</v>
      </c>
      <c r="I7" s="52" t="s">
        <v>680</v>
      </c>
      <c r="J7" s="52" t="s">
        <v>682</v>
      </c>
      <c r="K7" s="52" t="s">
        <v>683</v>
      </c>
      <c r="L7" s="52"/>
      <c r="M7" s="52" t="s">
        <v>681</v>
      </c>
      <c r="N7" s="10">
        <v>44418.363437499997</v>
      </c>
      <c r="O7" s="2" t="str">
        <f>HYPERLINK("http://dx.doi.org/10.1016/j.yrtph.2020.104820","10.1016/j.yrtph.2020.104820")</f>
        <v>10.1016/j.yrtph.2020.104820</v>
      </c>
      <c r="P7" s="49" t="s">
        <v>684</v>
      </c>
      <c r="Q7" s="49" t="s">
        <v>383</v>
      </c>
      <c r="R7" s="49" t="s">
        <v>685</v>
      </c>
      <c r="S7" s="52" t="s">
        <v>316</v>
      </c>
      <c r="T7" s="65">
        <v>0</v>
      </c>
      <c r="U7" s="52"/>
      <c r="V7" s="52"/>
      <c r="W7" s="52"/>
      <c r="X7" s="52"/>
    </row>
    <row r="8" spans="1:24" ht="15.95" customHeight="1" x14ac:dyDescent="0.25">
      <c r="A8" s="2" t="str">
        <f>HYPERLINK("https://www.ncbi.nlm.nih.gov/pubmed/33005594","33005594")</f>
        <v>33005594</v>
      </c>
      <c r="B8" s="52">
        <v>1</v>
      </c>
      <c r="C8" s="52">
        <v>0</v>
      </c>
      <c r="D8" s="52">
        <v>0</v>
      </c>
      <c r="E8" s="52" t="s">
        <v>383</v>
      </c>
      <c r="F8" s="17" t="s">
        <v>383</v>
      </c>
      <c r="G8" s="50" t="s">
        <v>383</v>
      </c>
      <c r="H8" s="52">
        <v>2020</v>
      </c>
      <c r="I8" s="52" t="s">
        <v>686</v>
      </c>
      <c r="J8" s="52" t="s">
        <v>688</v>
      </c>
      <c r="K8" s="52" t="s">
        <v>689</v>
      </c>
      <c r="L8" s="52" t="s">
        <v>383</v>
      </c>
      <c r="M8" s="52" t="s">
        <v>687</v>
      </c>
      <c r="N8" s="10">
        <v>44418.363437499997</v>
      </c>
      <c r="O8" s="2" t="str">
        <f>HYPERLINK("http://dx.doi.org/10.1007/s43188-019-00036-y","10.1007/s43188-019-00036-y")</f>
        <v>10.1007/s43188-019-00036-y</v>
      </c>
      <c r="P8" s="49" t="s">
        <v>639</v>
      </c>
      <c r="Q8" s="49" t="s">
        <v>690</v>
      </c>
      <c r="R8" s="49" t="s">
        <v>691</v>
      </c>
      <c r="S8" s="52" t="s">
        <v>316</v>
      </c>
      <c r="T8" s="64" t="str">
        <f>HYPERLINK("https://www.ncbi.nlm.nih.gov/research/pubtator/?view=docsum&amp;query=PMC7494705","1")</f>
        <v>1</v>
      </c>
      <c r="U8" s="2" t="s">
        <v>738</v>
      </c>
      <c r="V8" s="52"/>
      <c r="W8" s="52"/>
      <c r="X8" s="52"/>
    </row>
    <row r="9" spans="1:24" ht="15.95" customHeight="1" x14ac:dyDescent="0.25">
      <c r="A9" s="2" t="str">
        <f>HYPERLINK("https://www.ncbi.nlm.nih.gov/pubmed/32738380","32738380")</f>
        <v>32738380</v>
      </c>
      <c r="B9" s="52">
        <v>1</v>
      </c>
      <c r="C9" s="52">
        <v>0</v>
      </c>
      <c r="D9" s="52">
        <v>0</v>
      </c>
      <c r="E9" s="52" t="s">
        <v>383</v>
      </c>
      <c r="F9" s="17"/>
      <c r="G9" s="50"/>
      <c r="H9" s="52">
        <v>2020</v>
      </c>
      <c r="I9" s="52" t="s">
        <v>692</v>
      </c>
      <c r="J9" s="52" t="s">
        <v>694</v>
      </c>
      <c r="K9" s="52" t="s">
        <v>695</v>
      </c>
      <c r="L9" s="52"/>
      <c r="M9" s="52" t="s">
        <v>693</v>
      </c>
      <c r="N9" s="10">
        <v>44418.363437499997</v>
      </c>
      <c r="O9" s="2" t="str">
        <f>HYPERLINK("http://dx.doi.org/10.1016/j.fct.2020.111603","10.1016/j.fct.2020.111603")</f>
        <v>10.1016/j.fct.2020.111603</v>
      </c>
      <c r="P9" s="49" t="s">
        <v>696</v>
      </c>
      <c r="Q9" s="49" t="s">
        <v>383</v>
      </c>
      <c r="R9" s="49" t="s">
        <v>697</v>
      </c>
      <c r="S9" s="52" t="s">
        <v>316</v>
      </c>
      <c r="T9" s="65">
        <v>0</v>
      </c>
      <c r="U9" s="52"/>
      <c r="V9" s="52"/>
      <c r="W9" s="52"/>
      <c r="X9" s="52"/>
    </row>
    <row r="10" spans="1:24" ht="15.95" customHeight="1" x14ac:dyDescent="0.25">
      <c r="A10" s="2" t="str">
        <f>HYPERLINK("https://www.ncbi.nlm.nih.gov/pubmed/32712134","32712134")</f>
        <v>32712134</v>
      </c>
      <c r="B10" s="52">
        <v>1</v>
      </c>
      <c r="C10" s="52">
        <v>0</v>
      </c>
      <c r="D10" s="52">
        <v>0</v>
      </c>
      <c r="E10" s="52" t="s">
        <v>383</v>
      </c>
      <c r="F10" s="17"/>
      <c r="G10" s="50"/>
      <c r="H10" s="52">
        <v>2020</v>
      </c>
      <c r="I10" s="52" t="s">
        <v>698</v>
      </c>
      <c r="J10" s="52" t="s">
        <v>700</v>
      </c>
      <c r="K10" s="52" t="s">
        <v>701</v>
      </c>
      <c r="L10" s="52"/>
      <c r="M10" s="52" t="s">
        <v>699</v>
      </c>
      <c r="N10" s="10">
        <v>44418.363437499997</v>
      </c>
      <c r="O10" s="2" t="str">
        <f>HYPERLINK("http://dx.doi.org/10.1016/j.ntt.2020.106917","10.1016/j.ntt.2020.106917")</f>
        <v>10.1016/j.ntt.2020.106917</v>
      </c>
      <c r="P10" s="49" t="s">
        <v>702</v>
      </c>
      <c r="Q10" s="49" t="s">
        <v>383</v>
      </c>
      <c r="R10" s="49" t="s">
        <v>703</v>
      </c>
      <c r="S10" s="52" t="s">
        <v>316</v>
      </c>
      <c r="T10" s="65">
        <v>0</v>
      </c>
      <c r="U10" s="52"/>
      <c r="V10" s="52"/>
      <c r="W10" s="52"/>
      <c r="X10" s="52"/>
    </row>
    <row r="11" spans="1:24" ht="15.95" customHeight="1" x14ac:dyDescent="0.25">
      <c r="A11" s="2" t="str">
        <f>HYPERLINK("https://www.ncbi.nlm.nih.gov/pubmed/32247919","32247919")</f>
        <v>32247919</v>
      </c>
      <c r="B11" s="52">
        <v>1</v>
      </c>
      <c r="C11" s="52">
        <v>0</v>
      </c>
      <c r="D11" s="52">
        <v>0</v>
      </c>
      <c r="E11" s="52" t="s">
        <v>383</v>
      </c>
      <c r="F11" s="17"/>
      <c r="G11" s="50"/>
      <c r="H11" s="52">
        <v>2020</v>
      </c>
      <c r="I11" s="52" t="s">
        <v>704</v>
      </c>
      <c r="J11" s="52" t="s">
        <v>706</v>
      </c>
      <c r="K11" s="52" t="s">
        <v>707</v>
      </c>
      <c r="L11" s="52"/>
      <c r="M11" s="52" t="s">
        <v>705</v>
      </c>
      <c r="N11" s="10">
        <v>44418.363437499997</v>
      </c>
      <c r="O11" s="2" t="str">
        <f>HYPERLINK("http://dx.doi.org/10.1016/j.envpol.2020.114326","10.1016/j.envpol.2020.114326")</f>
        <v>10.1016/j.envpol.2020.114326</v>
      </c>
      <c r="P11" s="49" t="s">
        <v>708</v>
      </c>
      <c r="Q11" s="49" t="s">
        <v>709</v>
      </c>
      <c r="R11" s="49" t="s">
        <v>710</v>
      </c>
      <c r="S11" s="52" t="s">
        <v>316</v>
      </c>
      <c r="T11" s="65">
        <v>0</v>
      </c>
      <c r="U11" s="52"/>
      <c r="V11" s="52"/>
      <c r="W11" s="52"/>
      <c r="X11" s="52"/>
    </row>
    <row r="12" spans="1:24" ht="15.95" customHeight="1" x14ac:dyDescent="0.25">
      <c r="A12" s="2" t="str">
        <f>HYPERLINK("https://www.ncbi.nlm.nih.gov/pubmed/32199216","32199216")</f>
        <v>32199216</v>
      </c>
      <c r="B12" s="52">
        <v>1</v>
      </c>
      <c r="C12" s="52">
        <v>0</v>
      </c>
      <c r="D12" s="52">
        <v>0</v>
      </c>
      <c r="E12" s="52" t="s">
        <v>383</v>
      </c>
      <c r="F12" s="17"/>
      <c r="G12" s="50"/>
      <c r="H12" s="52">
        <v>2020</v>
      </c>
      <c r="I12" s="52" t="s">
        <v>711</v>
      </c>
      <c r="J12" s="52" t="s">
        <v>713</v>
      </c>
      <c r="K12" s="52" t="s">
        <v>714</v>
      </c>
      <c r="L12" s="52"/>
      <c r="M12" s="52" t="s">
        <v>712</v>
      </c>
      <c r="N12" s="10">
        <v>44418.363437499997</v>
      </c>
      <c r="O12" s="2" t="str">
        <f>HYPERLINK("http://dx.doi.org/10.1016/j.ecoenv.2020.110460","10.1016/j.ecoenv.2020.110460")</f>
        <v>10.1016/j.ecoenv.2020.110460</v>
      </c>
      <c r="P12" s="49" t="s">
        <v>715</v>
      </c>
      <c r="Q12" s="49" t="s">
        <v>383</v>
      </c>
      <c r="R12" s="49" t="s">
        <v>716</v>
      </c>
      <c r="S12" s="52" t="s">
        <v>316</v>
      </c>
      <c r="T12" s="65">
        <v>0</v>
      </c>
      <c r="U12" s="52"/>
      <c r="V12" s="52"/>
      <c r="W12" s="52"/>
      <c r="X12" s="52"/>
    </row>
    <row r="13" spans="1:24" ht="15.95" customHeight="1" x14ac:dyDescent="0.25">
      <c r="A13" s="2" t="str">
        <f>HYPERLINK("https://www.ncbi.nlm.nih.gov/pubmed/32171874","32171874")</f>
        <v>32171874</v>
      </c>
      <c r="B13" s="52">
        <v>1</v>
      </c>
      <c r="C13" s="52">
        <v>0</v>
      </c>
      <c r="D13" s="52">
        <v>0</v>
      </c>
      <c r="E13" s="52" t="s">
        <v>383</v>
      </c>
      <c r="F13" s="17"/>
      <c r="G13" s="50"/>
      <c r="H13" s="52">
        <v>2020</v>
      </c>
      <c r="I13" s="52" t="s">
        <v>717</v>
      </c>
      <c r="J13" s="52" t="s">
        <v>719</v>
      </c>
      <c r="K13" s="52" t="s">
        <v>695</v>
      </c>
      <c r="L13" s="52"/>
      <c r="M13" s="52" t="s">
        <v>718</v>
      </c>
      <c r="N13" s="10">
        <v>44418.363437499997</v>
      </c>
      <c r="O13" s="2" t="str">
        <f>HYPERLINK("http://dx.doi.org/10.1016/j.fct.2020.111256","10.1016/j.fct.2020.111256")</f>
        <v>10.1016/j.fct.2020.111256</v>
      </c>
      <c r="P13" s="49" t="s">
        <v>720</v>
      </c>
      <c r="Q13" s="49" t="s">
        <v>383</v>
      </c>
      <c r="R13" s="49" t="s">
        <v>721</v>
      </c>
      <c r="S13" s="52" t="s">
        <v>316</v>
      </c>
      <c r="T13" s="65">
        <v>0</v>
      </c>
      <c r="U13" s="52"/>
      <c r="V13" s="52"/>
      <c r="W13" s="52"/>
      <c r="X13" s="52"/>
    </row>
    <row r="14" spans="1:24" ht="15.95" customHeight="1" x14ac:dyDescent="0.25">
      <c r="A14" s="2" t="str">
        <f>HYPERLINK("https://www.ncbi.nlm.nih.gov/pubmed/30711860","30711860")</f>
        <v>30711860</v>
      </c>
      <c r="B14" s="52">
        <v>1</v>
      </c>
      <c r="C14" s="52">
        <v>0</v>
      </c>
      <c r="D14" s="52">
        <v>0</v>
      </c>
      <c r="E14" s="52" t="s">
        <v>383</v>
      </c>
      <c r="F14" s="17"/>
      <c r="G14" s="50"/>
      <c r="H14" s="52">
        <v>2019</v>
      </c>
      <c r="I14" s="52" t="s">
        <v>722</v>
      </c>
      <c r="J14" s="52" t="s">
        <v>724</v>
      </c>
      <c r="K14" s="52" t="s">
        <v>714</v>
      </c>
      <c r="L14" s="52"/>
      <c r="M14" s="52" t="s">
        <v>723</v>
      </c>
      <c r="N14" s="10">
        <v>44418.363437499997</v>
      </c>
      <c r="O14" s="2" t="str">
        <f>HYPERLINK("http://dx.doi.org/10.1016/j.ecoenv.2019.01.085","10.1016/j.ecoenv.2019.01.085")</f>
        <v>10.1016/j.ecoenv.2019.01.085</v>
      </c>
      <c r="P14" s="49" t="s">
        <v>725</v>
      </c>
      <c r="Q14" s="49" t="s">
        <v>383</v>
      </c>
      <c r="R14" s="49" t="s">
        <v>726</v>
      </c>
      <c r="S14" s="52" t="s">
        <v>316</v>
      </c>
      <c r="T14" s="65">
        <v>0</v>
      </c>
      <c r="U14" s="52"/>
      <c r="V14" s="52"/>
      <c r="W14" s="52"/>
      <c r="X14" s="52"/>
    </row>
    <row r="15" spans="1:24" ht="15.95" customHeight="1" x14ac:dyDescent="0.25">
      <c r="A15" s="2" t="str">
        <f>HYPERLINK("https://www.ncbi.nlm.nih.gov/pubmed/30635749","30635749")</f>
        <v>30635749</v>
      </c>
      <c r="B15" s="52">
        <v>1</v>
      </c>
      <c r="C15" s="52">
        <v>0</v>
      </c>
      <c r="D15" s="52">
        <v>0</v>
      </c>
      <c r="E15" s="52" t="s">
        <v>383</v>
      </c>
      <c r="F15" s="17"/>
      <c r="G15" s="50"/>
      <c r="H15" s="52">
        <v>2019</v>
      </c>
      <c r="I15" s="52" t="s">
        <v>727</v>
      </c>
      <c r="J15" s="52" t="s">
        <v>729</v>
      </c>
      <c r="K15" s="52" t="s">
        <v>730</v>
      </c>
      <c r="L15" s="52"/>
      <c r="M15" s="52" t="s">
        <v>728</v>
      </c>
      <c r="N15" s="10">
        <v>44418.363437499997</v>
      </c>
      <c r="O15" s="2" t="str">
        <f>HYPERLINK("http://dx.doi.org/10.1007/s10646-018-2000-y","10.1007/s10646-018-2000-y")</f>
        <v>10.1007/s10646-018-2000-y</v>
      </c>
      <c r="P15" s="49" t="s">
        <v>731</v>
      </c>
      <c r="Q15" s="49" t="s">
        <v>638</v>
      </c>
      <c r="R15" s="49" t="s">
        <v>732</v>
      </c>
      <c r="S15" s="52" t="s">
        <v>316</v>
      </c>
      <c r="T15" s="65">
        <v>0</v>
      </c>
      <c r="U15" s="52"/>
      <c r="V15" s="52"/>
      <c r="W15" s="52"/>
      <c r="X15" s="52"/>
    </row>
    <row r="16" spans="1:24" ht="15.95" customHeight="1" x14ac:dyDescent="0.25">
      <c r="A16" s="2" t="str">
        <f>HYPERLINK("https://www.ncbi.nlm.nih.gov/pubmed/30200244","30200244")</f>
        <v>30200244</v>
      </c>
      <c r="B16" s="52">
        <v>1</v>
      </c>
      <c r="C16" s="52">
        <v>0</v>
      </c>
      <c r="D16" s="52">
        <v>0</v>
      </c>
      <c r="E16" s="52" t="s">
        <v>383</v>
      </c>
      <c r="F16" s="17"/>
      <c r="G16" s="50"/>
      <c r="H16" s="52">
        <v>2018</v>
      </c>
      <c r="I16" s="52" t="s">
        <v>733</v>
      </c>
      <c r="J16" s="52" t="s">
        <v>735</v>
      </c>
      <c r="K16" s="52" t="s">
        <v>736</v>
      </c>
      <c r="L16" s="52"/>
      <c r="M16" s="52" t="s">
        <v>734</v>
      </c>
      <c r="N16" s="10">
        <v>44418.363437499997</v>
      </c>
      <c r="O16" s="2" t="str">
        <f>HYPERLINK("http://dx.doi.org/10.3390/molecules23092192","10.3390/molecules23092192")</f>
        <v>10.3390/molecules23092192</v>
      </c>
      <c r="P16" s="49" t="s">
        <v>737</v>
      </c>
      <c r="Q16" s="49" t="s">
        <v>660</v>
      </c>
      <c r="R16" s="49" t="s">
        <v>383</v>
      </c>
      <c r="S16" s="52" t="s">
        <v>316</v>
      </c>
      <c r="T16" s="64" t="str">
        <f>HYPERLINK("https://www.ncbi.nlm.nih.gov/research/pubtator/?view=docsum&amp;query=PMC6225315","1")</f>
        <v>1</v>
      </c>
      <c r="U16" s="52"/>
      <c r="V16" s="52"/>
      <c r="W16" s="52"/>
      <c r="X16" s="52"/>
    </row>
    <row r="17" spans="1:24" ht="15.95" customHeight="1" x14ac:dyDescent="0.25">
      <c r="A17" s="2" t="str">
        <f>HYPERLINK("https://www.ncbi.nlm.nih.gov/pubmed/33925709","33925709")</f>
        <v>33925709</v>
      </c>
      <c r="B17" s="52">
        <v>1</v>
      </c>
      <c r="C17" s="52">
        <v>0</v>
      </c>
      <c r="D17" s="52">
        <v>0</v>
      </c>
      <c r="E17" s="52" t="s">
        <v>383</v>
      </c>
      <c r="F17" s="17"/>
      <c r="G17" s="50"/>
      <c r="H17" s="52">
        <v>2021</v>
      </c>
      <c r="I17" s="52" t="s">
        <v>655</v>
      </c>
      <c r="J17" s="52" t="s">
        <v>657</v>
      </c>
      <c r="K17" s="52" t="s">
        <v>658</v>
      </c>
      <c r="L17" s="52"/>
      <c r="M17" s="52" t="s">
        <v>739</v>
      </c>
      <c r="N17" s="10">
        <v>44427.69871527778</v>
      </c>
      <c r="O17" s="2" t="str">
        <f>HYPERLINK("http://dx.doi.org/10.3390/ijerph18094664","10.3390/ijerph18094664")</f>
        <v>10.3390/ijerph18094664</v>
      </c>
      <c r="P17" s="49">
        <v>18</v>
      </c>
      <c r="Q17" s="49">
        <v>9</v>
      </c>
      <c r="R17" s="49"/>
      <c r="S17" s="52" t="s">
        <v>316</v>
      </c>
      <c r="T17" s="64" t="str">
        <f>HYPERLINK("https://www.ncbi.nlm.nih.gov/research/pubtator/?view=docsum&amp;query=PMC8124988","1")</f>
        <v>1</v>
      </c>
      <c r="U17" s="52"/>
      <c r="V17" s="52"/>
      <c r="W17" s="52"/>
      <c r="X17" s="52"/>
    </row>
  </sheetData>
  <autoFilter ref="A2:V2" xr:uid="{10CBB06F-25BF-4942-9DB7-774B797AD1A0}">
    <sortState xmlns:xlrd2="http://schemas.microsoft.com/office/spreadsheetml/2017/richdata2" ref="A3:V12">
      <sortCondition sortBy="cellColor" ref="I2" dxfId="106"/>
    </sortState>
  </autoFilter>
  <conditionalFormatting sqref="B3">
    <cfRule type="cellIs" dxfId="59" priority="60" stopIfTrue="1" operator="equal">
      <formula>1</formula>
    </cfRule>
  </conditionalFormatting>
  <conditionalFormatting sqref="C3">
    <cfRule type="cellIs" dxfId="58" priority="59" stopIfTrue="1" operator="equal">
      <formula>1</formula>
    </cfRule>
  </conditionalFormatting>
  <conditionalFormatting sqref="D3">
    <cfRule type="cellIs" dxfId="57" priority="58" stopIfTrue="1" operator="equal">
      <formula>1</formula>
    </cfRule>
  </conditionalFormatting>
  <conditionalFormatting sqref="B3:D3">
    <cfRule type="cellIs" dxfId="56" priority="57" stopIfTrue="1" operator="equal">
      <formula>0</formula>
    </cfRule>
  </conditionalFormatting>
  <conditionalFormatting sqref="B4">
    <cfRule type="cellIs" dxfId="55" priority="56" stopIfTrue="1" operator="equal">
      <formula>1</formula>
    </cfRule>
  </conditionalFormatting>
  <conditionalFormatting sqref="C4">
    <cfRule type="cellIs" dxfId="54" priority="55" stopIfTrue="1" operator="equal">
      <formula>1</formula>
    </cfRule>
  </conditionalFormatting>
  <conditionalFormatting sqref="D4">
    <cfRule type="cellIs" dxfId="53" priority="54" stopIfTrue="1" operator="equal">
      <formula>1</formula>
    </cfRule>
  </conditionalFormatting>
  <conditionalFormatting sqref="B4:D4">
    <cfRule type="cellIs" dxfId="52" priority="53" stopIfTrue="1" operator="equal">
      <formula>0</formula>
    </cfRule>
  </conditionalFormatting>
  <conditionalFormatting sqref="B5">
    <cfRule type="cellIs" dxfId="51" priority="52" stopIfTrue="1" operator="equal">
      <formula>1</formula>
    </cfRule>
  </conditionalFormatting>
  <conditionalFormatting sqref="C5">
    <cfRule type="cellIs" dxfId="50" priority="51" stopIfTrue="1" operator="equal">
      <formula>1</formula>
    </cfRule>
  </conditionalFormatting>
  <conditionalFormatting sqref="D5">
    <cfRule type="cellIs" dxfId="49" priority="50" stopIfTrue="1" operator="equal">
      <formula>1</formula>
    </cfRule>
  </conditionalFormatting>
  <conditionalFormatting sqref="B5:D5">
    <cfRule type="cellIs" dxfId="48" priority="49" stopIfTrue="1" operator="equal">
      <formula>0</formula>
    </cfRule>
  </conditionalFormatting>
  <conditionalFormatting sqref="B6">
    <cfRule type="cellIs" dxfId="47" priority="48" stopIfTrue="1" operator="equal">
      <formula>1</formula>
    </cfRule>
  </conditionalFormatting>
  <conditionalFormatting sqref="C6">
    <cfRule type="cellIs" dxfId="46" priority="47" stopIfTrue="1" operator="equal">
      <formula>1</formula>
    </cfRule>
  </conditionalFormatting>
  <conditionalFormatting sqref="D6">
    <cfRule type="cellIs" dxfId="45" priority="46" stopIfTrue="1" operator="equal">
      <formula>1</formula>
    </cfRule>
  </conditionalFormatting>
  <conditionalFormatting sqref="B6:D6">
    <cfRule type="cellIs" dxfId="44" priority="45" stopIfTrue="1" operator="equal">
      <formula>0</formula>
    </cfRule>
  </conditionalFormatting>
  <conditionalFormatting sqref="B7">
    <cfRule type="cellIs" dxfId="43" priority="44" stopIfTrue="1" operator="equal">
      <formula>1</formula>
    </cfRule>
  </conditionalFormatting>
  <conditionalFormatting sqref="C7">
    <cfRule type="cellIs" dxfId="42" priority="43" stopIfTrue="1" operator="equal">
      <formula>1</formula>
    </cfRule>
  </conditionalFormatting>
  <conditionalFormatting sqref="D7">
    <cfRule type="cellIs" dxfId="41" priority="42" stopIfTrue="1" operator="equal">
      <formula>1</formula>
    </cfRule>
  </conditionalFormatting>
  <conditionalFormatting sqref="B7:D7">
    <cfRule type="cellIs" dxfId="40" priority="41" stopIfTrue="1" operator="equal">
      <formula>0</formula>
    </cfRule>
  </conditionalFormatting>
  <conditionalFormatting sqref="B8">
    <cfRule type="cellIs" dxfId="39" priority="40" stopIfTrue="1" operator="equal">
      <formula>1</formula>
    </cfRule>
  </conditionalFormatting>
  <conditionalFormatting sqref="C8">
    <cfRule type="cellIs" dxfId="38" priority="39" stopIfTrue="1" operator="equal">
      <formula>1</formula>
    </cfRule>
  </conditionalFormatting>
  <conditionalFormatting sqref="D8">
    <cfRule type="cellIs" dxfId="37" priority="38" stopIfTrue="1" operator="equal">
      <formula>1</formula>
    </cfRule>
  </conditionalFormatting>
  <conditionalFormatting sqref="B8:D8">
    <cfRule type="cellIs" dxfId="36" priority="37" stopIfTrue="1" operator="equal">
      <formula>0</formula>
    </cfRule>
  </conditionalFormatting>
  <conditionalFormatting sqref="B9">
    <cfRule type="cellIs" dxfId="35" priority="36" stopIfTrue="1" operator="equal">
      <formula>1</formula>
    </cfRule>
  </conditionalFormatting>
  <conditionalFormatting sqref="C9">
    <cfRule type="cellIs" dxfId="34" priority="35" stopIfTrue="1" operator="equal">
      <formula>1</formula>
    </cfRule>
  </conditionalFormatting>
  <conditionalFormatting sqref="D9">
    <cfRule type="cellIs" dxfId="33" priority="34" stopIfTrue="1" operator="equal">
      <formula>1</formula>
    </cfRule>
  </conditionalFormatting>
  <conditionalFormatting sqref="B9:D9">
    <cfRule type="cellIs" dxfId="32" priority="33" stopIfTrue="1" operator="equal">
      <formula>0</formula>
    </cfRule>
  </conditionalFormatting>
  <conditionalFormatting sqref="B10">
    <cfRule type="cellIs" dxfId="31" priority="32" stopIfTrue="1" operator="equal">
      <formula>1</formula>
    </cfRule>
  </conditionalFormatting>
  <conditionalFormatting sqref="C10">
    <cfRule type="cellIs" dxfId="30" priority="31" stopIfTrue="1" operator="equal">
      <formula>1</formula>
    </cfRule>
  </conditionalFormatting>
  <conditionalFormatting sqref="D10">
    <cfRule type="cellIs" dxfId="29" priority="30" stopIfTrue="1" operator="equal">
      <formula>1</formula>
    </cfRule>
  </conditionalFormatting>
  <conditionalFormatting sqref="B10:D10">
    <cfRule type="cellIs" dxfId="28" priority="29" stopIfTrue="1" operator="equal">
      <formula>0</formula>
    </cfRule>
  </conditionalFormatting>
  <conditionalFormatting sqref="B11">
    <cfRule type="cellIs" dxfId="27" priority="28" stopIfTrue="1" operator="equal">
      <formula>1</formula>
    </cfRule>
  </conditionalFormatting>
  <conditionalFormatting sqref="C11">
    <cfRule type="cellIs" dxfId="26" priority="27" stopIfTrue="1" operator="equal">
      <formula>1</formula>
    </cfRule>
  </conditionalFormatting>
  <conditionalFormatting sqref="D11">
    <cfRule type="cellIs" dxfId="25" priority="26" stopIfTrue="1" operator="equal">
      <formula>1</formula>
    </cfRule>
  </conditionalFormatting>
  <conditionalFormatting sqref="B11:D11">
    <cfRule type="cellIs" dxfId="24" priority="25" stopIfTrue="1" operator="equal">
      <formula>0</formula>
    </cfRule>
  </conditionalFormatting>
  <conditionalFormatting sqref="B12">
    <cfRule type="cellIs" dxfId="23" priority="24" stopIfTrue="1" operator="equal">
      <formula>1</formula>
    </cfRule>
  </conditionalFormatting>
  <conditionalFormatting sqref="C12">
    <cfRule type="cellIs" dxfId="22" priority="23" stopIfTrue="1" operator="equal">
      <formula>1</formula>
    </cfRule>
  </conditionalFormatting>
  <conditionalFormatting sqref="D12">
    <cfRule type="cellIs" dxfId="21" priority="22" stopIfTrue="1" operator="equal">
      <formula>1</formula>
    </cfRule>
  </conditionalFormatting>
  <conditionalFormatting sqref="B12:D12">
    <cfRule type="cellIs" dxfId="20" priority="21" stopIfTrue="1" operator="equal">
      <formula>0</formula>
    </cfRule>
  </conditionalFormatting>
  <conditionalFormatting sqref="B13">
    <cfRule type="cellIs" dxfId="19" priority="20" stopIfTrue="1" operator="equal">
      <formula>1</formula>
    </cfRule>
  </conditionalFormatting>
  <conditionalFormatting sqref="C13">
    <cfRule type="cellIs" dxfId="18" priority="19" stopIfTrue="1" operator="equal">
      <formula>1</formula>
    </cfRule>
  </conditionalFormatting>
  <conditionalFormatting sqref="D13">
    <cfRule type="cellIs" dxfId="17" priority="18" stopIfTrue="1" operator="equal">
      <formula>1</formula>
    </cfRule>
  </conditionalFormatting>
  <conditionalFormatting sqref="B13:D13">
    <cfRule type="cellIs" dxfId="16" priority="17" stopIfTrue="1" operator="equal">
      <formula>0</formula>
    </cfRule>
  </conditionalFormatting>
  <conditionalFormatting sqref="B14">
    <cfRule type="cellIs" dxfId="15" priority="16" stopIfTrue="1" operator="equal">
      <formula>1</formula>
    </cfRule>
  </conditionalFormatting>
  <conditionalFormatting sqref="C14">
    <cfRule type="cellIs" dxfId="14" priority="15" stopIfTrue="1" operator="equal">
      <formula>1</formula>
    </cfRule>
  </conditionalFormatting>
  <conditionalFormatting sqref="D14">
    <cfRule type="cellIs" dxfId="13" priority="14" stopIfTrue="1" operator="equal">
      <formula>1</formula>
    </cfRule>
  </conditionalFormatting>
  <conditionalFormatting sqref="B14:D14">
    <cfRule type="cellIs" dxfId="12" priority="13" stopIfTrue="1" operator="equal">
      <formula>0</formula>
    </cfRule>
  </conditionalFormatting>
  <conditionalFormatting sqref="B15">
    <cfRule type="cellIs" dxfId="11" priority="12" stopIfTrue="1" operator="equal">
      <formula>1</formula>
    </cfRule>
  </conditionalFormatting>
  <conditionalFormatting sqref="C15">
    <cfRule type="cellIs" dxfId="10" priority="11" stopIfTrue="1" operator="equal">
      <formula>1</formula>
    </cfRule>
  </conditionalFormatting>
  <conditionalFormatting sqref="D15">
    <cfRule type="cellIs" dxfId="9" priority="10" stopIfTrue="1" operator="equal">
      <formula>1</formula>
    </cfRule>
  </conditionalFormatting>
  <conditionalFormatting sqref="B15:D15">
    <cfRule type="cellIs" dxfId="8" priority="9" stopIfTrue="1" operator="equal">
      <formula>0</formula>
    </cfRule>
  </conditionalFormatting>
  <conditionalFormatting sqref="B16">
    <cfRule type="cellIs" dxfId="7" priority="8" stopIfTrue="1" operator="equal">
      <formula>1</formula>
    </cfRule>
  </conditionalFormatting>
  <conditionalFormatting sqref="C16">
    <cfRule type="cellIs" dxfId="6" priority="7" stopIfTrue="1" operator="equal">
      <formula>1</formula>
    </cfRule>
  </conditionalFormatting>
  <conditionalFormatting sqref="D16">
    <cfRule type="cellIs" dxfId="5" priority="6" stopIfTrue="1" operator="equal">
      <formula>1</formula>
    </cfRule>
  </conditionalFormatting>
  <conditionalFormatting sqref="B16:D16">
    <cfRule type="cellIs" dxfId="4" priority="5" stopIfTrue="1" operator="equal">
      <formula>0</formula>
    </cfRule>
  </conditionalFormatting>
  <conditionalFormatting sqref="B17">
    <cfRule type="cellIs" dxfId="3" priority="4" stopIfTrue="1" operator="equal">
      <formula>1</formula>
    </cfRule>
  </conditionalFormatting>
  <conditionalFormatting sqref="C17">
    <cfRule type="cellIs" dxfId="2" priority="3" stopIfTrue="1" operator="equal">
      <formula>1</formula>
    </cfRule>
  </conditionalFormatting>
  <conditionalFormatting sqref="D17">
    <cfRule type="cellIs" dxfId="1" priority="2" stopIfTrue="1" operator="equal">
      <formula>1</formula>
    </cfRule>
  </conditionalFormatting>
  <conditionalFormatting sqref="B17:D17">
    <cfRule type="cellIs" dxfId="0" priority="1" stopIfTrue="1" operator="equal">
      <formula>0</formula>
    </cfRule>
  </conditionalFormatting>
  <hyperlinks>
    <hyperlink ref="U8" r:id="rId1" xr:uid="{54EA0123-74C2-4FAB-AE8C-774A8A776A99}"/>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5" r:id="rId5" name="Button 3">
              <controlPr defaultSize="0" print="0" autoFill="0" autoPict="0" macro="[0]!BackToMain">
                <anchor moveWithCells="1" sizeWithCells="1">
                  <from>
                    <xdr:col>6</xdr:col>
                    <xdr:colOff>171450</xdr:colOff>
                    <xdr:row>0</xdr:row>
                    <xdr:rowOff>47625</xdr:rowOff>
                  </from>
                  <to>
                    <xdr:col>6</xdr:col>
                    <xdr:colOff>1295400</xdr:colOff>
                    <xdr:row>0</xdr:row>
                    <xdr:rowOff>485775</xdr:rowOff>
                  </to>
                </anchor>
              </controlPr>
            </control>
          </mc:Choice>
        </mc:AlternateContent>
        <mc:AlternateContent xmlns:mc="http://schemas.openxmlformats.org/markup-compatibility/2006">
          <mc:Choice Requires="x14">
            <control shapeId="3076" r:id="rId6" name="Button 4">
              <controlPr defaultSize="0" print="0" autoFill="0" autoPict="0" macro="[0]!HighlightNotedPMIDs">
                <anchor moveWithCells="1" sizeWithCells="1">
                  <from>
                    <xdr:col>8</xdr:col>
                    <xdr:colOff>923925</xdr:colOff>
                    <xdr:row>0</xdr:row>
                    <xdr:rowOff>57150</xdr:rowOff>
                  </from>
                  <to>
                    <xdr:col>8</xdr:col>
                    <xdr:colOff>2152650</xdr:colOff>
                    <xdr:row>0</xdr:row>
                    <xdr:rowOff>466725</xdr:rowOff>
                  </to>
                </anchor>
              </controlPr>
            </control>
          </mc:Choice>
        </mc:AlternateContent>
        <mc:AlternateContent xmlns:mc="http://schemas.openxmlformats.org/markup-compatibility/2006">
          <mc:Choice Requires="x14">
            <control shapeId="3079" r:id="rId7" name="Button 7">
              <controlPr defaultSize="0" print="0" autoFill="0" autoPict="0" macro="[0]!notes_format_export">
                <anchor moveWithCells="1" sizeWithCells="1">
                  <from>
                    <xdr:col>8</xdr:col>
                    <xdr:colOff>2638425</xdr:colOff>
                    <xdr:row>0</xdr:row>
                    <xdr:rowOff>66675</xdr:rowOff>
                  </from>
                  <to>
                    <xdr:col>8</xdr:col>
                    <xdr:colOff>3581400</xdr:colOff>
                    <xdr:row>0</xdr:row>
                    <xdr:rowOff>485775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5"/>
  <sheetViews>
    <sheetView zoomScale="110" zoomScaleNormal="110" workbookViewId="0">
      <pane ySplit="1" topLeftCell="A2" activePane="bottomLeft" state="frozen"/>
      <selection pane="bottomLeft" activeCell="K4" sqref="K4"/>
    </sheetView>
  </sheetViews>
  <sheetFormatPr defaultRowHeight="15" x14ac:dyDescent="0.25"/>
  <cols>
    <col min="1" max="1" width="14.140625" customWidth="1"/>
    <col min="2" max="2" width="144.5703125" customWidth="1"/>
    <col min="3" max="3" width="18.7109375" hidden="1" customWidth="1"/>
    <col min="4" max="4" width="7.7109375" customWidth="1"/>
    <col min="5" max="5" width="18.42578125" customWidth="1"/>
    <col min="6" max="6" width="14.7109375" customWidth="1"/>
    <col min="10" max="10" width="11" customWidth="1"/>
  </cols>
  <sheetData>
    <row r="1" spans="1:11" ht="43.5" customHeight="1" thickBot="1" x14ac:dyDescent="0.4">
      <c r="A1" s="72" t="s">
        <v>1</v>
      </c>
      <c r="B1" s="72"/>
    </row>
    <row r="2" spans="1:11" ht="20.25" thickTop="1" thickBot="1" x14ac:dyDescent="0.35">
      <c r="A2" s="25" t="s">
        <v>321</v>
      </c>
      <c r="B2" s="39" t="str">
        <f>HYPERLINK("https://www.ncbi.nlm.nih.gov/pubmed/28753074","28753074")</f>
        <v>28753074</v>
      </c>
      <c r="C2">
        <v>20</v>
      </c>
      <c r="D2" s="16" t="s">
        <v>21</v>
      </c>
      <c r="E2" s="16" t="s">
        <v>9</v>
      </c>
      <c r="F2" s="16" t="s">
        <v>19</v>
      </c>
      <c r="G2" s="16" t="s">
        <v>317</v>
      </c>
      <c r="H2" s="16" t="s">
        <v>318</v>
      </c>
      <c r="I2" s="16" t="s">
        <v>319</v>
      </c>
      <c r="J2" s="16" t="s">
        <v>324</v>
      </c>
      <c r="K2" s="16" t="s">
        <v>217</v>
      </c>
    </row>
    <row r="3" spans="1:11" ht="19.5" hidden="1" customHeight="1" thickTop="1" x14ac:dyDescent="0.3">
      <c r="A3" s="25" t="s">
        <v>322</v>
      </c>
      <c r="B3" s="39" t="str">
        <f>HYPERLINK("https://www.ncbi.nlm.nih.gov/pubmed/28753074","28753074")</f>
        <v>28753074</v>
      </c>
      <c r="F3" t="s">
        <v>316</v>
      </c>
      <c r="H3" s="40"/>
      <c r="I3" s="40"/>
    </row>
    <row r="4" spans="1:11" ht="44.25" customHeight="1" thickTop="1" x14ac:dyDescent="0.25">
      <c r="A4" s="26" t="s">
        <v>2</v>
      </c>
      <c r="B4" s="59" t="s">
        <v>6526</v>
      </c>
      <c r="C4" s="60"/>
      <c r="D4" s="61">
        <v>2018</v>
      </c>
      <c r="E4" s="62" t="s">
        <v>6527</v>
      </c>
      <c r="F4" s="6" t="s">
        <v>4832</v>
      </c>
      <c r="G4" s="6">
        <v>56</v>
      </c>
      <c r="H4" s="41" t="s">
        <v>750</v>
      </c>
      <c r="I4" s="41" t="s">
        <v>6528</v>
      </c>
      <c r="J4" s="43" t="str">
        <f>HYPERLINK("http://dx.doi.org/10.1080/15563650.2017.1355057","10.1080/15563650.2017.1355057")</f>
        <v>10.1080/15563650.2017.1355057</v>
      </c>
      <c r="K4" s="68">
        <v>0</v>
      </c>
    </row>
    <row r="5" spans="1:11" ht="409.5" customHeight="1" x14ac:dyDescent="0.25">
      <c r="A5" s="27" t="s">
        <v>3</v>
      </c>
      <c r="B5" s="63" t="s">
        <v>6530</v>
      </c>
      <c r="J5" t="s">
        <v>363</v>
      </c>
    </row>
  </sheetData>
  <mergeCells count="1">
    <mergeCell ref="A1:B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oBack">
                <anchor moveWithCells="1" sizeWithCells="1">
                  <from>
                    <xdr:col>1</xdr:col>
                    <xdr:colOff>1609725</xdr:colOff>
                    <xdr:row>0</xdr:row>
                    <xdr:rowOff>85725</xdr:rowOff>
                  </from>
                  <to>
                    <xdr:col>1</xdr:col>
                    <xdr:colOff>2428875</xdr:colOff>
                    <xdr:row>0</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Sheet1.TakeNotes">
                <anchor moveWithCells="1" sizeWithCells="1">
                  <from>
                    <xdr:col>1</xdr:col>
                    <xdr:colOff>5686425</xdr:colOff>
                    <xdr:row>0</xdr:row>
                    <xdr:rowOff>76200</xdr:rowOff>
                  </from>
                  <to>
                    <xdr:col>1</xdr:col>
                    <xdr:colOff>6400800</xdr:colOff>
                    <xdr:row>0</xdr:row>
                    <xdr:rowOff>428625</xdr:rowOff>
                  </to>
                </anchor>
              </controlPr>
            </control>
          </mc:Choice>
        </mc:AlternateContent>
        <mc:AlternateContent xmlns:mc="http://schemas.openxmlformats.org/markup-compatibility/2006">
          <mc:Choice Requires="x14">
            <control shapeId="7171" r:id="rId6" name="Button 3">
              <controlPr defaultSize="0" print="0" autoFill="0" autoPict="0" macro="[0]!GoToNotes">
                <anchor moveWithCells="1" sizeWithCells="1">
                  <from>
                    <xdr:col>1</xdr:col>
                    <xdr:colOff>6800850</xdr:colOff>
                    <xdr:row>0</xdr:row>
                    <xdr:rowOff>85725</xdr:rowOff>
                  </from>
                  <to>
                    <xdr:col>1</xdr:col>
                    <xdr:colOff>7858125</xdr:colOff>
                    <xdr:row>0</xdr:row>
                    <xdr:rowOff>409575</xdr:rowOff>
                  </to>
                </anchor>
              </controlPr>
            </control>
          </mc:Choice>
        </mc:AlternateContent>
        <mc:AlternateContent xmlns:mc="http://schemas.openxmlformats.org/markup-compatibility/2006">
          <mc:Choice Requires="x14">
            <control shapeId="7172" r:id="rId7" name="Button 4">
              <controlPr defaultSize="0" print="0" autoFill="0" autoPict="0" macro="[0]!call_likegetcount">
                <anchor moveWithCells="1" sizeWithCells="1">
                  <from>
                    <xdr:col>1</xdr:col>
                    <xdr:colOff>8029575</xdr:colOff>
                    <xdr:row>0</xdr:row>
                    <xdr:rowOff>66675</xdr:rowOff>
                  </from>
                  <to>
                    <xdr:col>1</xdr:col>
                    <xdr:colOff>9124950</xdr:colOff>
                    <xdr:row>0</xdr:row>
                    <xdr:rowOff>409575</xdr:rowOff>
                  </to>
                </anchor>
              </controlPr>
            </control>
          </mc:Choice>
        </mc:AlternateContent>
        <mc:AlternateContent xmlns:mc="http://schemas.openxmlformats.org/markup-compatibility/2006">
          <mc:Choice Requires="x14">
            <control shapeId="7173" r:id="rId8" name="Button 5">
              <controlPr defaultSize="0" print="0" autoFill="0" autoPict="0" macro="[0]!prevmainRecord">
                <anchor moveWithCells="1" sizeWithCells="1">
                  <from>
                    <xdr:col>1</xdr:col>
                    <xdr:colOff>2609850</xdr:colOff>
                    <xdr:row>0</xdr:row>
                    <xdr:rowOff>104775</xdr:rowOff>
                  </from>
                  <to>
                    <xdr:col>1</xdr:col>
                    <xdr:colOff>2914650</xdr:colOff>
                    <xdr:row>0</xdr:row>
                    <xdr:rowOff>447675</xdr:rowOff>
                  </to>
                </anchor>
              </controlPr>
            </control>
          </mc:Choice>
        </mc:AlternateContent>
        <mc:AlternateContent xmlns:mc="http://schemas.openxmlformats.org/markup-compatibility/2006">
          <mc:Choice Requires="x14">
            <control shapeId="7174" r:id="rId9" name="Button 6">
              <controlPr defaultSize="0" print="0" autoFill="0" autoPict="0" macro="[0]!nextMainRecord">
                <anchor moveWithCells="1" sizeWithCells="1">
                  <from>
                    <xdr:col>1</xdr:col>
                    <xdr:colOff>2924175</xdr:colOff>
                    <xdr:row>0</xdr:row>
                    <xdr:rowOff>114300</xdr:rowOff>
                  </from>
                  <to>
                    <xdr:col>1</xdr:col>
                    <xdr:colOff>3228975</xdr:colOff>
                    <xdr:row>0</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AF7FC-CC9A-45CB-BB09-6ADA478F2951}">
  <sheetPr codeName="Sheet8"/>
  <dimension ref="A1:E57"/>
  <sheetViews>
    <sheetView workbookViewId="0">
      <pane ySplit="3" topLeftCell="A31" activePane="bottomLeft" state="frozen"/>
      <selection pane="bottomLeft" activeCell="A44" sqref="A44:XFD44"/>
    </sheetView>
  </sheetViews>
  <sheetFormatPr defaultColWidth="12.5703125" defaultRowHeight="15" x14ac:dyDescent="0.25"/>
  <cols>
    <col min="1" max="1" width="19.5703125" customWidth="1"/>
    <col min="2" max="2" width="24" customWidth="1"/>
    <col min="3" max="3" width="12.5703125" hidden="1" customWidth="1"/>
    <col min="4" max="4" width="145.42578125" customWidth="1"/>
  </cols>
  <sheetData>
    <row r="1" spans="1:5" ht="42" customHeight="1" thickBot="1" x14ac:dyDescent="0.35">
      <c r="A1" s="20" t="s">
        <v>60</v>
      </c>
      <c r="C1" s="20"/>
      <c r="D1" s="21" t="s">
        <v>32</v>
      </c>
    </row>
    <row r="2" spans="1:5" ht="15.75" thickTop="1" x14ac:dyDescent="0.25"/>
    <row r="3" spans="1:5" ht="15.75" thickBot="1" x14ac:dyDescent="0.3">
      <c r="A3" s="1" t="s">
        <v>61</v>
      </c>
      <c r="B3" s="1" t="s">
        <v>29</v>
      </c>
      <c r="C3" s="1" t="s">
        <v>246</v>
      </c>
      <c r="D3" s="1" t="s">
        <v>30</v>
      </c>
      <c r="E3" s="18" t="s">
        <v>31</v>
      </c>
    </row>
    <row r="4" spans="1:5" ht="14.25" customHeight="1" x14ac:dyDescent="0.25">
      <c r="A4" t="s">
        <v>62</v>
      </c>
      <c r="B4" t="s">
        <v>63</v>
      </c>
      <c r="D4" t="s">
        <v>312</v>
      </c>
      <c r="E4" t="s">
        <v>64</v>
      </c>
    </row>
    <row r="5" spans="1:5" ht="14.25" customHeight="1" x14ac:dyDescent="0.25">
      <c r="A5" t="s">
        <v>65</v>
      </c>
      <c r="B5" t="s">
        <v>66</v>
      </c>
      <c r="D5" t="s">
        <v>67</v>
      </c>
    </row>
    <row r="6" spans="1:5" ht="14.25" customHeight="1" x14ac:dyDescent="0.25">
      <c r="A6" t="s">
        <v>68</v>
      </c>
      <c r="B6" t="s">
        <v>69</v>
      </c>
      <c r="D6" t="s">
        <v>70</v>
      </c>
    </row>
    <row r="7" spans="1:5" ht="14.25" customHeight="1" x14ac:dyDescent="0.25">
      <c r="A7" t="s">
        <v>68</v>
      </c>
      <c r="B7" t="s">
        <v>71</v>
      </c>
      <c r="D7" t="s">
        <v>72</v>
      </c>
    </row>
    <row r="8" spans="1:5" ht="14.25" customHeight="1" x14ac:dyDescent="0.25">
      <c r="A8" t="s">
        <v>68</v>
      </c>
      <c r="B8" t="s">
        <v>73</v>
      </c>
      <c r="D8" t="s">
        <v>74</v>
      </c>
    </row>
    <row r="9" spans="1:5" ht="14.25" customHeight="1" x14ac:dyDescent="0.25">
      <c r="A9" t="s">
        <v>68</v>
      </c>
      <c r="B9" t="s">
        <v>261</v>
      </c>
      <c r="D9" t="s">
        <v>262</v>
      </c>
    </row>
    <row r="10" spans="1:5" ht="14.25" customHeight="1" x14ac:dyDescent="0.25">
      <c r="A10" t="s">
        <v>135</v>
      </c>
      <c r="B10" t="s">
        <v>136</v>
      </c>
      <c r="D10" s="42" t="s">
        <v>327</v>
      </c>
    </row>
    <row r="11" spans="1:5" ht="14.25" customHeight="1" x14ac:dyDescent="0.25">
      <c r="A11" t="s">
        <v>309</v>
      </c>
      <c r="B11" t="s">
        <v>309</v>
      </c>
      <c r="D11" t="s">
        <v>310</v>
      </c>
    </row>
    <row r="12" spans="1:5" x14ac:dyDescent="0.25">
      <c r="A12" t="s">
        <v>75</v>
      </c>
      <c r="B12" t="s">
        <v>76</v>
      </c>
      <c r="D12" t="s">
        <v>77</v>
      </c>
      <c r="E12" t="s">
        <v>78</v>
      </c>
    </row>
    <row r="13" spans="1:5" x14ac:dyDescent="0.25">
      <c r="A13" t="s">
        <v>79</v>
      </c>
      <c r="B13" t="s">
        <v>79</v>
      </c>
      <c r="D13" t="s">
        <v>80</v>
      </c>
    </row>
    <row r="14" spans="1:5" x14ac:dyDescent="0.25">
      <c r="A14" t="s">
        <v>81</v>
      </c>
      <c r="B14" t="s">
        <v>82</v>
      </c>
      <c r="D14" t="s">
        <v>83</v>
      </c>
    </row>
    <row r="15" spans="1:5" x14ac:dyDescent="0.25">
      <c r="A15" t="s">
        <v>81</v>
      </c>
      <c r="B15" t="s">
        <v>84</v>
      </c>
      <c r="D15" t="s">
        <v>85</v>
      </c>
    </row>
    <row r="16" spans="1:5" x14ac:dyDescent="0.25">
      <c r="A16" t="s">
        <v>86</v>
      </c>
      <c r="B16" t="s">
        <v>87</v>
      </c>
      <c r="D16" t="s">
        <v>88</v>
      </c>
    </row>
    <row r="17" spans="1:5" x14ac:dyDescent="0.25">
      <c r="A17" t="s">
        <v>89</v>
      </c>
      <c r="B17" t="s">
        <v>90</v>
      </c>
      <c r="D17" t="s">
        <v>91</v>
      </c>
    </row>
    <row r="18" spans="1:5" x14ac:dyDescent="0.25">
      <c r="A18" t="s">
        <v>92</v>
      </c>
      <c r="B18" t="s">
        <v>93</v>
      </c>
      <c r="D18" t="s">
        <v>94</v>
      </c>
    </row>
    <row r="19" spans="1:5" x14ac:dyDescent="0.25">
      <c r="A19" t="s">
        <v>92</v>
      </c>
      <c r="B19" t="s">
        <v>95</v>
      </c>
      <c r="D19" t="s">
        <v>96</v>
      </c>
    </row>
    <row r="20" spans="1:5" x14ac:dyDescent="0.25">
      <c r="A20" t="s">
        <v>92</v>
      </c>
      <c r="B20" t="s">
        <v>97</v>
      </c>
      <c r="D20" t="s">
        <v>209</v>
      </c>
    </row>
    <row r="21" spans="1:5" x14ac:dyDescent="0.25">
      <c r="A21" t="s">
        <v>98</v>
      </c>
      <c r="B21" t="s">
        <v>99</v>
      </c>
      <c r="D21" t="s">
        <v>100</v>
      </c>
    </row>
    <row r="22" spans="1:5" x14ac:dyDescent="0.25">
      <c r="A22" t="s">
        <v>98</v>
      </c>
      <c r="B22" t="s">
        <v>101</v>
      </c>
      <c r="D22" t="s">
        <v>313</v>
      </c>
    </row>
    <row r="23" spans="1:5" x14ac:dyDescent="0.25">
      <c r="A23" t="s">
        <v>104</v>
      </c>
      <c r="B23" t="s">
        <v>105</v>
      </c>
      <c r="D23" t="s">
        <v>106</v>
      </c>
    </row>
    <row r="24" spans="1:5" x14ac:dyDescent="0.25">
      <c r="A24" t="s">
        <v>98</v>
      </c>
      <c r="B24" t="s">
        <v>107</v>
      </c>
      <c r="D24" t="s">
        <v>197</v>
      </c>
    </row>
    <row r="25" spans="1:5" x14ac:dyDescent="0.25">
      <c r="A25" t="s">
        <v>98</v>
      </c>
      <c r="B25" t="s">
        <v>190</v>
      </c>
      <c r="D25" t="s">
        <v>263</v>
      </c>
    </row>
    <row r="26" spans="1:5" x14ac:dyDescent="0.25">
      <c r="A26" t="s">
        <v>98</v>
      </c>
      <c r="B26" t="s">
        <v>102</v>
      </c>
      <c r="D26" t="s">
        <v>103</v>
      </c>
    </row>
    <row r="27" spans="1:5" x14ac:dyDescent="0.25">
      <c r="A27" t="s">
        <v>98</v>
      </c>
      <c r="B27" t="s">
        <v>333</v>
      </c>
      <c r="D27" t="s">
        <v>349</v>
      </c>
      <c r="E27" t="s">
        <v>334</v>
      </c>
    </row>
    <row r="28" spans="1:5" x14ac:dyDescent="0.25">
      <c r="A28" t="s">
        <v>108</v>
      </c>
      <c r="B28" t="s">
        <v>109</v>
      </c>
      <c r="D28" t="s">
        <v>110</v>
      </c>
    </row>
    <row r="29" spans="1:5" x14ac:dyDescent="0.25">
      <c r="A29" t="s">
        <v>108</v>
      </c>
      <c r="B29" t="s">
        <v>111</v>
      </c>
      <c r="D29" t="s">
        <v>112</v>
      </c>
    </row>
    <row r="30" spans="1:5" x14ac:dyDescent="0.25">
      <c r="A30" t="s">
        <v>108</v>
      </c>
      <c r="B30" t="s">
        <v>113</v>
      </c>
      <c r="D30" t="s">
        <v>114</v>
      </c>
    </row>
    <row r="31" spans="1:5" x14ac:dyDescent="0.25">
      <c r="A31" t="s">
        <v>108</v>
      </c>
      <c r="B31" t="s">
        <v>115</v>
      </c>
      <c r="D31" t="s">
        <v>116</v>
      </c>
    </row>
    <row r="32" spans="1:5" x14ac:dyDescent="0.25">
      <c r="A32" t="s">
        <v>108</v>
      </c>
      <c r="B32" t="s">
        <v>117</v>
      </c>
      <c r="D32" t="s">
        <v>380</v>
      </c>
    </row>
    <row r="33" spans="1:5" x14ac:dyDescent="0.25">
      <c r="A33" t="s">
        <v>108</v>
      </c>
      <c r="B33" t="s">
        <v>118</v>
      </c>
      <c r="D33" t="s">
        <v>119</v>
      </c>
    </row>
    <row r="34" spans="1:5" x14ac:dyDescent="0.25">
      <c r="A34" t="s">
        <v>108</v>
      </c>
      <c r="B34" t="s">
        <v>120</v>
      </c>
      <c r="D34" t="s">
        <v>121</v>
      </c>
    </row>
    <row r="35" spans="1:5" ht="15.75" customHeight="1" x14ac:dyDescent="0.25">
      <c r="A35" t="s">
        <v>122</v>
      </c>
      <c r="B35" t="s">
        <v>123</v>
      </c>
      <c r="D35" t="s">
        <v>124</v>
      </c>
    </row>
    <row r="36" spans="1:5" x14ac:dyDescent="0.25">
      <c r="A36" t="s">
        <v>122</v>
      </c>
      <c r="B36" t="s">
        <v>125</v>
      </c>
      <c r="D36" t="s">
        <v>126</v>
      </c>
    </row>
    <row r="37" spans="1:5" x14ac:dyDescent="0.25">
      <c r="A37" t="s">
        <v>108</v>
      </c>
      <c r="B37" t="s">
        <v>268</v>
      </c>
      <c r="D37" t="s">
        <v>269</v>
      </c>
    </row>
    <row r="38" spans="1:5" x14ac:dyDescent="0.25">
      <c r="A38" t="s">
        <v>335</v>
      </c>
      <c r="B38" t="s">
        <v>336</v>
      </c>
      <c r="D38" s="44" t="s">
        <v>337</v>
      </c>
      <c r="E38" t="s">
        <v>338</v>
      </c>
    </row>
    <row r="39" spans="1:5" x14ac:dyDescent="0.25">
      <c r="A39" t="s">
        <v>335</v>
      </c>
      <c r="B39" t="s">
        <v>339</v>
      </c>
      <c r="D39" s="44" t="s">
        <v>340</v>
      </c>
      <c r="E39" t="s">
        <v>338</v>
      </c>
    </row>
    <row r="40" spans="1:5" x14ac:dyDescent="0.25">
      <c r="A40" t="s">
        <v>357</v>
      </c>
      <c r="B40" t="s">
        <v>359</v>
      </c>
      <c r="D40" s="8" t="s">
        <v>399</v>
      </c>
    </row>
    <row r="41" spans="1:5" x14ac:dyDescent="0.25">
      <c r="A41" t="s">
        <v>357</v>
      </c>
      <c r="B41" t="s">
        <v>360</v>
      </c>
      <c r="D41" s="8" t="s">
        <v>358</v>
      </c>
    </row>
    <row r="42" spans="1:5" s="52" customFormat="1" x14ac:dyDescent="0.25">
      <c r="A42" s="52" t="s">
        <v>405</v>
      </c>
      <c r="B42" s="52" t="s">
        <v>406</v>
      </c>
      <c r="D42" s="52" t="s">
        <v>420</v>
      </c>
    </row>
    <row r="43" spans="1:5" s="52" customFormat="1" x14ac:dyDescent="0.25">
      <c r="A43" s="52" t="s">
        <v>405</v>
      </c>
      <c r="B43" s="52" t="s">
        <v>407</v>
      </c>
      <c r="D43" s="52" t="s">
        <v>419</v>
      </c>
    </row>
    <row r="44" spans="1:5" x14ac:dyDescent="0.25">
      <c r="A44" t="s">
        <v>98</v>
      </c>
      <c r="B44" t="s">
        <v>214</v>
      </c>
      <c r="D44" s="35" t="s">
        <v>215</v>
      </c>
    </row>
    <row r="45" spans="1:5" s="52" customFormat="1" x14ac:dyDescent="0.25">
      <c r="A45" s="52" t="s">
        <v>601</v>
      </c>
      <c r="B45" s="52" t="s">
        <v>601</v>
      </c>
      <c r="D45" s="52" t="s">
        <v>602</v>
      </c>
    </row>
    <row r="46" spans="1:5" s="52" customFormat="1" x14ac:dyDescent="0.25">
      <c r="A46" s="52" t="s">
        <v>603</v>
      </c>
      <c r="B46" s="52" t="s">
        <v>604</v>
      </c>
      <c r="D46" s="52" t="s">
        <v>605</v>
      </c>
    </row>
    <row r="47" spans="1:5" s="52" customFormat="1" x14ac:dyDescent="0.25">
      <c r="A47" s="52" t="s">
        <v>606</v>
      </c>
      <c r="B47" s="52" t="s">
        <v>607</v>
      </c>
      <c r="D47" s="52" t="s">
        <v>608</v>
      </c>
    </row>
    <row r="48" spans="1:5" s="52" customFormat="1" x14ac:dyDescent="0.25">
      <c r="A48" s="52" t="s">
        <v>609</v>
      </c>
      <c r="B48" s="52" t="s">
        <v>610</v>
      </c>
      <c r="D48" s="52" t="s">
        <v>611</v>
      </c>
    </row>
    <row r="49" spans="1:4" s="52" customFormat="1" x14ac:dyDescent="0.25">
      <c r="A49" s="52" t="s">
        <v>603</v>
      </c>
      <c r="B49" s="52" t="s">
        <v>612</v>
      </c>
      <c r="D49" s="52" t="s">
        <v>613</v>
      </c>
    </row>
    <row r="50" spans="1:4" s="52" customFormat="1" x14ac:dyDescent="0.25">
      <c r="A50" s="52" t="s">
        <v>614</v>
      </c>
      <c r="B50" s="52" t="s">
        <v>615</v>
      </c>
      <c r="D50" s="52" t="s">
        <v>616</v>
      </c>
    </row>
    <row r="51" spans="1:4" s="52" customFormat="1" x14ac:dyDescent="0.25">
      <c r="A51" s="52" t="s">
        <v>603</v>
      </c>
      <c r="B51" s="52" t="s">
        <v>617</v>
      </c>
      <c r="D51" s="52" t="s">
        <v>618</v>
      </c>
    </row>
    <row r="52" spans="1:4" s="52" customFormat="1" x14ac:dyDescent="0.25">
      <c r="A52" s="52" t="s">
        <v>619</v>
      </c>
      <c r="B52" s="52" t="s">
        <v>620</v>
      </c>
      <c r="D52" s="52" t="s">
        <v>621</v>
      </c>
    </row>
    <row r="53" spans="1:4" s="52" customFormat="1" ht="15" customHeight="1" x14ac:dyDescent="0.25">
      <c r="A53" s="52" t="s">
        <v>622</v>
      </c>
      <c r="B53" s="52" t="s">
        <v>623</v>
      </c>
      <c r="D53" s="52" t="s">
        <v>624</v>
      </c>
    </row>
    <row r="54" spans="1:4" s="52" customFormat="1" x14ac:dyDescent="0.25">
      <c r="A54" s="52" t="s">
        <v>625</v>
      </c>
      <c r="B54" s="52" t="s">
        <v>625</v>
      </c>
      <c r="D54" s="52" t="s">
        <v>626</v>
      </c>
    </row>
    <row r="55" spans="1:4" x14ac:dyDescent="0.25">
      <c r="A55" t="s">
        <v>642</v>
      </c>
      <c r="B55" t="s">
        <v>643</v>
      </c>
      <c r="D55" t="s">
        <v>644</v>
      </c>
    </row>
    <row r="56" spans="1:4" x14ac:dyDescent="0.25">
      <c r="A56" t="s">
        <v>651</v>
      </c>
      <c r="B56" t="s">
        <v>649</v>
      </c>
      <c r="D56" s="52" t="s">
        <v>647</v>
      </c>
    </row>
    <row r="57" spans="1:4" x14ac:dyDescent="0.25">
      <c r="A57" t="s">
        <v>651</v>
      </c>
      <c r="B57" t="s">
        <v>650</v>
      </c>
      <c r="D57" s="52" t="s">
        <v>648</v>
      </c>
    </row>
  </sheetData>
  <autoFilter ref="A3:E3" xr:uid="{77302AC5-7E1D-429E-B4DB-B5C98715EDAB}"/>
  <hyperlinks>
    <hyperlink ref="D15" r:id="rId1" display="https://meshb.nlm.nih.gov/record/ui?ui=D013223" xr:uid="{1D82F65F-8C72-450B-A8F5-9E79A322F5A6}"/>
    <hyperlink ref="D16" r:id="rId2" display="https://meshb.nlm.nih.gov/record/ui?ui=D066298" xr:uid="{2C1C003C-5A28-48D7-AA86-E7D6C1046950}"/>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sendQueries">
                <anchor moveWithCells="1" sizeWithCells="1">
                  <from>
                    <xdr:col>3</xdr:col>
                    <xdr:colOff>4286250</xdr:colOff>
                    <xdr:row>0</xdr:row>
                    <xdr:rowOff>76200</xdr:rowOff>
                  </from>
                  <to>
                    <xdr:col>3</xdr:col>
                    <xdr:colOff>6019800</xdr:colOff>
                    <xdr:row>0</xdr:row>
                    <xdr:rowOff>438150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A3AC4-3AFC-4B4A-931D-225BC4EAB9BD}">
  <sheetPr codeName="Sheet10"/>
  <dimension ref="A1:E62"/>
  <sheetViews>
    <sheetView workbookViewId="0">
      <pane ySplit="3" topLeftCell="A34" activePane="bottomLeft" state="frozen"/>
      <selection pane="bottomLeft" activeCell="A60" sqref="A60:XFD60"/>
    </sheetView>
  </sheetViews>
  <sheetFormatPr defaultRowHeight="15" x14ac:dyDescent="0.25"/>
  <cols>
    <col min="1" max="1" width="16.42578125" customWidth="1"/>
    <col min="2" max="2" width="36.5703125" customWidth="1"/>
    <col min="3" max="3" width="61.42578125" customWidth="1"/>
    <col min="4" max="4" width="22.28515625" customWidth="1"/>
    <col min="5" max="5" width="16.85546875" customWidth="1"/>
  </cols>
  <sheetData>
    <row r="1" spans="1:5" ht="51.75" customHeight="1" thickBot="1" x14ac:dyDescent="0.35">
      <c r="A1" s="46" t="s">
        <v>364</v>
      </c>
      <c r="D1" s="7" t="s">
        <v>653</v>
      </c>
    </row>
    <row r="2" spans="1:5" ht="15.75" thickTop="1" x14ac:dyDescent="0.25">
      <c r="A2" s="70" t="s">
        <v>365</v>
      </c>
      <c r="B2" s="70"/>
      <c r="C2" s="70"/>
      <c r="D2" s="73" t="s">
        <v>439</v>
      </c>
      <c r="E2" s="73"/>
    </row>
    <row r="3" spans="1:5" x14ac:dyDescent="0.25">
      <c r="A3" s="47" t="s">
        <v>366</v>
      </c>
      <c r="B3" s="47" t="s">
        <v>418</v>
      </c>
      <c r="C3" s="47" t="s">
        <v>367</v>
      </c>
      <c r="D3" s="47"/>
      <c r="E3" s="47"/>
    </row>
    <row r="4" spans="1:5" x14ac:dyDescent="0.25">
      <c r="A4" s="2" t="s">
        <v>442</v>
      </c>
      <c r="B4" s="52" t="s">
        <v>443</v>
      </c>
      <c r="C4" s="52" t="s">
        <v>444</v>
      </c>
      <c r="D4" s="52">
        <v>1</v>
      </c>
    </row>
    <row r="5" spans="1:5" x14ac:dyDescent="0.25">
      <c r="A5" s="2" t="s">
        <v>445</v>
      </c>
      <c r="B5" s="52" t="s">
        <v>446</v>
      </c>
      <c r="C5" s="52" t="s">
        <v>447</v>
      </c>
      <c r="D5" s="52">
        <v>1</v>
      </c>
    </row>
    <row r="6" spans="1:5" x14ac:dyDescent="0.25">
      <c r="A6" s="2" t="s">
        <v>448</v>
      </c>
      <c r="B6" s="52" t="s">
        <v>449</v>
      </c>
      <c r="C6" s="52" t="s">
        <v>450</v>
      </c>
      <c r="D6" s="52">
        <v>1</v>
      </c>
    </row>
    <row r="7" spans="1:5" x14ac:dyDescent="0.25">
      <c r="A7" s="2" t="s">
        <v>424</v>
      </c>
      <c r="B7" s="52" t="s">
        <v>425</v>
      </c>
      <c r="C7" s="52" t="s">
        <v>451</v>
      </c>
      <c r="D7" s="52">
        <v>2</v>
      </c>
    </row>
    <row r="8" spans="1:5" x14ac:dyDescent="0.25">
      <c r="A8" s="2" t="s">
        <v>452</v>
      </c>
      <c r="B8" s="52" t="s">
        <v>453</v>
      </c>
      <c r="C8" s="52" t="s">
        <v>454</v>
      </c>
      <c r="D8" s="52">
        <v>1</v>
      </c>
    </row>
    <row r="9" spans="1:5" x14ac:dyDescent="0.25">
      <c r="A9" s="2" t="s">
        <v>455</v>
      </c>
      <c r="B9" s="52" t="s">
        <v>456</v>
      </c>
      <c r="C9" s="52" t="s">
        <v>457</v>
      </c>
      <c r="D9" s="52">
        <v>1</v>
      </c>
    </row>
    <row r="10" spans="1:5" x14ac:dyDescent="0.25">
      <c r="A10" s="2" t="s">
        <v>458</v>
      </c>
      <c r="B10" s="52" t="s">
        <v>459</v>
      </c>
      <c r="C10" s="52" t="s">
        <v>460</v>
      </c>
      <c r="D10" s="52">
        <v>1</v>
      </c>
    </row>
    <row r="11" spans="1:5" x14ac:dyDescent="0.25">
      <c r="A11" s="2" t="s">
        <v>461</v>
      </c>
      <c r="B11" s="52" t="s">
        <v>462</v>
      </c>
      <c r="C11" s="52" t="s">
        <v>463</v>
      </c>
      <c r="D11" s="52">
        <v>1</v>
      </c>
    </row>
    <row r="12" spans="1:5" x14ac:dyDescent="0.25">
      <c r="A12" s="2" t="s">
        <v>464</v>
      </c>
      <c r="B12" s="52" t="s">
        <v>465</v>
      </c>
      <c r="C12" s="52" t="s">
        <v>466</v>
      </c>
      <c r="D12" s="52">
        <v>1</v>
      </c>
    </row>
    <row r="13" spans="1:5" x14ac:dyDescent="0.25">
      <c r="A13" s="2" t="s">
        <v>445</v>
      </c>
      <c r="B13" s="52" t="s">
        <v>467</v>
      </c>
      <c r="C13" s="52" t="s">
        <v>447</v>
      </c>
      <c r="D13" s="52">
        <v>1</v>
      </c>
    </row>
    <row r="14" spans="1:5" x14ac:dyDescent="0.25">
      <c r="A14" s="2" t="s">
        <v>468</v>
      </c>
      <c r="B14" s="52" t="s">
        <v>469</v>
      </c>
      <c r="C14" s="52" t="s">
        <v>470</v>
      </c>
      <c r="D14" s="52">
        <v>2</v>
      </c>
    </row>
    <row r="15" spans="1:5" x14ac:dyDescent="0.25">
      <c r="A15" s="2" t="s">
        <v>471</v>
      </c>
      <c r="B15" s="52" t="s">
        <v>472</v>
      </c>
      <c r="C15" s="52" t="s">
        <v>473</v>
      </c>
      <c r="D15" s="52">
        <v>2</v>
      </c>
    </row>
    <row r="16" spans="1:5" x14ac:dyDescent="0.25">
      <c r="A16" s="2" t="s">
        <v>428</v>
      </c>
      <c r="B16" s="52" t="s">
        <v>6524</v>
      </c>
      <c r="C16" s="52" t="s">
        <v>474</v>
      </c>
      <c r="D16" s="52">
        <v>1</v>
      </c>
    </row>
    <row r="17" spans="1:4" x14ac:dyDescent="0.25">
      <c r="A17" s="2" t="s">
        <v>475</v>
      </c>
      <c r="B17" s="52" t="s">
        <v>476</v>
      </c>
      <c r="C17" s="52" t="s">
        <v>477</v>
      </c>
      <c r="D17" s="52">
        <v>1</v>
      </c>
    </row>
    <row r="18" spans="1:4" x14ac:dyDescent="0.25">
      <c r="A18" s="2" t="s">
        <v>478</v>
      </c>
      <c r="B18" s="52" t="s">
        <v>479</v>
      </c>
      <c r="C18" s="52" t="s">
        <v>480</v>
      </c>
      <c r="D18" s="52">
        <v>1</v>
      </c>
    </row>
    <row r="19" spans="1:4" x14ac:dyDescent="0.25">
      <c r="A19" s="2" t="s">
        <v>481</v>
      </c>
      <c r="B19" s="52" t="s">
        <v>482</v>
      </c>
      <c r="C19" s="52" t="s">
        <v>483</v>
      </c>
      <c r="D19" s="52">
        <v>1</v>
      </c>
    </row>
    <row r="20" spans="1:4" x14ac:dyDescent="0.25">
      <c r="A20" s="2" t="s">
        <v>431</v>
      </c>
      <c r="B20" s="52" t="s">
        <v>421</v>
      </c>
      <c r="C20" s="52" t="s">
        <v>484</v>
      </c>
      <c r="D20" s="52">
        <v>1</v>
      </c>
    </row>
    <row r="21" spans="1:4" x14ac:dyDescent="0.25">
      <c r="A21" s="2" t="s">
        <v>485</v>
      </c>
      <c r="B21" s="52" t="s">
        <v>486</v>
      </c>
      <c r="C21" s="52" t="s">
        <v>487</v>
      </c>
      <c r="D21" s="52">
        <v>2</v>
      </c>
    </row>
    <row r="22" spans="1:4" x14ac:dyDescent="0.25">
      <c r="A22" s="2" t="s">
        <v>488</v>
      </c>
      <c r="B22" s="52" t="s">
        <v>489</v>
      </c>
      <c r="C22" s="52" t="s">
        <v>490</v>
      </c>
      <c r="D22" s="52">
        <v>3</v>
      </c>
    </row>
    <row r="23" spans="1:4" x14ac:dyDescent="0.25">
      <c r="A23" s="2" t="s">
        <v>491</v>
      </c>
      <c r="B23" s="52" t="s">
        <v>492</v>
      </c>
      <c r="C23" s="52" t="s">
        <v>493</v>
      </c>
      <c r="D23" s="52">
        <v>1</v>
      </c>
    </row>
    <row r="24" spans="1:4" x14ac:dyDescent="0.25">
      <c r="A24" s="2" t="s">
        <v>494</v>
      </c>
      <c r="B24" s="52" t="s">
        <v>495</v>
      </c>
      <c r="C24" s="52" t="s">
        <v>496</v>
      </c>
      <c r="D24" s="52">
        <v>1</v>
      </c>
    </row>
    <row r="25" spans="1:4" x14ac:dyDescent="0.25">
      <c r="A25" s="2" t="s">
        <v>478</v>
      </c>
      <c r="B25" s="52" t="s">
        <v>497</v>
      </c>
      <c r="C25" s="52" t="s">
        <v>498</v>
      </c>
      <c r="D25" s="52">
        <v>1</v>
      </c>
    </row>
    <row r="26" spans="1:4" x14ac:dyDescent="0.25">
      <c r="A26" s="2" t="s">
        <v>499</v>
      </c>
      <c r="B26" s="52" t="s">
        <v>500</v>
      </c>
      <c r="C26" s="52" t="s">
        <v>501</v>
      </c>
      <c r="D26" s="52">
        <v>1</v>
      </c>
    </row>
    <row r="27" spans="1:4" x14ac:dyDescent="0.25">
      <c r="A27" s="2" t="s">
        <v>422</v>
      </c>
      <c r="B27" s="52" t="s">
        <v>423</v>
      </c>
      <c r="C27" s="52" t="s">
        <v>502</v>
      </c>
      <c r="D27" s="52">
        <v>3</v>
      </c>
    </row>
    <row r="28" spans="1:4" x14ac:dyDescent="0.25">
      <c r="A28" s="2" t="s">
        <v>503</v>
      </c>
      <c r="B28" s="52" t="s">
        <v>504</v>
      </c>
      <c r="C28" s="52" t="s">
        <v>505</v>
      </c>
      <c r="D28" s="52">
        <v>4</v>
      </c>
    </row>
    <row r="29" spans="1:4" x14ac:dyDescent="0.25">
      <c r="A29" s="2" t="s">
        <v>506</v>
      </c>
      <c r="B29" s="52" t="s">
        <v>507</v>
      </c>
      <c r="C29" s="52" t="s">
        <v>508</v>
      </c>
      <c r="D29" s="52">
        <v>1</v>
      </c>
    </row>
    <row r="30" spans="1:4" x14ac:dyDescent="0.25">
      <c r="A30" s="2" t="s">
        <v>509</v>
      </c>
      <c r="B30" s="52" t="s">
        <v>510</v>
      </c>
      <c r="C30" s="52" t="s">
        <v>511</v>
      </c>
      <c r="D30" s="52">
        <v>1</v>
      </c>
    </row>
    <row r="31" spans="1:4" x14ac:dyDescent="0.25">
      <c r="A31" s="2" t="s">
        <v>512</v>
      </c>
      <c r="B31" s="52" t="s">
        <v>513</v>
      </c>
      <c r="C31" s="52" t="s">
        <v>514</v>
      </c>
      <c r="D31" s="52">
        <v>1</v>
      </c>
    </row>
    <row r="32" spans="1:4" x14ac:dyDescent="0.25">
      <c r="A32" s="2" t="s">
        <v>515</v>
      </c>
      <c r="B32" s="52" t="s">
        <v>516</v>
      </c>
      <c r="C32" s="52" t="s">
        <v>516</v>
      </c>
      <c r="D32" s="52">
        <v>1</v>
      </c>
    </row>
    <row r="33" spans="1:4" x14ac:dyDescent="0.25">
      <c r="A33" s="2" t="s">
        <v>517</v>
      </c>
      <c r="B33" s="52" t="s">
        <v>518</v>
      </c>
      <c r="C33" s="52" t="s">
        <v>519</v>
      </c>
      <c r="D33" s="52">
        <v>1</v>
      </c>
    </row>
    <row r="34" spans="1:4" x14ac:dyDescent="0.25">
      <c r="A34" s="2" t="s">
        <v>520</v>
      </c>
      <c r="B34" s="52" t="s">
        <v>521</v>
      </c>
      <c r="C34" s="52" t="s">
        <v>522</v>
      </c>
      <c r="D34" s="52">
        <v>1</v>
      </c>
    </row>
    <row r="35" spans="1:4" x14ac:dyDescent="0.25">
      <c r="A35" s="2" t="s">
        <v>523</v>
      </c>
      <c r="B35" s="52" t="s">
        <v>524</v>
      </c>
      <c r="C35" s="52" t="s">
        <v>525</v>
      </c>
      <c r="D35" s="52">
        <v>1</v>
      </c>
    </row>
    <row r="36" spans="1:4" x14ac:dyDescent="0.25">
      <c r="A36" s="2" t="s">
        <v>526</v>
      </c>
      <c r="B36" s="52" t="s">
        <v>527</v>
      </c>
      <c r="C36" s="52" t="s">
        <v>528</v>
      </c>
      <c r="D36" s="52">
        <v>4</v>
      </c>
    </row>
    <row r="37" spans="1:4" x14ac:dyDescent="0.25">
      <c r="A37" s="2" t="s">
        <v>529</v>
      </c>
      <c r="B37" s="52" t="s">
        <v>6523</v>
      </c>
      <c r="C37" s="52" t="s">
        <v>530</v>
      </c>
      <c r="D37" s="52">
        <v>1</v>
      </c>
    </row>
    <row r="38" spans="1:4" x14ac:dyDescent="0.25">
      <c r="A38" s="2" t="s">
        <v>531</v>
      </c>
      <c r="B38" s="52" t="s">
        <v>532</v>
      </c>
      <c r="C38" s="52" t="s">
        <v>533</v>
      </c>
      <c r="D38" s="52">
        <v>1</v>
      </c>
    </row>
    <row r="39" spans="1:4" x14ac:dyDescent="0.25">
      <c r="A39" s="2" t="s">
        <v>426</v>
      </c>
      <c r="B39" s="52" t="s">
        <v>427</v>
      </c>
      <c r="C39" s="52" t="s">
        <v>534</v>
      </c>
      <c r="D39" s="52">
        <v>1</v>
      </c>
    </row>
    <row r="40" spans="1:4" x14ac:dyDescent="0.25">
      <c r="A40" s="2" t="s">
        <v>535</v>
      </c>
      <c r="B40" s="52" t="s">
        <v>536</v>
      </c>
      <c r="C40" s="52" t="s">
        <v>537</v>
      </c>
      <c r="D40" s="52">
        <v>1</v>
      </c>
    </row>
    <row r="41" spans="1:4" x14ac:dyDescent="0.25">
      <c r="A41" s="2" t="s">
        <v>538</v>
      </c>
      <c r="B41" s="52" t="s">
        <v>539</v>
      </c>
      <c r="C41" s="52" t="s">
        <v>540</v>
      </c>
      <c r="D41" s="52">
        <v>1</v>
      </c>
    </row>
    <row r="42" spans="1:4" x14ac:dyDescent="0.25">
      <c r="A42" s="2" t="s">
        <v>541</v>
      </c>
      <c r="B42" s="52" t="s">
        <v>542</v>
      </c>
      <c r="C42" s="52" t="s">
        <v>543</v>
      </c>
      <c r="D42" s="52">
        <v>1</v>
      </c>
    </row>
    <row r="43" spans="1:4" x14ac:dyDescent="0.25">
      <c r="A43" s="2" t="s">
        <v>544</v>
      </c>
      <c r="B43" s="52" t="s">
        <v>545</v>
      </c>
      <c r="C43" s="52" t="s">
        <v>546</v>
      </c>
      <c r="D43" s="52">
        <v>1</v>
      </c>
    </row>
    <row r="44" spans="1:4" x14ac:dyDescent="0.25">
      <c r="A44" s="2" t="s">
        <v>547</v>
      </c>
      <c r="B44" s="52" t="s">
        <v>548</v>
      </c>
      <c r="C44" s="52" t="s">
        <v>549</v>
      </c>
      <c r="D44" s="52">
        <v>1</v>
      </c>
    </row>
    <row r="45" spans="1:4" x14ac:dyDescent="0.25">
      <c r="A45" s="2" t="s">
        <v>402</v>
      </c>
      <c r="B45" s="52" t="s">
        <v>401</v>
      </c>
      <c r="C45" s="52" t="s">
        <v>415</v>
      </c>
      <c r="D45" s="52">
        <v>1</v>
      </c>
    </row>
    <row r="46" spans="1:4" x14ac:dyDescent="0.25">
      <c r="A46" s="2" t="s">
        <v>550</v>
      </c>
      <c r="B46" s="52" t="s">
        <v>551</v>
      </c>
      <c r="C46" s="52" t="s">
        <v>552</v>
      </c>
      <c r="D46" s="52">
        <v>1</v>
      </c>
    </row>
    <row r="47" spans="1:4" x14ac:dyDescent="0.25">
      <c r="A47" s="2" t="s">
        <v>553</v>
      </c>
      <c r="B47" s="52" t="s">
        <v>554</v>
      </c>
      <c r="C47" s="52" t="s">
        <v>555</v>
      </c>
      <c r="D47" s="52">
        <v>1</v>
      </c>
    </row>
    <row r="48" spans="1:4" x14ac:dyDescent="0.25">
      <c r="A48" s="2" t="s">
        <v>559</v>
      </c>
      <c r="B48" s="52" t="s">
        <v>560</v>
      </c>
      <c r="C48" s="52" t="s">
        <v>561</v>
      </c>
      <c r="D48" s="52">
        <v>1</v>
      </c>
    </row>
    <row r="49" spans="1:4" x14ac:dyDescent="0.25">
      <c r="A49" s="2" t="s">
        <v>562</v>
      </c>
      <c r="B49" s="52" t="s">
        <v>563</v>
      </c>
      <c r="C49" s="52" t="s">
        <v>564</v>
      </c>
      <c r="D49" s="52">
        <v>1</v>
      </c>
    </row>
    <row r="50" spans="1:4" x14ac:dyDescent="0.25">
      <c r="A50" s="2" t="s">
        <v>565</v>
      </c>
      <c r="B50" s="52" t="s">
        <v>566</v>
      </c>
      <c r="C50" s="52" t="s">
        <v>567</v>
      </c>
      <c r="D50" s="52">
        <v>1</v>
      </c>
    </row>
    <row r="51" spans="1:4" x14ac:dyDescent="0.25">
      <c r="A51" s="2" t="s">
        <v>568</v>
      </c>
      <c r="B51" s="52" t="s">
        <v>569</v>
      </c>
      <c r="C51" s="52" t="s">
        <v>570</v>
      </c>
      <c r="D51" s="52">
        <v>1</v>
      </c>
    </row>
    <row r="52" spans="1:4" x14ac:dyDescent="0.25">
      <c r="A52" s="2" t="s">
        <v>571</v>
      </c>
      <c r="B52" s="52" t="s">
        <v>572</v>
      </c>
      <c r="C52" s="52" t="s">
        <v>573</v>
      </c>
      <c r="D52" s="52">
        <v>1</v>
      </c>
    </row>
    <row r="53" spans="1:4" x14ac:dyDescent="0.25">
      <c r="A53" s="2" t="s">
        <v>574</v>
      </c>
      <c r="B53" s="52" t="s">
        <v>575</v>
      </c>
      <c r="C53" s="52" t="s">
        <v>576</v>
      </c>
      <c r="D53" s="52">
        <v>1</v>
      </c>
    </row>
    <row r="54" spans="1:4" x14ac:dyDescent="0.25">
      <c r="A54" s="2" t="s">
        <v>577</v>
      </c>
      <c r="B54" s="52" t="s">
        <v>578</v>
      </c>
      <c r="C54" s="52" t="s">
        <v>579</v>
      </c>
      <c r="D54" s="52">
        <v>1</v>
      </c>
    </row>
    <row r="55" spans="1:4" x14ac:dyDescent="0.25">
      <c r="A55" s="2" t="s">
        <v>580</v>
      </c>
      <c r="B55" s="52" t="s">
        <v>581</v>
      </c>
      <c r="C55" s="52" t="s">
        <v>582</v>
      </c>
      <c r="D55" s="52">
        <v>1</v>
      </c>
    </row>
    <row r="56" spans="1:4" x14ac:dyDescent="0.25">
      <c r="A56" s="2" t="s">
        <v>583</v>
      </c>
      <c r="B56" s="52" t="s">
        <v>584</v>
      </c>
      <c r="C56" s="52" t="s">
        <v>585</v>
      </c>
      <c r="D56" s="52">
        <v>2</v>
      </c>
    </row>
    <row r="57" spans="1:4" x14ac:dyDescent="0.25">
      <c r="A57" s="2" t="s">
        <v>586</v>
      </c>
      <c r="B57" s="52" t="s">
        <v>587</v>
      </c>
      <c r="C57" s="52" t="s">
        <v>588</v>
      </c>
      <c r="D57" s="52">
        <v>1</v>
      </c>
    </row>
    <row r="58" spans="1:4" x14ac:dyDescent="0.25">
      <c r="A58" s="2" t="s">
        <v>529</v>
      </c>
      <c r="B58" s="52" t="s">
        <v>589</v>
      </c>
      <c r="C58" s="52" t="s">
        <v>590</v>
      </c>
      <c r="D58" s="52">
        <v>2</v>
      </c>
    </row>
    <row r="59" spans="1:4" x14ac:dyDescent="0.25">
      <c r="A59" s="2" t="s">
        <v>429</v>
      </c>
      <c r="B59" s="52" t="s">
        <v>430</v>
      </c>
      <c r="C59" s="52" t="s">
        <v>591</v>
      </c>
      <c r="D59" s="52">
        <v>1</v>
      </c>
    </row>
    <row r="60" spans="1:4" x14ac:dyDescent="0.25">
      <c r="A60" s="2" t="s">
        <v>592</v>
      </c>
      <c r="B60" s="52" t="s">
        <v>593</v>
      </c>
      <c r="C60" s="52" t="s">
        <v>594</v>
      </c>
      <c r="D60" s="52">
        <v>1</v>
      </c>
    </row>
    <row r="61" spans="1:4" x14ac:dyDescent="0.25">
      <c r="A61" s="2" t="s">
        <v>595</v>
      </c>
      <c r="B61" s="52" t="s">
        <v>596</v>
      </c>
      <c r="C61" s="52" t="s">
        <v>597</v>
      </c>
      <c r="D61" s="52">
        <v>1</v>
      </c>
    </row>
    <row r="62" spans="1:4" x14ac:dyDescent="0.25">
      <c r="A62" s="2" t="s">
        <v>598</v>
      </c>
      <c r="B62" s="52" t="s">
        <v>599</v>
      </c>
      <c r="C62" s="52" t="s">
        <v>600</v>
      </c>
      <c r="D62" s="52">
        <v>1</v>
      </c>
    </row>
  </sheetData>
  <autoFilter ref="A3:E3" xr:uid="{75B4C664-D943-4B9F-B839-C5AE10EBD94F}"/>
  <mergeCells count="2">
    <mergeCell ref="A2:C2"/>
    <mergeCell ref="D2:E2"/>
  </mergeCells>
  <hyperlinks>
    <hyperlink ref="A62" r:id="rId1" xr:uid="{8CB3B763-3031-4688-887A-CC7A95ED1FBA}"/>
    <hyperlink ref="A5" r:id="rId2" xr:uid="{9CFDF68E-F3C8-408F-80A9-1AC7890DA253}"/>
    <hyperlink ref="A13" r:id="rId3" xr:uid="{81F605C5-5250-4B0D-A76F-1072947516FE}"/>
    <hyperlink ref="A34" r:id="rId4" xr:uid="{D9DDF20F-4C02-4AB4-9A5F-E02A939C8C1E}"/>
    <hyperlink ref="A54" r:id="rId5" xr:uid="{48BD2271-1F92-4B1F-B8DD-79308A52C7F2}"/>
    <hyperlink ref="A56" r:id="rId6" xr:uid="{C245C1D2-2115-434D-90A8-45FB539190AD}"/>
    <hyperlink ref="A29" r:id="rId7" xr:uid="{7B9ED2B4-77C1-4EAD-BCD0-790F4730BCF8}"/>
    <hyperlink ref="A50" r:id="rId8" xr:uid="{85982B58-0FAE-45AE-A309-325C99EC13E7}"/>
    <hyperlink ref="A36" r:id="rId9" xr:uid="{19D30EFF-7EF7-4C47-A659-1435D4B03260}"/>
    <hyperlink ref="A20" r:id="rId10" xr:uid="{2BB3AC6E-1A41-46A4-A281-901E2A06C22D}"/>
    <hyperlink ref="A14" r:id="rId11" xr:uid="{D29CA6F6-F348-4B93-9AE3-5223426F7DCB}"/>
    <hyperlink ref="A17" r:id="rId12" xr:uid="{B48C5AFA-69FF-47A5-A08C-4D47F8C3E9A2}"/>
    <hyperlink ref="A53" r:id="rId13" xr:uid="{870D2298-FE26-467A-A5CA-354BB95D02E3}"/>
    <hyperlink ref="A8" r:id="rId14" xr:uid="{A16ACBD7-725B-4698-8910-38D968C4547B}"/>
    <hyperlink ref="A15" r:id="rId15" xr:uid="{07E4B069-128C-48BD-BCF8-B12336509C84}"/>
    <hyperlink ref="A45" r:id="rId16" xr:uid="{987CCAEF-A181-415F-BD8A-4A2E024E7363}"/>
    <hyperlink ref="A48" r:id="rId17" xr:uid="{0DEE5927-2590-44CF-BBE7-4549D9EC62F8}"/>
    <hyperlink ref="A35" r:id="rId18" xr:uid="{9F9A8C8F-BD59-4292-A4D9-1813AE4EE053}"/>
    <hyperlink ref="A7" r:id="rId19" xr:uid="{C6BD63B1-A550-461A-B1B0-1B94FA55068F}"/>
    <hyperlink ref="A9" r:id="rId20" xr:uid="{5D032BC4-F283-4E35-A851-CE889A3389CD}"/>
    <hyperlink ref="A32" r:id="rId21" xr:uid="{70394F1A-51ED-4E34-B39B-4CCE95E6D992}"/>
    <hyperlink ref="A49" r:id="rId22" xr:uid="{6624529E-9853-4766-8903-506250DFE915}"/>
    <hyperlink ref="A44" r:id="rId23" xr:uid="{E60FD868-D97A-4147-A57F-88B4E197F705}"/>
    <hyperlink ref="A52" r:id="rId24" xr:uid="{7ACBAA21-6E6F-4747-845B-0E481790B5C1}"/>
    <hyperlink ref="A60" r:id="rId25" xr:uid="{993A75E8-DAF6-48FA-A9DD-C72936CA6219}"/>
    <hyperlink ref="A59" r:id="rId26" xr:uid="{C380BBEB-7EDB-4A59-8ABA-E28D2E9FACEB}"/>
    <hyperlink ref="A16" r:id="rId27" xr:uid="{0888E622-5CE4-40F6-8829-B59D8BA8EF2B}"/>
    <hyperlink ref="A19" r:id="rId28" xr:uid="{6DDA480F-0C82-49C9-8488-E8992B9594BB}"/>
    <hyperlink ref="A28" r:id="rId29" xr:uid="{9049404C-0737-4D3A-BDCC-158568B11950}"/>
    <hyperlink ref="A11" r:id="rId30" xr:uid="{63959AB3-5A28-401F-9481-8CA88595955A}"/>
    <hyperlink ref="A22" r:id="rId31" xr:uid="{45CBED91-24AE-4DF6-8752-4017F05B775C}"/>
    <hyperlink ref="A31" r:id="rId32" xr:uid="{65B89A67-6589-4F43-9E33-777E9AD24774}"/>
    <hyperlink ref="A23" r:id="rId33" xr:uid="{29149678-051B-446F-8378-21746B496765}"/>
    <hyperlink ref="A57" r:id="rId34" xr:uid="{B0DC79C7-E9E8-4DCA-85E4-4D789A4DA778}"/>
    <hyperlink ref="A21" r:id="rId35" xr:uid="{1B7DB9B3-4D63-4CC7-8643-5FBF3F24D935}"/>
    <hyperlink ref="A51" r:id="rId36" xr:uid="{A8D6081A-A451-469D-8787-DDE73230C75F}"/>
    <hyperlink ref="A10" r:id="rId37" xr:uid="{8071192C-BEEB-4BAB-852C-8B7ABA4182B0}"/>
    <hyperlink ref="A18" r:id="rId38" xr:uid="{0C42068C-CB75-49E6-89F0-A76184A6DD15}"/>
    <hyperlink ref="A25" r:id="rId39" xr:uid="{6EB74F38-6D47-45A9-871E-3F3FA08262B6}"/>
    <hyperlink ref="A30" r:id="rId40" xr:uid="{E1987219-D336-4244-B8AB-EA6CBDC6176A}"/>
    <hyperlink ref="A39" r:id="rId41" xr:uid="{A75DF298-A8BC-4FF9-B9B6-9614F9A29B59}"/>
    <hyperlink ref="A27" r:id="rId42" xr:uid="{139EE5BC-9CD0-4DD0-A670-31C61A2CE15C}"/>
    <hyperlink ref="A61" r:id="rId43" xr:uid="{1861A0EC-A464-4769-96BE-CEC7097676BF}"/>
    <hyperlink ref="A47" r:id="rId44" xr:uid="{B95035A6-70D3-4E97-8A13-9DB7EDEB3A83}"/>
    <hyperlink ref="A37" r:id="rId45" xr:uid="{792C1CA4-3B26-4C5D-8AB0-01F6F0EFDC2B}"/>
    <hyperlink ref="A58" r:id="rId46" xr:uid="{ED917C7E-9D0C-42AE-8930-CD044262ED3D}"/>
    <hyperlink ref="A41" r:id="rId47" xr:uid="{4B26148E-F45C-4FDA-AAE3-733B957467AE}"/>
    <hyperlink ref="A24" r:id="rId48" xr:uid="{E375023E-EA38-43A4-A26D-14D893330E6E}"/>
    <hyperlink ref="A12" r:id="rId49" xr:uid="{5B561DE7-E2E1-4CF9-A615-9A48B7C120AC}"/>
    <hyperlink ref="A43" r:id="rId50" xr:uid="{AC621BEF-00A4-4C0F-9B8A-CCFCD2C8DB42}"/>
    <hyperlink ref="A26" r:id="rId51" xr:uid="{CB1D7486-9E03-46B6-88AB-32F82E7594AD}"/>
    <hyperlink ref="A46" r:id="rId52" xr:uid="{DC22B159-E2C3-444A-A470-37F01719EA70}"/>
    <hyperlink ref="A40" r:id="rId53" xr:uid="{C9EBF3C1-F631-47B8-92E0-AE5C1198C6DA}"/>
    <hyperlink ref="A33" r:id="rId54" xr:uid="{9B712C67-6057-4E8E-9DDB-6607131C8CCD}"/>
    <hyperlink ref="A55" r:id="rId55" xr:uid="{F7D146EA-12B9-4DDA-89F5-186FCD70E42C}"/>
    <hyperlink ref="A42" r:id="rId56" xr:uid="{CEC5423B-357E-40D8-8D86-A6123F608D72}"/>
    <hyperlink ref="A6" r:id="rId57" xr:uid="{BA1707FE-7357-47BE-9D37-AB644E55F873}"/>
    <hyperlink ref="A4" r:id="rId58" xr:uid="{32AB918E-9239-45F4-8AF9-207FCAE5C764}"/>
    <hyperlink ref="A38" r:id="rId59" xr:uid="{B1DA343F-220A-4216-A60C-813D011ECD50}"/>
  </hyperlinks>
  <pageMargins left="0.7" right="0.7" top="0.75" bottom="0.75" header="0.3" footer="0.3"/>
  <drawing r:id="rId60"/>
  <legacyDrawing r:id="rId61"/>
  <mc:AlternateContent xmlns:mc="http://schemas.openxmlformats.org/markup-compatibility/2006">
    <mc:Choice Requires="x14">
      <controls>
        <mc:AlternateContent xmlns:mc="http://schemas.openxmlformats.org/markup-compatibility/2006">
          <mc:Choice Requires="x14">
            <control shapeId="15361" r:id="rId62" name="Button 1">
              <controlPr defaultSize="0" print="0" autoFill="0" autoPict="0" macro="[0]!SendChemicals">
                <anchor moveWithCells="1" sizeWithCells="1">
                  <from>
                    <xdr:col>2</xdr:col>
                    <xdr:colOff>1419225</xdr:colOff>
                    <xdr:row>0</xdr:row>
                    <xdr:rowOff>66675</xdr:rowOff>
                  </from>
                  <to>
                    <xdr:col>2</xdr:col>
                    <xdr:colOff>2533650</xdr:colOff>
                    <xdr:row>0</xdr:row>
                    <xdr:rowOff>590550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G88"/>
  <sheetViews>
    <sheetView workbookViewId="0">
      <pane ySplit="3" topLeftCell="A4" activePane="bottomLeft" state="frozen"/>
      <selection pane="bottomLeft"/>
    </sheetView>
  </sheetViews>
  <sheetFormatPr defaultRowHeight="15" x14ac:dyDescent="0.25"/>
  <cols>
    <col min="1" max="1" width="8.85546875" customWidth="1"/>
    <col min="2" max="2" width="11.85546875" customWidth="1"/>
    <col min="3" max="3" width="11.140625" hidden="1" customWidth="1"/>
    <col min="4" max="4" width="151.140625" customWidth="1"/>
    <col min="5" max="5" width="68.5703125" customWidth="1"/>
  </cols>
  <sheetData>
    <row r="1" spans="1:5" ht="40.5" customHeight="1" thickBot="1" x14ac:dyDescent="0.35">
      <c r="A1" s="20" t="s">
        <v>151</v>
      </c>
      <c r="B1" s="20"/>
      <c r="C1" s="21"/>
      <c r="D1" s="21" t="s">
        <v>32</v>
      </c>
      <c r="E1" s="21" t="s">
        <v>127</v>
      </c>
    </row>
    <row r="2" spans="1:5" ht="15.75" thickTop="1" x14ac:dyDescent="0.25"/>
    <row r="3" spans="1:5" ht="31.5" customHeight="1" thickBot="1" x14ac:dyDescent="0.3">
      <c r="A3" s="9" t="s">
        <v>243</v>
      </c>
      <c r="B3" s="9" t="s">
        <v>244</v>
      </c>
      <c r="C3" s="9" t="s">
        <v>245</v>
      </c>
      <c r="D3" s="1" t="s">
        <v>30</v>
      </c>
      <c r="E3" s="18" t="s">
        <v>152</v>
      </c>
    </row>
    <row r="4" spans="1:5" x14ac:dyDescent="0.25">
      <c r="A4" t="s">
        <v>170</v>
      </c>
      <c r="B4" t="s">
        <v>274</v>
      </c>
      <c r="C4">
        <v>408</v>
      </c>
      <c r="D4" t="s">
        <v>172</v>
      </c>
      <c r="E4" t="s">
        <v>174</v>
      </c>
    </row>
    <row r="5" spans="1:5" x14ac:dyDescent="0.25">
      <c r="A5" t="s">
        <v>170</v>
      </c>
      <c r="B5" t="s">
        <v>270</v>
      </c>
      <c r="C5">
        <v>219</v>
      </c>
      <c r="D5" t="s">
        <v>171</v>
      </c>
      <c r="E5" t="s">
        <v>174</v>
      </c>
    </row>
    <row r="6" spans="1:5" x14ac:dyDescent="0.25">
      <c r="A6" t="s">
        <v>170</v>
      </c>
      <c r="B6" t="s">
        <v>302</v>
      </c>
      <c r="C6">
        <v>406</v>
      </c>
      <c r="D6" t="s">
        <v>173</v>
      </c>
      <c r="E6" t="s">
        <v>174</v>
      </c>
    </row>
    <row r="7" spans="1:5" x14ac:dyDescent="0.25">
      <c r="A7" t="s">
        <v>170</v>
      </c>
      <c r="B7" t="s">
        <v>303</v>
      </c>
      <c r="C7">
        <v>406</v>
      </c>
      <c r="D7" t="s">
        <v>304</v>
      </c>
      <c r="E7" t="s">
        <v>174</v>
      </c>
    </row>
    <row r="8" spans="1:5" ht="15.75" customHeight="1" x14ac:dyDescent="0.25">
      <c r="A8" t="str">
        <f t="shared" ref="A8:A14" si="0">HYPERLINK("https://aopwiki.org/aops/126","aop126")</f>
        <v>aop126</v>
      </c>
      <c r="B8" t="s">
        <v>271</v>
      </c>
      <c r="C8">
        <v>849</v>
      </c>
      <c r="D8" t="s">
        <v>54</v>
      </c>
      <c r="E8" t="s">
        <v>57</v>
      </c>
    </row>
    <row r="9" spans="1:5" x14ac:dyDescent="0.25">
      <c r="A9" t="str">
        <f t="shared" si="0"/>
        <v>aop126</v>
      </c>
      <c r="B9" t="s">
        <v>305</v>
      </c>
      <c r="D9" t="s">
        <v>55</v>
      </c>
      <c r="E9" t="s">
        <v>57</v>
      </c>
    </row>
    <row r="10" spans="1:5" x14ac:dyDescent="0.25">
      <c r="A10" t="str">
        <f t="shared" si="0"/>
        <v>aop126</v>
      </c>
      <c r="B10" t="s">
        <v>306</v>
      </c>
      <c r="D10" t="s">
        <v>128</v>
      </c>
      <c r="E10" t="s">
        <v>57</v>
      </c>
    </row>
    <row r="11" spans="1:5" x14ac:dyDescent="0.25">
      <c r="A11" t="str">
        <f t="shared" si="0"/>
        <v>aop126</v>
      </c>
      <c r="B11" t="s">
        <v>307</v>
      </c>
      <c r="C11">
        <v>532</v>
      </c>
      <c r="D11" t="s">
        <v>129</v>
      </c>
      <c r="E11" t="s">
        <v>57</v>
      </c>
    </row>
    <row r="12" spans="1:5" x14ac:dyDescent="0.25">
      <c r="A12" t="str">
        <f t="shared" si="0"/>
        <v>aop126</v>
      </c>
      <c r="B12" t="s">
        <v>283</v>
      </c>
      <c r="C12">
        <v>532</v>
      </c>
      <c r="D12" t="s">
        <v>129</v>
      </c>
      <c r="E12" t="s">
        <v>57</v>
      </c>
    </row>
    <row r="13" spans="1:5" x14ac:dyDescent="0.25">
      <c r="A13" t="str">
        <f t="shared" si="0"/>
        <v>aop126</v>
      </c>
      <c r="B13" t="s">
        <v>272</v>
      </c>
      <c r="D13" t="s">
        <v>56</v>
      </c>
      <c r="E13" t="s">
        <v>57</v>
      </c>
    </row>
    <row r="14" spans="1:5" x14ac:dyDescent="0.25">
      <c r="A14" t="str">
        <f t="shared" si="0"/>
        <v>aop126</v>
      </c>
      <c r="B14" t="s">
        <v>273</v>
      </c>
      <c r="D14" t="s">
        <v>208</v>
      </c>
      <c r="E14" t="s">
        <v>57</v>
      </c>
    </row>
    <row r="15" spans="1:5" x14ac:dyDescent="0.25">
      <c r="A15" t="s">
        <v>230</v>
      </c>
      <c r="B15" t="s">
        <v>276</v>
      </c>
      <c r="C15">
        <v>341</v>
      </c>
      <c r="D15" t="s">
        <v>241</v>
      </c>
      <c r="E15" t="s">
        <v>232</v>
      </c>
    </row>
    <row r="16" spans="1:5" ht="15.75" customHeight="1" x14ac:dyDescent="0.25">
      <c r="A16" t="s">
        <v>230</v>
      </c>
      <c r="B16" t="s">
        <v>274</v>
      </c>
      <c r="C16">
        <v>1487</v>
      </c>
      <c r="D16" t="s">
        <v>231</v>
      </c>
      <c r="E16" t="s">
        <v>232</v>
      </c>
    </row>
    <row r="17" spans="1:5" x14ac:dyDescent="0.25">
      <c r="A17" t="s">
        <v>230</v>
      </c>
      <c r="B17" t="s">
        <v>277</v>
      </c>
      <c r="C17">
        <v>1538</v>
      </c>
      <c r="D17" t="s">
        <v>233</v>
      </c>
      <c r="E17" t="s">
        <v>232</v>
      </c>
    </row>
    <row r="18" spans="1:5" x14ac:dyDescent="0.25">
      <c r="A18" t="s">
        <v>230</v>
      </c>
      <c r="B18" t="s">
        <v>278</v>
      </c>
      <c r="C18">
        <v>1392</v>
      </c>
      <c r="D18" t="s">
        <v>234</v>
      </c>
      <c r="E18" t="s">
        <v>232</v>
      </c>
    </row>
    <row r="19" spans="1:5" x14ac:dyDescent="0.25">
      <c r="A19" t="s">
        <v>230</v>
      </c>
      <c r="B19" t="s">
        <v>279</v>
      </c>
      <c r="C19">
        <v>1488</v>
      </c>
      <c r="D19" t="s">
        <v>235</v>
      </c>
      <c r="E19" t="s">
        <v>232</v>
      </c>
    </row>
    <row r="20" spans="1:5" x14ac:dyDescent="0.25">
      <c r="A20" t="s">
        <v>230</v>
      </c>
      <c r="B20" t="s">
        <v>280</v>
      </c>
      <c r="C20">
        <v>55</v>
      </c>
      <c r="D20" t="s">
        <v>236</v>
      </c>
      <c r="E20" t="s">
        <v>232</v>
      </c>
    </row>
    <row r="21" spans="1:5" x14ac:dyDescent="0.25">
      <c r="A21" t="s">
        <v>230</v>
      </c>
      <c r="B21" t="s">
        <v>281</v>
      </c>
      <c r="C21">
        <v>188</v>
      </c>
      <c r="D21" t="s">
        <v>237</v>
      </c>
      <c r="E21" t="s">
        <v>232</v>
      </c>
    </row>
    <row r="22" spans="1:5" x14ac:dyDescent="0.25">
      <c r="A22" t="s">
        <v>230</v>
      </c>
      <c r="B22" t="s">
        <v>282</v>
      </c>
      <c r="C22">
        <v>1492</v>
      </c>
      <c r="D22" t="s">
        <v>238</v>
      </c>
      <c r="E22" t="s">
        <v>232</v>
      </c>
    </row>
    <row r="23" spans="1:5" x14ac:dyDescent="0.25">
      <c r="A23" t="s">
        <v>230</v>
      </c>
      <c r="B23" t="s">
        <v>283</v>
      </c>
      <c r="C23">
        <v>1493</v>
      </c>
      <c r="D23" t="s">
        <v>239</v>
      </c>
      <c r="E23" t="s">
        <v>232</v>
      </c>
    </row>
    <row r="24" spans="1:5" x14ac:dyDescent="0.25">
      <c r="A24" t="s">
        <v>230</v>
      </c>
      <c r="B24" t="s">
        <v>284</v>
      </c>
      <c r="C24">
        <v>386</v>
      </c>
      <c r="D24" t="s">
        <v>240</v>
      </c>
      <c r="E24" t="s">
        <v>232</v>
      </c>
    </row>
    <row r="25" spans="1:5" x14ac:dyDescent="0.25">
      <c r="A25" t="str">
        <f t="shared" ref="A25:A30" si="1">HYPERLINK("https://aopwiki.org/aops/23","aop23")</f>
        <v>aop23</v>
      </c>
      <c r="B25" t="s">
        <v>274</v>
      </c>
      <c r="C25">
        <v>25</v>
      </c>
      <c r="D25" t="s">
        <v>133</v>
      </c>
      <c r="E25" t="s">
        <v>130</v>
      </c>
    </row>
    <row r="26" spans="1:5" x14ac:dyDescent="0.25">
      <c r="A26" t="str">
        <f t="shared" si="1"/>
        <v>aop23</v>
      </c>
      <c r="B26" t="s">
        <v>270</v>
      </c>
      <c r="C26">
        <v>129</v>
      </c>
      <c r="D26" t="s">
        <v>134</v>
      </c>
      <c r="E26" t="s">
        <v>130</v>
      </c>
    </row>
    <row r="27" spans="1:5" x14ac:dyDescent="0.25">
      <c r="A27" t="str">
        <f t="shared" si="1"/>
        <v>aop23</v>
      </c>
      <c r="B27" t="s">
        <v>285</v>
      </c>
      <c r="C27">
        <v>274</v>
      </c>
      <c r="D27" t="s">
        <v>139</v>
      </c>
      <c r="E27" t="s">
        <v>130</v>
      </c>
    </row>
    <row r="28" spans="1:5" x14ac:dyDescent="0.25">
      <c r="A28" t="str">
        <f t="shared" si="1"/>
        <v>aop23</v>
      </c>
      <c r="B28" t="s">
        <v>288</v>
      </c>
      <c r="C28">
        <v>3</v>
      </c>
      <c r="D28" t="s">
        <v>137</v>
      </c>
      <c r="E28" t="s">
        <v>130</v>
      </c>
    </row>
    <row r="29" spans="1:5" x14ac:dyDescent="0.25">
      <c r="A29" t="str">
        <f t="shared" si="1"/>
        <v>aop23</v>
      </c>
      <c r="B29" t="s">
        <v>289</v>
      </c>
      <c r="C29">
        <v>309</v>
      </c>
      <c r="D29" t="s">
        <v>132</v>
      </c>
      <c r="E29" t="s">
        <v>130</v>
      </c>
    </row>
    <row r="30" spans="1:5" x14ac:dyDescent="0.25">
      <c r="A30" t="str">
        <f t="shared" si="1"/>
        <v>aop23</v>
      </c>
      <c r="B30" t="s">
        <v>275</v>
      </c>
      <c r="C30">
        <v>360</v>
      </c>
      <c r="D30" t="s">
        <v>138</v>
      </c>
      <c r="E30" t="s">
        <v>130</v>
      </c>
    </row>
    <row r="31" spans="1:5" x14ac:dyDescent="0.25">
      <c r="A31" t="s">
        <v>162</v>
      </c>
      <c r="B31" t="s">
        <v>274</v>
      </c>
      <c r="C31">
        <v>396</v>
      </c>
      <c r="D31" t="s">
        <v>165</v>
      </c>
      <c r="E31" t="s">
        <v>163</v>
      </c>
    </row>
    <row r="32" spans="1:5" x14ac:dyDescent="0.25">
      <c r="A32" t="s">
        <v>162</v>
      </c>
      <c r="B32" t="s">
        <v>270</v>
      </c>
      <c r="C32">
        <v>826</v>
      </c>
      <c r="D32" t="s">
        <v>167</v>
      </c>
      <c r="E32" t="s">
        <v>163</v>
      </c>
    </row>
    <row r="33" spans="1:7" x14ac:dyDescent="0.25">
      <c r="A33" t="s">
        <v>162</v>
      </c>
      <c r="B33" t="s">
        <v>285</v>
      </c>
      <c r="C33">
        <v>398</v>
      </c>
      <c r="D33" t="s">
        <v>166</v>
      </c>
      <c r="E33" t="s">
        <v>163</v>
      </c>
    </row>
    <row r="34" spans="1:7" ht="14.25" customHeight="1" x14ac:dyDescent="0.25">
      <c r="A34" t="s">
        <v>162</v>
      </c>
      <c r="B34" t="s">
        <v>286</v>
      </c>
      <c r="C34">
        <v>272</v>
      </c>
      <c r="D34" t="s">
        <v>168</v>
      </c>
      <c r="E34" t="s">
        <v>163</v>
      </c>
    </row>
    <row r="35" spans="1:7" ht="14.25" customHeight="1" x14ac:dyDescent="0.25">
      <c r="A35" t="s">
        <v>162</v>
      </c>
      <c r="B35" t="s">
        <v>287</v>
      </c>
      <c r="C35">
        <v>827</v>
      </c>
      <c r="D35" t="s">
        <v>169</v>
      </c>
      <c r="E35" t="s">
        <v>163</v>
      </c>
    </row>
    <row r="36" spans="1:7" ht="14.25" customHeight="1" x14ac:dyDescent="0.25">
      <c r="A36" t="s">
        <v>158</v>
      </c>
      <c r="B36" t="s">
        <v>274</v>
      </c>
      <c r="C36">
        <v>279</v>
      </c>
      <c r="D36" t="s">
        <v>160</v>
      </c>
      <c r="E36" t="s">
        <v>157</v>
      </c>
    </row>
    <row r="37" spans="1:7" ht="14.25" customHeight="1" x14ac:dyDescent="0.25">
      <c r="A37" t="s">
        <v>158</v>
      </c>
      <c r="B37" t="s">
        <v>270</v>
      </c>
      <c r="C37">
        <v>277</v>
      </c>
      <c r="D37" t="s">
        <v>180</v>
      </c>
      <c r="E37" t="s">
        <v>157</v>
      </c>
    </row>
    <row r="38" spans="1:7" ht="14.25" customHeight="1" x14ac:dyDescent="0.25">
      <c r="A38" t="s">
        <v>158</v>
      </c>
      <c r="B38" t="s">
        <v>285</v>
      </c>
      <c r="C38">
        <v>281</v>
      </c>
      <c r="D38" t="s">
        <v>181</v>
      </c>
      <c r="E38" t="s">
        <v>157</v>
      </c>
    </row>
    <row r="39" spans="1:7" s="31" customFormat="1" x14ac:dyDescent="0.25">
      <c r="A39" t="s">
        <v>158</v>
      </c>
      <c r="B39" t="s">
        <v>288</v>
      </c>
      <c r="C39">
        <v>280</v>
      </c>
      <c r="D39" t="s">
        <v>182</v>
      </c>
      <c r="E39" t="s">
        <v>157</v>
      </c>
      <c r="F39"/>
      <c r="G39"/>
    </row>
    <row r="40" spans="1:7" s="31" customFormat="1" x14ac:dyDescent="0.25">
      <c r="A40" t="s">
        <v>158</v>
      </c>
      <c r="B40" t="s">
        <v>289</v>
      </c>
      <c r="C40">
        <v>756</v>
      </c>
      <c r="D40" t="s">
        <v>183</v>
      </c>
      <c r="E40" t="s">
        <v>157</v>
      </c>
      <c r="F40"/>
      <c r="G40"/>
    </row>
    <row r="41" spans="1:7" s="31" customFormat="1" x14ac:dyDescent="0.25">
      <c r="A41" t="s">
        <v>158</v>
      </c>
      <c r="B41" t="s">
        <v>290</v>
      </c>
      <c r="C41">
        <v>757</v>
      </c>
      <c r="D41" t="s">
        <v>184</v>
      </c>
      <c r="E41" t="s">
        <v>157</v>
      </c>
      <c r="F41"/>
      <c r="G41"/>
    </row>
    <row r="42" spans="1:7" s="31" customFormat="1" x14ac:dyDescent="0.25">
      <c r="A42" t="s">
        <v>158</v>
      </c>
      <c r="B42" t="s">
        <v>291</v>
      </c>
      <c r="C42">
        <v>758</v>
      </c>
      <c r="D42" t="s">
        <v>185</v>
      </c>
      <c r="E42" t="s">
        <v>157</v>
      </c>
      <c r="F42"/>
      <c r="G42"/>
    </row>
    <row r="43" spans="1:7" s="31" customFormat="1" x14ac:dyDescent="0.25">
      <c r="A43" t="s">
        <v>158</v>
      </c>
      <c r="B43" t="s">
        <v>292</v>
      </c>
      <c r="C43">
        <v>402</v>
      </c>
      <c r="D43" t="s">
        <v>186</v>
      </c>
      <c r="E43" t="s">
        <v>157</v>
      </c>
      <c r="F43"/>
      <c r="G43"/>
    </row>
    <row r="44" spans="1:7" s="31" customFormat="1" x14ac:dyDescent="0.25">
      <c r="A44" t="s">
        <v>158</v>
      </c>
      <c r="B44" t="s">
        <v>187</v>
      </c>
      <c r="C44">
        <v>402</v>
      </c>
      <c r="D44" t="s">
        <v>179</v>
      </c>
      <c r="E44" t="s">
        <v>157</v>
      </c>
      <c r="F44"/>
      <c r="G44"/>
    </row>
    <row r="45" spans="1:7" s="31" customFormat="1" x14ac:dyDescent="0.25">
      <c r="A45" t="str">
        <f t="shared" ref="A45:A50" si="2">HYPERLINK("https://aopwiki.org/aops/43","aop43")</f>
        <v>aop43</v>
      </c>
      <c r="B45" t="s">
        <v>274</v>
      </c>
      <c r="C45">
        <v>305</v>
      </c>
      <c r="D45" t="s">
        <v>161</v>
      </c>
      <c r="E45" t="s">
        <v>58</v>
      </c>
      <c r="F45"/>
      <c r="G45"/>
    </row>
    <row r="46" spans="1:7" s="31" customFormat="1" x14ac:dyDescent="0.25">
      <c r="A46" t="str">
        <f t="shared" si="2"/>
        <v>aop43</v>
      </c>
      <c r="B46" t="s">
        <v>270</v>
      </c>
      <c r="C46">
        <v>28</v>
      </c>
      <c r="D46" t="s">
        <v>193</v>
      </c>
      <c r="E46" t="s">
        <v>58</v>
      </c>
      <c r="F46"/>
      <c r="G46"/>
    </row>
    <row r="47" spans="1:7" s="31" customFormat="1" x14ac:dyDescent="0.25">
      <c r="A47" t="str">
        <f t="shared" si="2"/>
        <v>aop43</v>
      </c>
      <c r="B47" t="s">
        <v>285</v>
      </c>
      <c r="C47">
        <v>110</v>
      </c>
      <c r="D47" t="s">
        <v>159</v>
      </c>
      <c r="E47" t="s">
        <v>58</v>
      </c>
      <c r="F47"/>
      <c r="G47"/>
    </row>
    <row r="48" spans="1:7" x14ac:dyDescent="0.25">
      <c r="A48" t="str">
        <f t="shared" si="2"/>
        <v>aop43</v>
      </c>
      <c r="B48" t="s">
        <v>288</v>
      </c>
      <c r="C48">
        <v>298</v>
      </c>
      <c r="D48" t="s">
        <v>192</v>
      </c>
      <c r="E48" t="s">
        <v>58</v>
      </c>
    </row>
    <row r="49" spans="1:5" x14ac:dyDescent="0.25">
      <c r="A49" t="str">
        <f t="shared" si="2"/>
        <v>aop43</v>
      </c>
      <c r="B49" t="s">
        <v>293</v>
      </c>
      <c r="C49">
        <v>1001</v>
      </c>
      <c r="D49" t="s">
        <v>51</v>
      </c>
      <c r="E49" t="s">
        <v>58</v>
      </c>
    </row>
    <row r="50" spans="1:5" x14ac:dyDescent="0.25">
      <c r="A50" t="str">
        <f t="shared" si="2"/>
        <v>aop43</v>
      </c>
      <c r="B50" t="s">
        <v>294</v>
      </c>
      <c r="C50">
        <v>1001</v>
      </c>
      <c r="D50" t="s">
        <v>188</v>
      </c>
      <c r="E50" t="s">
        <v>58</v>
      </c>
    </row>
    <row r="51" spans="1:5" x14ac:dyDescent="0.25">
      <c r="A51" t="s">
        <v>250</v>
      </c>
      <c r="B51" t="s">
        <v>274</v>
      </c>
      <c r="C51">
        <v>18</v>
      </c>
      <c r="D51" t="s">
        <v>251</v>
      </c>
    </row>
    <row r="52" spans="1:5" x14ac:dyDescent="0.25">
      <c r="A52" t="s">
        <v>250</v>
      </c>
      <c r="B52" t="s">
        <v>270</v>
      </c>
      <c r="C52">
        <v>450</v>
      </c>
      <c r="D52" t="s">
        <v>252</v>
      </c>
    </row>
    <row r="53" spans="1:5" x14ac:dyDescent="0.25">
      <c r="A53" t="s">
        <v>250</v>
      </c>
      <c r="B53" t="s">
        <v>285</v>
      </c>
      <c r="C53">
        <v>451</v>
      </c>
      <c r="D53" t="s">
        <v>253</v>
      </c>
    </row>
    <row r="54" spans="1:5" x14ac:dyDescent="0.25">
      <c r="A54" t="s">
        <v>250</v>
      </c>
      <c r="B54" t="s">
        <v>288</v>
      </c>
      <c r="C54">
        <v>327</v>
      </c>
      <c r="D54" t="s">
        <v>254</v>
      </c>
    </row>
    <row r="55" spans="1:5" x14ac:dyDescent="0.25">
      <c r="A55" t="s">
        <v>250</v>
      </c>
      <c r="B55" t="s">
        <v>289</v>
      </c>
      <c r="C55">
        <v>216</v>
      </c>
      <c r="D55" t="s">
        <v>255</v>
      </c>
    </row>
    <row r="56" spans="1:5" x14ac:dyDescent="0.25">
      <c r="A56" t="s">
        <v>250</v>
      </c>
      <c r="B56" t="s">
        <v>290</v>
      </c>
      <c r="C56">
        <v>291</v>
      </c>
      <c r="D56" t="s">
        <v>256</v>
      </c>
    </row>
    <row r="57" spans="1:5" x14ac:dyDescent="0.25">
      <c r="A57" t="s">
        <v>250</v>
      </c>
      <c r="B57" t="s">
        <v>291</v>
      </c>
      <c r="C57">
        <v>54</v>
      </c>
      <c r="D57" t="s">
        <v>257</v>
      </c>
    </row>
    <row r="58" spans="1:5" ht="16.5" customHeight="1" x14ac:dyDescent="0.25">
      <c r="A58" t="s">
        <v>250</v>
      </c>
      <c r="B58" t="s">
        <v>295</v>
      </c>
      <c r="C58">
        <v>465</v>
      </c>
      <c r="D58" t="s">
        <v>258</v>
      </c>
    </row>
    <row r="59" spans="1:5" x14ac:dyDescent="0.25">
      <c r="A59" t="s">
        <v>250</v>
      </c>
      <c r="B59" t="s">
        <v>296</v>
      </c>
      <c r="C59">
        <v>466</v>
      </c>
      <c r="D59" t="s">
        <v>259</v>
      </c>
    </row>
    <row r="60" spans="1:5" x14ac:dyDescent="0.25">
      <c r="A60" t="str">
        <f>HYPERLINK("https://aopwiki.org/aops/126","aop57")</f>
        <v>aop57</v>
      </c>
      <c r="B60" t="s">
        <v>297</v>
      </c>
      <c r="C60">
        <v>467</v>
      </c>
      <c r="D60" t="s">
        <v>52</v>
      </c>
      <c r="E60" t="s">
        <v>59</v>
      </c>
    </row>
    <row r="61" spans="1:5" x14ac:dyDescent="0.25">
      <c r="A61" t="str">
        <f>HYPERLINK("https://aopwiki.org/aops/126","aop57")</f>
        <v>aop57</v>
      </c>
      <c r="B61" t="s">
        <v>298</v>
      </c>
      <c r="C61">
        <v>80</v>
      </c>
      <c r="D61" t="s">
        <v>53</v>
      </c>
      <c r="E61" t="s">
        <v>59</v>
      </c>
    </row>
    <row r="62" spans="1:5" x14ac:dyDescent="0.25">
      <c r="A62" t="str">
        <f>HYPERLINK("https://aopwiki.org/aops/126","aop57")</f>
        <v>aop57</v>
      </c>
      <c r="B62" t="s">
        <v>299</v>
      </c>
      <c r="C62">
        <v>462</v>
      </c>
      <c r="D62" t="s">
        <v>164</v>
      </c>
      <c r="E62" t="s">
        <v>59</v>
      </c>
    </row>
    <row r="63" spans="1:5" x14ac:dyDescent="0.25">
      <c r="A63" t="str">
        <f>HYPERLINK("https://aopwiki.org/aops/57","aop57")</f>
        <v>aop57</v>
      </c>
      <c r="B63" t="s">
        <v>300</v>
      </c>
      <c r="C63">
        <v>455</v>
      </c>
      <c r="D63" t="s">
        <v>260</v>
      </c>
      <c r="E63" t="s">
        <v>59</v>
      </c>
    </row>
    <row r="64" spans="1:5" x14ac:dyDescent="0.25">
      <c r="A64" t="s">
        <v>223</v>
      </c>
      <c r="B64" t="s">
        <v>274</v>
      </c>
      <c r="C64" s="38">
        <v>239</v>
      </c>
      <c r="D64" t="s">
        <v>224</v>
      </c>
      <c r="E64" t="s">
        <v>247</v>
      </c>
    </row>
    <row r="65" spans="1:5" x14ac:dyDescent="0.25">
      <c r="A65" t="s">
        <v>223</v>
      </c>
      <c r="B65" t="s">
        <v>270</v>
      </c>
      <c r="C65">
        <v>280</v>
      </c>
      <c r="D65" t="s">
        <v>182</v>
      </c>
      <c r="E65" t="s">
        <v>247</v>
      </c>
    </row>
    <row r="66" spans="1:5" x14ac:dyDescent="0.25">
      <c r="A66" t="s">
        <v>223</v>
      </c>
      <c r="B66" t="s">
        <v>285</v>
      </c>
      <c r="C66">
        <v>281</v>
      </c>
      <c r="D66" t="s">
        <v>181</v>
      </c>
      <c r="E66" t="s">
        <v>247</v>
      </c>
    </row>
    <row r="67" spans="1:5" x14ac:dyDescent="0.25">
      <c r="A67" t="s">
        <v>223</v>
      </c>
      <c r="B67" t="s">
        <v>288</v>
      </c>
      <c r="C67">
        <v>295</v>
      </c>
      <c r="D67" t="s">
        <v>225</v>
      </c>
      <c r="E67" t="s">
        <v>247</v>
      </c>
    </row>
    <row r="68" spans="1:5" x14ac:dyDescent="0.25">
      <c r="A68" t="s">
        <v>223</v>
      </c>
      <c r="B68" t="s">
        <v>289</v>
      </c>
      <c r="C68">
        <v>401</v>
      </c>
      <c r="D68" t="s">
        <v>226</v>
      </c>
      <c r="E68" t="s">
        <v>247</v>
      </c>
    </row>
    <row r="69" spans="1:5" x14ac:dyDescent="0.25">
      <c r="A69" t="s">
        <v>223</v>
      </c>
      <c r="B69" t="s">
        <v>290</v>
      </c>
      <c r="C69">
        <v>757</v>
      </c>
      <c r="D69" t="s">
        <v>184</v>
      </c>
      <c r="E69" t="s">
        <v>247</v>
      </c>
    </row>
    <row r="70" spans="1:5" x14ac:dyDescent="0.25">
      <c r="A70" t="s">
        <v>223</v>
      </c>
      <c r="B70" t="s">
        <v>291</v>
      </c>
      <c r="C70">
        <v>758</v>
      </c>
      <c r="D70" t="s">
        <v>185</v>
      </c>
      <c r="E70" t="s">
        <v>247</v>
      </c>
    </row>
    <row r="71" spans="1:5" x14ac:dyDescent="0.25">
      <c r="A71" t="s">
        <v>223</v>
      </c>
      <c r="B71" t="s">
        <v>295</v>
      </c>
      <c r="C71">
        <v>756</v>
      </c>
      <c r="D71" t="s">
        <v>249</v>
      </c>
    </row>
    <row r="72" spans="1:5" x14ac:dyDescent="0.25">
      <c r="A72" t="s">
        <v>223</v>
      </c>
      <c r="B72" t="s">
        <v>301</v>
      </c>
      <c r="C72">
        <v>319</v>
      </c>
      <c r="D72" t="s">
        <v>227</v>
      </c>
      <c r="E72" t="s">
        <v>247</v>
      </c>
    </row>
    <row r="73" spans="1:5" x14ac:dyDescent="0.25">
      <c r="A73" t="s">
        <v>267</v>
      </c>
      <c r="B73" t="s">
        <v>199</v>
      </c>
      <c r="D73" t="s">
        <v>140</v>
      </c>
      <c r="E73" t="s">
        <v>266</v>
      </c>
    </row>
    <row r="74" spans="1:5" x14ac:dyDescent="0.25">
      <c r="A74" t="s">
        <v>267</v>
      </c>
      <c r="B74" t="s">
        <v>101</v>
      </c>
      <c r="D74" t="s">
        <v>177</v>
      </c>
      <c r="E74" t="s">
        <v>266</v>
      </c>
    </row>
    <row r="75" spans="1:5" x14ac:dyDescent="0.25">
      <c r="A75" t="s">
        <v>267</v>
      </c>
      <c r="B75" t="s">
        <v>206</v>
      </c>
      <c r="D75" t="s">
        <v>147</v>
      </c>
      <c r="E75" t="s">
        <v>266</v>
      </c>
    </row>
    <row r="76" spans="1:5" x14ac:dyDescent="0.25">
      <c r="A76" t="s">
        <v>267</v>
      </c>
      <c r="B76" t="s">
        <v>200</v>
      </c>
      <c r="D76" t="s">
        <v>141</v>
      </c>
      <c r="E76" t="s">
        <v>266</v>
      </c>
    </row>
    <row r="77" spans="1:5" x14ac:dyDescent="0.25">
      <c r="A77" t="s">
        <v>267</v>
      </c>
      <c r="B77" t="s">
        <v>201</v>
      </c>
      <c r="D77" t="s">
        <v>142</v>
      </c>
      <c r="E77" t="s">
        <v>266</v>
      </c>
    </row>
    <row r="78" spans="1:5" x14ac:dyDescent="0.25">
      <c r="A78" t="s">
        <v>267</v>
      </c>
      <c r="B78" t="s">
        <v>202</v>
      </c>
      <c r="D78" t="s">
        <v>198</v>
      </c>
      <c r="E78" t="s">
        <v>266</v>
      </c>
    </row>
    <row r="79" spans="1:5" x14ac:dyDescent="0.25">
      <c r="A79" t="s">
        <v>267</v>
      </c>
      <c r="B79" t="s">
        <v>204</v>
      </c>
      <c r="D79" t="s">
        <v>145</v>
      </c>
      <c r="E79" t="s">
        <v>266</v>
      </c>
    </row>
    <row r="80" spans="1:5" x14ac:dyDescent="0.25">
      <c r="A80" t="s">
        <v>267</v>
      </c>
      <c r="B80" t="s">
        <v>203</v>
      </c>
      <c r="D80" t="s">
        <v>144</v>
      </c>
      <c r="E80" t="s">
        <v>266</v>
      </c>
    </row>
    <row r="81" spans="1:5" x14ac:dyDescent="0.25">
      <c r="A81" t="s">
        <v>267</v>
      </c>
      <c r="B81" t="s">
        <v>76</v>
      </c>
      <c r="D81" t="s">
        <v>143</v>
      </c>
      <c r="E81" t="s">
        <v>266</v>
      </c>
    </row>
    <row r="82" spans="1:5" x14ac:dyDescent="0.25">
      <c r="A82" t="s">
        <v>267</v>
      </c>
      <c r="B82" t="s">
        <v>207</v>
      </c>
      <c r="D82" t="s">
        <v>148</v>
      </c>
      <c r="E82" t="s">
        <v>266</v>
      </c>
    </row>
    <row r="83" spans="1:5" x14ac:dyDescent="0.25">
      <c r="A83" t="s">
        <v>267</v>
      </c>
      <c r="B83" t="s">
        <v>205</v>
      </c>
      <c r="D83" t="s">
        <v>146</v>
      </c>
      <c r="E83" t="s">
        <v>266</v>
      </c>
    </row>
    <row r="84" spans="1:5" s="52" customFormat="1" x14ac:dyDescent="0.25">
      <c r="A84" s="52" t="s">
        <v>408</v>
      </c>
      <c r="B84" s="52" t="s">
        <v>176</v>
      </c>
      <c r="C84" s="52">
        <v>75</v>
      </c>
      <c r="D84" s="52" t="s">
        <v>434</v>
      </c>
    </row>
    <row r="85" spans="1:5" s="52" customFormat="1" x14ac:dyDescent="0.25">
      <c r="A85" s="52" t="s">
        <v>408</v>
      </c>
      <c r="B85" s="52" t="s">
        <v>409</v>
      </c>
      <c r="C85" s="52">
        <v>151</v>
      </c>
      <c r="D85" s="52" t="s">
        <v>410</v>
      </c>
    </row>
    <row r="86" spans="1:5" s="52" customFormat="1" x14ac:dyDescent="0.25">
      <c r="A86" s="52" t="s">
        <v>408</v>
      </c>
      <c r="B86" s="52" t="s">
        <v>411</v>
      </c>
      <c r="C86" s="52">
        <v>398</v>
      </c>
      <c r="D86" s="52" t="s">
        <v>166</v>
      </c>
    </row>
    <row r="87" spans="1:5" s="52" customFormat="1" x14ac:dyDescent="0.25">
      <c r="A87" s="52" t="s">
        <v>408</v>
      </c>
      <c r="B87" s="52" t="s">
        <v>412</v>
      </c>
      <c r="C87" s="52">
        <v>272</v>
      </c>
      <c r="D87" s="52" t="s">
        <v>433</v>
      </c>
    </row>
    <row r="88" spans="1:5" s="52" customFormat="1" x14ac:dyDescent="0.25">
      <c r="A88" s="52" t="s">
        <v>408</v>
      </c>
      <c r="B88" s="52" t="s">
        <v>413</v>
      </c>
      <c r="C88" s="52">
        <v>313</v>
      </c>
      <c r="D88" s="52" t="s">
        <v>432</v>
      </c>
    </row>
  </sheetData>
  <autoFilter ref="A3:E83" xr:uid="{00000000-0009-0000-0000-000005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endQueries">
                <anchor moveWithCells="1" sizeWithCells="1">
                  <from>
                    <xdr:col>3</xdr:col>
                    <xdr:colOff>4286250</xdr:colOff>
                    <xdr:row>0</xdr:row>
                    <xdr:rowOff>76200</xdr:rowOff>
                  </from>
                  <to>
                    <xdr:col>3</xdr:col>
                    <xdr:colOff>6010275</xdr:colOff>
                    <xdr:row>0</xdr:row>
                    <xdr:rowOff>419100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ReadMe</vt:lpstr>
      <vt:lpstr>Main</vt:lpstr>
      <vt:lpstr>Log</vt:lpstr>
      <vt:lpstr>Landscape</vt:lpstr>
      <vt:lpstr>TermMap</vt:lpstr>
      <vt:lpstr>Notes</vt:lpstr>
      <vt:lpstr>Abstract</vt:lpstr>
      <vt:lpstr>Sample_queries</vt:lpstr>
      <vt:lpstr>CuratedLists</vt:lpstr>
      <vt:lpstr>Pathway_queries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Baker, Nancy C.</dc:creator>
  <cp:lastModifiedBy>Nancy Baker</cp:lastModifiedBy>
  <cp:lastPrinted>2019-09-13T14:37:50Z</cp:lastPrinted>
  <dcterms:created xsi:type="dcterms:W3CDTF">2016-02-21T19:26:25Z</dcterms:created>
  <dcterms:modified xsi:type="dcterms:W3CDTF">2021-08-26T22:27:54Z</dcterms:modified>
</cp:coreProperties>
</file>