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\work\"/>
    </mc:Choice>
  </mc:AlternateContent>
  <xr:revisionPtr revIDLastSave="0" documentId="13_ncr:1_{8EA1B350-AE23-4787-B26E-71C06D1DB258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Dallmann2018Tabl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1" i="1" l="1"/>
  <c r="W61" i="1"/>
  <c r="U61" i="1"/>
  <c r="U60" i="1"/>
  <c r="W60" i="1"/>
  <c r="Z60" i="1"/>
  <c r="W59" i="1"/>
  <c r="U59" i="1"/>
  <c r="O59" i="1"/>
  <c r="Z59" i="1"/>
  <c r="Z57" i="1" l="1"/>
  <c r="Z58" i="1"/>
  <c r="Z56" i="1"/>
  <c r="W57" i="1"/>
  <c r="W58" i="1"/>
  <c r="W56" i="1"/>
  <c r="W55" i="1"/>
  <c r="Z55" i="1"/>
  <c r="U53" i="1"/>
  <c r="U54" i="1"/>
  <c r="Z54" i="1"/>
  <c r="W54" i="1"/>
  <c r="W53" i="1"/>
  <c r="Z53" i="1"/>
  <c r="W52" i="1"/>
  <c r="U52" i="1"/>
  <c r="Z52" i="1"/>
  <c r="U51" i="1"/>
  <c r="R51" i="1"/>
  <c r="Z51" i="1" s="1"/>
  <c r="W51" i="1"/>
  <c r="R50" i="1"/>
  <c r="Z50" i="1" s="1"/>
  <c r="U50" i="1"/>
  <c r="W50" i="1"/>
  <c r="U49" i="1"/>
  <c r="W49" i="1"/>
  <c r="Z49" i="1"/>
  <c r="O33" i="1"/>
  <c r="W33" i="1" s="1"/>
  <c r="O32" i="1"/>
  <c r="U48" i="1"/>
  <c r="U47" i="1"/>
  <c r="Z48" i="1"/>
  <c r="W48" i="1"/>
  <c r="W47" i="1"/>
  <c r="Z47" i="1"/>
  <c r="Z32" i="1"/>
  <c r="U32" i="1"/>
  <c r="W32" i="1"/>
  <c r="Z33" i="1"/>
  <c r="U33" i="1"/>
  <c r="U46" i="1"/>
  <c r="U45" i="1"/>
  <c r="Z46" i="1"/>
  <c r="W46" i="1"/>
  <c r="W45" i="1"/>
  <c r="Z45" i="1"/>
  <c r="Z44" i="1"/>
  <c r="W44" i="1"/>
  <c r="U44" i="1"/>
  <c r="U43" i="1"/>
  <c r="U42" i="1"/>
  <c r="Z43" i="1"/>
  <c r="W43" i="1"/>
  <c r="W42" i="1"/>
  <c r="Z42" i="1"/>
  <c r="O37" i="1"/>
  <c r="W37" i="1" s="1"/>
  <c r="O36" i="1"/>
  <c r="W36" i="1" s="1"/>
  <c r="O35" i="1"/>
  <c r="W35" i="1" s="1"/>
  <c r="O34" i="1"/>
  <c r="W34" i="1" s="1"/>
  <c r="O41" i="1"/>
  <c r="O39" i="1"/>
  <c r="W39" i="1" s="1"/>
  <c r="O40" i="1"/>
  <c r="W40" i="1" s="1"/>
  <c r="O38" i="1"/>
  <c r="W38" i="1" s="1"/>
  <c r="U41" i="1"/>
  <c r="U40" i="1"/>
  <c r="U39" i="1"/>
  <c r="U38" i="1"/>
  <c r="Z41" i="1"/>
  <c r="W41" i="1"/>
  <c r="Z40" i="1"/>
  <c r="Z39" i="1"/>
  <c r="Z38" i="1"/>
  <c r="Z37" i="1"/>
  <c r="U37" i="1"/>
  <c r="Z36" i="1"/>
  <c r="U36" i="1"/>
  <c r="Z35" i="1"/>
  <c r="U35" i="1"/>
  <c r="U34" i="1"/>
  <c r="Z34" i="1"/>
  <c r="O31" i="1"/>
  <c r="W31" i="1" s="1"/>
  <c r="O29" i="1"/>
  <c r="W29" i="1" s="1"/>
  <c r="O27" i="1"/>
  <c r="W27" i="1" s="1"/>
  <c r="O30" i="1"/>
  <c r="W30" i="1" s="1"/>
  <c r="O28" i="1"/>
  <c r="W28" i="1" s="1"/>
  <c r="O26" i="1"/>
  <c r="W26" i="1" s="1"/>
  <c r="U31" i="1"/>
  <c r="U30" i="1"/>
  <c r="U29" i="1"/>
  <c r="U28" i="1"/>
  <c r="U27" i="1"/>
  <c r="U26" i="1"/>
  <c r="Z31" i="1"/>
  <c r="Z30" i="1"/>
  <c r="Z29" i="1"/>
  <c r="Z28" i="1"/>
  <c r="Z27" i="1"/>
  <c r="Z26" i="1"/>
  <c r="U25" i="1"/>
  <c r="U24" i="1"/>
  <c r="Z25" i="1"/>
  <c r="W25" i="1"/>
  <c r="W24" i="1"/>
  <c r="Z24" i="1"/>
  <c r="R23" i="1"/>
  <c r="Z23" i="1" s="1"/>
  <c r="R22" i="1"/>
  <c r="Z22" i="1" s="1"/>
  <c r="R21" i="1"/>
  <c r="Z21" i="1" s="1"/>
  <c r="W23" i="1"/>
  <c r="U23" i="1"/>
  <c r="W22" i="1"/>
  <c r="U22" i="1"/>
  <c r="W21" i="1"/>
  <c r="U21" i="1"/>
  <c r="U20" i="1"/>
  <c r="R20" i="1"/>
  <c r="Z20" i="1" s="1"/>
  <c r="W20" i="1"/>
  <c r="W2" i="1"/>
  <c r="W3" i="1"/>
  <c r="W4" i="1"/>
  <c r="W5" i="1"/>
  <c r="W6" i="1"/>
  <c r="W7" i="1"/>
  <c r="W8" i="1"/>
  <c r="U13" i="1"/>
  <c r="U14" i="1"/>
  <c r="U15" i="1"/>
  <c r="U16" i="1"/>
  <c r="U17" i="1"/>
  <c r="U18" i="1"/>
  <c r="U19" i="1"/>
  <c r="Z19" i="1" l="1"/>
  <c r="W19" i="1"/>
  <c r="W18" i="1"/>
  <c r="Z18" i="1"/>
  <c r="W17" i="1"/>
  <c r="Z17" i="1"/>
  <c r="W16" i="1"/>
  <c r="Z16" i="1"/>
  <c r="W15" i="1"/>
  <c r="Z15" i="1"/>
  <c r="W14" i="1"/>
  <c r="Z14" i="1"/>
  <c r="W13" i="1"/>
  <c r="Z13" i="1" l="1"/>
  <c r="L11" i="1"/>
  <c r="AA12" i="1"/>
  <c r="AA11" i="1"/>
  <c r="AA10" i="1"/>
  <c r="AA9" i="1"/>
  <c r="AA8" i="1"/>
  <c r="AA7" i="1"/>
  <c r="AA6" i="1"/>
  <c r="AA5" i="1"/>
  <c r="AA4" i="1"/>
  <c r="AA3" i="1"/>
  <c r="AA2" i="1"/>
  <c r="Z12" i="1"/>
  <c r="Z11" i="1"/>
  <c r="Z10" i="1"/>
  <c r="Z9" i="1"/>
  <c r="Z8" i="1"/>
  <c r="Z7" i="1"/>
  <c r="Z6" i="1"/>
  <c r="Z5" i="1"/>
  <c r="Z4" i="1"/>
  <c r="Z3" i="1"/>
  <c r="Z2" i="1"/>
  <c r="X12" i="1"/>
  <c r="X11" i="1"/>
  <c r="X10" i="1"/>
  <c r="X9" i="1"/>
  <c r="X8" i="1"/>
  <c r="X7" i="1"/>
  <c r="X6" i="1"/>
  <c r="X5" i="1"/>
  <c r="X4" i="1"/>
  <c r="X3" i="1"/>
  <c r="X2" i="1"/>
  <c r="W12" i="1"/>
  <c r="W11" i="1"/>
  <c r="W10" i="1"/>
  <c r="W9" i="1"/>
  <c r="Y2" i="1" l="1"/>
  <c r="Y11" i="1"/>
  <c r="Y6" i="1"/>
  <c r="Y10" i="1"/>
  <c r="Y7" i="1"/>
  <c r="Y9" i="1"/>
  <c r="AB9" i="1"/>
  <c r="AB5" i="1"/>
  <c r="AB8" i="1"/>
  <c r="AB11" i="1"/>
  <c r="AB7" i="1"/>
  <c r="AB3" i="1"/>
  <c r="AB12" i="1"/>
  <c r="AB4" i="1"/>
  <c r="AB10" i="1"/>
  <c r="AB6" i="1"/>
  <c r="AB2" i="1"/>
  <c r="Y8" i="1"/>
  <c r="Y5" i="1"/>
  <c r="Y12" i="1"/>
  <c r="Y4" i="1"/>
  <c r="Y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tc={612282B7-0400-4E4F-A1EB-24AD499E58F0}</author>
    <author>tc={E1FE5AE4-890F-4F94-8798-201838242327}</author>
    <author>tc={E1F97BAB-3AC9-4654-9038-100158AE277D}</author>
    <author>tc={C492FBE6-58B1-4C2E-BCEF-C7DBE4925D35}</author>
    <author>tc={5DE434C0-FBEF-46A3-B78F-223DC58268E4}</author>
    <author>tc={93EDDDE1-17A0-4B9B-B047-96EE4C241C11}</author>
  </authors>
  <commentList>
    <comment ref="K20" authorId="0" shapeId="0" xr:uid="{612282B7-0400-4E4F-A1EB-24AD499E58F0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M20" authorId="1" shapeId="0" xr:uid="{E1FE5AE4-890F-4F94-8798-201838242327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K22" authorId="2" shapeId="0" xr:uid="{E1F97BAB-3AC9-4654-9038-100158AE277D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M22" authorId="3" shapeId="0" xr:uid="{C492FBE6-58B1-4C2E-BCEF-C7DBE4925D35}">
      <text>
        <t>[Threaded comment]
Your version of Excel allows you to read this threaded comment; however, any edits to it will get removed if the file is opened in a newer version of Excel. Learn more: https://go.microsoft.com/fwlink/?linkid=870924
Comment:
    Blood sampled for 6 days after last dose administration; AUC was only calculated only for the first 24 h after last dose administration</t>
      </text>
    </comment>
    <comment ref="R30" authorId="4" shapeId="0" xr:uid="{5DE434C0-FBEF-46A3-B78F-223DC58268E4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7 patients had extremely low plasma concentrations and they may have skipped drug intake (although this was not documented in the clinical study protocol). Excluding those 2 patients as outliers resulted in a observed geometric mean value of 8.23 mg h/L for AUClast,ss</t>
      </text>
    </comment>
    <comment ref="R31" authorId="5" shapeId="0" xr:uid="{93EDDDE1-17A0-4B9B-B047-96EE4C241C11}">
      <text>
        <t>[Threaded comment]
Your version of Excel allows you to read this threaded comment; however, any edits to it will get removed if the file is opened in a newer version of Excel. Learn more: https://go.microsoft.com/fwlink/?linkid=870924
Comment:
    2 of 7 patients had extremely low plasma concentrations and they may have skipped drug intake (although this was not documented in the clinical study protocol). Excluding those 2 patients as outliers resulted in a observed geometric mean value of 1.31 mg/L for Cmax</t>
      </text>
    </comment>
  </commentList>
</comments>
</file>

<file path=xl/sharedStrings.xml><?xml version="1.0" encoding="utf-8"?>
<sst xmlns="http://schemas.openxmlformats.org/spreadsheetml/2006/main" count="728" uniqueCount="157">
  <si>
    <t>Drug</t>
  </si>
  <si>
    <t>DTXSID</t>
  </si>
  <si>
    <t>PREFERRED_NAME</t>
  </si>
  <si>
    <t>CASRN</t>
  </si>
  <si>
    <t>Gestational.Age.Weeks</t>
  </si>
  <si>
    <t>NonPreg.Duration.Days</t>
  </si>
  <si>
    <t>Preg.Duration.Days</t>
  </si>
  <si>
    <t>Caffeine</t>
  </si>
  <si>
    <t>DTXSID0020232</t>
  </si>
  <si>
    <t>58-08-2</t>
  </si>
  <si>
    <t>uM h</t>
  </si>
  <si>
    <t>Midazolam</t>
  </si>
  <si>
    <t>DTXSID5023320</t>
  </si>
  <si>
    <t>59467-70-8</t>
  </si>
  <si>
    <t>Nifedipine</t>
  </si>
  <si>
    <t>DTXSID2025715</t>
  </si>
  <si>
    <t>21829-25-4</t>
  </si>
  <si>
    <t>Metoprolol</t>
  </si>
  <si>
    <t>DTXSID2023309</t>
  </si>
  <si>
    <t>51384-51-1</t>
  </si>
  <si>
    <t>Ondansetron</t>
  </si>
  <si>
    <t>DTXSID8023393</t>
  </si>
  <si>
    <t>99614-02-5</t>
  </si>
  <si>
    <t>Granisetron</t>
  </si>
  <si>
    <t>DTXSID0023111</t>
  </si>
  <si>
    <t>109889-09-0</t>
  </si>
  <si>
    <t>Observed Non-Pregnant</t>
  </si>
  <si>
    <t>Observed Pregnant</t>
  </si>
  <si>
    <t>Predicted Non-Pregnant</t>
  </si>
  <si>
    <t>Predicted Pregnant</t>
  </si>
  <si>
    <t>Units</t>
  </si>
  <si>
    <t>Parameter</t>
  </si>
  <si>
    <t>Diazepam</t>
  </si>
  <si>
    <t>Metronidazole</t>
  </si>
  <si>
    <t>AVERAGE_MASS</t>
  </si>
  <si>
    <t>DTXSID4020406</t>
  </si>
  <si>
    <t>439-14-5</t>
  </si>
  <si>
    <t>DTXSID2020892</t>
  </si>
  <si>
    <t>443-48-1</t>
  </si>
  <si>
    <t>AUCinf</t>
  </si>
  <si>
    <t>Cmax</t>
  </si>
  <si>
    <t>AUClast</t>
  </si>
  <si>
    <t>mg/L h</t>
  </si>
  <si>
    <t>ng/mL h</t>
  </si>
  <si>
    <t>ng/mL</t>
  </si>
  <si>
    <t>Observed Non-Pregnant2</t>
  </si>
  <si>
    <t>Predicted Non-Pregnant3</t>
  </si>
  <si>
    <t>Ratio Pregnant</t>
  </si>
  <si>
    <t>Ratio Non-Pregnant</t>
  </si>
  <si>
    <t>mg/L</t>
  </si>
  <si>
    <t>Converted Units</t>
  </si>
  <si>
    <t>Ratio Non-Pregnant4</t>
  </si>
  <si>
    <t>Observed Pregnant5</t>
  </si>
  <si>
    <t>Predicted Pregnant6</t>
  </si>
  <si>
    <t>Ratio Pregnant7</t>
  </si>
  <si>
    <t>Mass Conversion</t>
  </si>
  <si>
    <t>uM</t>
  </si>
  <si>
    <t>Dose</t>
  </si>
  <si>
    <t>Dose Units</t>
  </si>
  <si>
    <t>mg</t>
  </si>
  <si>
    <t>Dose Route</t>
  </si>
  <si>
    <t>Oral</t>
  </si>
  <si>
    <t>iv</t>
  </si>
  <si>
    <t>Source observed data non-pregnant</t>
  </si>
  <si>
    <t>Source observed data pregnant</t>
  </si>
  <si>
    <t>Ceftazidime</t>
  </si>
  <si>
    <t>72558-82-8</t>
  </si>
  <si>
    <t>PMID: 30113711</t>
  </si>
  <si>
    <t>PMID: 19802997</t>
  </si>
  <si>
    <t>Cefazolin</t>
  </si>
  <si>
    <t>25953-19-9</t>
  </si>
  <si>
    <t>Cefuroxime</t>
  </si>
  <si>
    <t>Cefradine</t>
  </si>
  <si>
    <t>55268-75-2</t>
  </si>
  <si>
    <t>38821-53-3</t>
  </si>
  <si>
    <t>PMID: 28391404</t>
  </si>
  <si>
    <t>Sertraline</t>
  </si>
  <si>
    <t>PMID: 9068932</t>
  </si>
  <si>
    <t>PMID: 19011433</t>
  </si>
  <si>
    <t>79617-96-2</t>
  </si>
  <si>
    <t>Acyclovir</t>
  </si>
  <si>
    <t>59277-89-3</t>
  </si>
  <si>
    <t>Emtricitabine</t>
  </si>
  <si>
    <t>143491-57-0</t>
  </si>
  <si>
    <t>PMID: 31489678</t>
  </si>
  <si>
    <t>Raltegravir</t>
  </si>
  <si>
    <t>PMID: 32451908</t>
  </si>
  <si>
    <t>518048-05-0</t>
  </si>
  <si>
    <t>Dolutegravir</t>
  </si>
  <si>
    <t>1051375-16-6</t>
  </si>
  <si>
    <t>Dosing frequency</t>
  </si>
  <si>
    <t>Single dose</t>
  </si>
  <si>
    <t>Once daily</t>
  </si>
  <si>
    <t>Twice daily</t>
  </si>
  <si>
    <t>103-90-2</t>
  </si>
  <si>
    <t>Acetaminophen</t>
  </si>
  <si>
    <t>PMID: 31347013</t>
  </si>
  <si>
    <t>PMID: 26715213</t>
  </si>
  <si>
    <t>Efavirenz</t>
  </si>
  <si>
    <t>154598-52-4</t>
  </si>
  <si>
    <t>PMID: 30124823</t>
  </si>
  <si>
    <t>Tenofovir</t>
  </si>
  <si>
    <t>PMID: 26011128</t>
  </si>
  <si>
    <t>147127-20-6</t>
  </si>
  <si>
    <t>PMID: 17519400</t>
  </si>
  <si>
    <t>Nevirapine</t>
  </si>
  <si>
    <t>129618-40-2</t>
  </si>
  <si>
    <t>PMID: 20956588</t>
  </si>
  <si>
    <t>PMID: 25064169</t>
  </si>
  <si>
    <t>Clindamycin</t>
  </si>
  <si>
    <t>18323-44-9</t>
  </si>
  <si>
    <t>PMID: 20176904</t>
  </si>
  <si>
    <t>PMID: 8517703</t>
  </si>
  <si>
    <t>Azithromycin</t>
  </si>
  <si>
    <t>83905-01-5</t>
  </si>
  <si>
    <t>PMID: 25595580</t>
  </si>
  <si>
    <t>PMID: 19858250</t>
  </si>
  <si>
    <t>PMID: 1656743</t>
  </si>
  <si>
    <t>Cefatrizine</t>
  </si>
  <si>
    <t>PMID: 17135753</t>
  </si>
  <si>
    <t>51627-14-6</t>
  </si>
  <si>
    <t>Digoxin</t>
  </si>
  <si>
    <t>20830-75-5</t>
  </si>
  <si>
    <t>ug/L h</t>
  </si>
  <si>
    <t>ug/L</t>
  </si>
  <si>
    <t>PMID: 18288078</t>
  </si>
  <si>
    <t>Lorazepam</t>
  </si>
  <si>
    <t>PMID: 6149030</t>
  </si>
  <si>
    <t>846-49-1</t>
  </si>
  <si>
    <t>PMID: 16143486</t>
  </si>
  <si>
    <t>Amoxicillin</t>
  </si>
  <si>
    <t>26787-78-0</t>
  </si>
  <si>
    <t>PMID: 32748112</t>
  </si>
  <si>
    <t>Sotalol</t>
  </si>
  <si>
    <t>3930-20-9</t>
  </si>
  <si>
    <t>PMID: 6861867</t>
  </si>
  <si>
    <t>DTXSID5022770</t>
  </si>
  <si>
    <t>DTXSID2022753</t>
  </si>
  <si>
    <t>DTXSID5022774</t>
  </si>
  <si>
    <t>DTXSID4022785</t>
  </si>
  <si>
    <t>Cephradine</t>
  </si>
  <si>
    <t>DTXSID6023577</t>
  </si>
  <si>
    <t>DTXSID1022556</t>
  </si>
  <si>
    <t>DTXSID0040129</t>
  </si>
  <si>
    <t>DTXSID2048660</t>
  </si>
  <si>
    <t>DTXSID90909356</t>
  </si>
  <si>
    <t>DTXSID2020006</t>
  </si>
  <si>
    <t>DTXSID9046029</t>
  </si>
  <si>
    <t>DTXSID9040132</t>
  </si>
  <si>
    <t>DTXSID7031797</t>
  </si>
  <si>
    <t>DTXSID2022836</t>
  </si>
  <si>
    <t>DTXSID8030760</t>
  </si>
  <si>
    <t>DTXSID7022752</t>
  </si>
  <si>
    <t>DTXSID5022934</t>
  </si>
  <si>
    <t>DTXSID7023225</t>
  </si>
  <si>
    <t>DTXSID3037044</t>
  </si>
  <si>
    <t>DTXSID0023589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</si>
</sst>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  <charset val="1"/>
    </font>
    <font>
      <sz val="8"/>
      <name val="Calibri"/>
      <family val="2"/>
      <scheme val="minor"/>
    </font>
    <font>
      <sz val="10"/>
      <color indexed="12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textRotation="90"/>
    </xf>
    <xf numFmtId="0" fontId="0" fillId="0" borderId="0" xfId="0" applyProtection="1">
      <protection locked="0"/>
    </xf>
    <xf numFmtId="0" fontId="17" fillId="0" borderId="0" xfId="0" applyFont="1"/>
    <xf numFmtId="0" fontId="18" fillId="0" borderId="0" xfId="0" applyFont="1" applyProtection="1">
      <protection locked="0"/>
    </xf>
    <xf numFmtId="2" fontId="0" fillId="0" borderId="0" xfId="0" applyNumberFormat="1"/>
    <xf numFmtId="2" fontId="0" fillId="0" borderId="0" xfId="0" applyNumberFormat="1" applyProtection="1">
      <protection locked="0"/>
    </xf>
    <xf numFmtId="0" fontId="0" fillId="0" borderId="0" xfId="0" applyAlignment="1">
      <alignment textRotation="90"/>
    </xf>
    <xf numFmtId="11" fontId="0" fillId="0" borderId="0" xfId="0" applyNumberFormat="1"/>
    <xf numFmtId="0" fontId="18" fillId="0" borderId="0" xfId="0" applyFont="1" applyAlignment="1" applyProtection="1">
      <alignment textRotation="90"/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/>
    <xf numFmtId="165" fontId="0" fillId="0" borderId="0" xfId="0" applyNumberFormat="1" applyProtection="1">
      <protection locked="0"/>
    </xf>
    <xf numFmtId="0" fontId="0" fillId="0" borderId="0" xfId="0" applyAlignment="1">
      <alignment wrapText="1"/>
    </xf>
    <xf numFmtId="1" fontId="0" fillId="0" borderId="0" xfId="0" applyNumberFormat="1" applyAlignment="1" applyProtection="1">
      <alignment wrapText="1"/>
      <protection locked="0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Arial"/>
        <scheme val="none"/>
      </font>
      <protection locked="0" hidden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5" formatCode="0.00E+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  <protection locked="0" hidden="0"/>
    </dxf>
    <dxf>
      <numFmt numFmtId="2" formatCode="0.00"/>
      <protection locked="0" hidden="0"/>
    </dxf>
    <dxf>
      <numFmt numFmtId="164" formatCode="0.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.0"/>
      <protection locked="0" hidden="0"/>
    </dxf>
    <dxf>
      <numFmt numFmtId="30" formatCode="@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 Dallmann" id="{5E39B679-612A-4371-B5E5-D48A4471876F}" userId="S::andre.dallmann@bayer.com::5c23077c-d33a-43b1-8da1-43baabc21ac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61" totalsRowShown="0">
  <tableColumns count="30">
    <tableColumn id="1" xr3:uid="{00000000-0010-0000-0000-000001000000}" name="Drug"/>
    <tableColumn id="2" xr3:uid="{00000000-0010-0000-0000-000002000000}" name="DTXSID" dataDxfId="0"/>
    <tableColumn id="3" xr3:uid="{00000000-0010-0000-0000-000003000000}" name="PREFERRED_NAME" dataDxfId="27"/>
    <tableColumn id="4" xr3:uid="{00000000-0010-0000-0000-000004000000}" name="CASRN" dataDxfId="26"/>
    <tableColumn id="16" xr3:uid="{37FDDEAD-13CA-445B-B472-5897017334B2}" name="AVERAGE_MASS" dataDxfId="25"/>
    <tableColumn id="31" xr3:uid="{454D779A-C62F-4338-BCC0-3733EA365955}" name="Dose" dataDxfId="24"/>
    <tableColumn id="32" xr3:uid="{6A0AFA4B-F33C-4193-B358-F7FD4E357445}" name="Dose Units" dataDxfId="23"/>
    <tableColumn id="29" xr3:uid="{6A33C84C-F1DF-493D-BBC5-484C4BE4321D}" name="Dosing frequency" dataDxfId="22"/>
    <tableColumn id="33" xr3:uid="{EEA1A6BC-5094-4AA4-9CE4-5958599AF52D}" name="Dose Route" dataDxfId="21"/>
    <tableColumn id="20" xr3:uid="{B888EBE7-0E1A-4DAB-AF9B-40574273D011}" name="Gestational.Age.Weeks" dataDxfId="20"/>
    <tableColumn id="19" xr3:uid="{61A39509-D8E8-4E89-A21C-D105DEE3086B}" name="NonPreg.Duration.Days" dataDxfId="19"/>
    <tableColumn id="18" xr3:uid="{BE038C40-7E49-4B49-BEC3-47110CF63421}" name="Preg.Duration.Days" dataDxfId="18"/>
    <tableColumn id="17" xr3:uid="{20D2778A-D1FA-4952-8A06-0131057DEB19}" name="Parameter" dataDxfId="17"/>
    <tableColumn id="5" xr3:uid="{00000000-0010-0000-0000-000005000000}" name="Units"/>
    <tableColumn id="6" xr3:uid="{00000000-0010-0000-0000-000006000000}" name="Observed Non-Pregnant" dataDxfId="16"/>
    <tableColumn id="21" xr3:uid="{53744B63-4323-4602-8A4F-E56B2164905B}" name="Predicted Non-Pregnant" dataDxfId="15"/>
    <tableColumn id="7" xr3:uid="{00000000-0010-0000-0000-000007000000}" name="Ratio Non-Pregnant" dataDxfId="14"/>
    <tableColumn id="8" xr3:uid="{00000000-0010-0000-0000-000008000000}" name="Observed Pregnant" dataDxfId="13"/>
    <tableColumn id="9" xr3:uid="{00000000-0010-0000-0000-000009000000}" name="Predicted Pregnant" dataDxfId="12"/>
    <tableColumn id="10" xr3:uid="{00000000-0010-0000-0000-00000A000000}" name="Ratio Pregnant" dataDxfId="11"/>
    <tableColumn id="30" xr3:uid="{4112F57B-1456-4C3F-ABAB-77A00841C3E8}" name="Mass Conversion" dataDxfId="10">
      <calculatedColumnFormula>1/1000000</calculatedColumnFormula>
    </tableColumn>
    <tableColumn id="22" xr3:uid="{3ED96EF2-FBAD-481E-9B8F-E2997260F90F}" name="Converted Units" dataDxfId="9"/>
    <tableColumn id="23" xr3:uid="{B955051F-00D2-4741-8752-29F88CE24766}" name="Observed Non-Pregnant2" dataDxfId="8">
      <calculatedColumnFormula>Table1[[#This Row],[Observed Non-Pregnant]]/1000/Table1[[#This Row],[AVERAGE_MASS]]*1000000</calculatedColumnFormula>
    </tableColumn>
    <tableColumn id="24" xr3:uid="{62376B32-5A3D-4035-8C71-E3433BC4E0F4}" name="Predicted Non-Pregnant3" dataDxfId="7">
      <calculatedColumnFormula>Table1[[#This Row],[Predicted Non-Pregnant]]/1000/Table1[[#This Row],[AVERAGE_MASS]]*1000000</calculatedColumnFormula>
    </tableColumn>
    <tableColumn id="25" xr3:uid="{6A386F25-010C-435D-AEFE-18AC4AFBD926}" name="Ratio Non-Pregnant4" dataDxfId="6">
      <calculatedColumnFormula>Table1[[#This Row],[Predicted Non-Pregnant3]]/Table1[[#This Row],[Observed Non-Pregnant2]]</calculatedColumnFormula>
    </tableColumn>
    <tableColumn id="26" xr3:uid="{A0EC3CDA-651E-4DB9-A64D-720A23B7C86F}" name="Observed Pregnant5" dataDxfId="5">
      <calculatedColumnFormula>Table1[[#This Row],[Observed Pregnant]]/1000/Table1[[#This Row],[AVERAGE_MASS]]*1000000</calculatedColumnFormula>
    </tableColumn>
    <tableColumn id="27" xr3:uid="{A32B02F1-E4AF-4617-8571-AEFBD7CA11C3}" name="Predicted Pregnant6" dataDxfId="4">
      <calculatedColumnFormula>Table1[[#This Row],[Predicted Pregnant]]/1000/Table1[[#This Row],[AVERAGE_MASS]]*1000000</calculatedColumnFormula>
    </tableColumn>
    <tableColumn id="28" xr3:uid="{BE7B95FA-485F-490A-9B51-E8BABB9A68C4}" name="Ratio Pregnant7" dataDxfId="3">
      <calculatedColumnFormula>Table1[[#This Row],[Predicted Pregnant6]]/Table1[[#This Row],[Observed Pregnant5]]</calculatedColumnFormula>
    </tableColumn>
    <tableColumn id="11" xr3:uid="{FAEFA3F6-D37E-47C0-BC6E-822F55E1156E}" name="Source observed data non-pregnant" dataDxfId="2"/>
    <tableColumn id="12" xr3:uid="{508DE6B2-CFBC-4DDC-9F4B-F1848522CA40}" name="Source observed data pregna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0" dT="2021-06-24T09:38:11.69" personId="{5E39B679-612A-4371-B5E5-D48A4471876F}" id="{612282B7-0400-4E4F-A1EB-24AD499E58F0}">
    <text>Blood sampled for 6 days after last dose administration; AUC was only calculated only for the first 24 h after last dose administration</text>
  </threadedComment>
  <threadedComment ref="M20" dT="2021-06-24T15:20:01.99" personId="{5E39B679-612A-4371-B5E5-D48A4471876F}" id="{E1FE5AE4-890F-4F94-8798-201838242327}">
    <text>Blood sampled for 6 days after last dose administration; AUC was only calculated only for the first 24 h after last dose administration</text>
  </threadedComment>
  <threadedComment ref="K22" dT="2021-06-24T09:38:11.69" personId="{5E39B679-612A-4371-B5E5-D48A4471876F}" id="{E1F97BAB-3AC9-4654-9038-100158AE277D}">
    <text>Blood sampled for 6 days after last dose administration; AUC was only calculated only for the first 24 h after last dose administration</text>
  </threadedComment>
  <threadedComment ref="M22" dT="2021-06-24T15:20:08.58" personId="{5E39B679-612A-4371-B5E5-D48A4471876F}" id="{C492FBE6-58B1-4C2E-BCEF-C7DBE4925D35}">
    <text>Blood sampled for 6 days after last dose administration; AUC was only calculated only for the first 24 h after last dose administration</text>
  </threadedComment>
  <threadedComment ref="R30" dT="2021-06-24T10:11:24.43" personId="{5E39B679-612A-4371-B5E5-D48A4471876F}" id="{5DE434C0-FBEF-46A3-B78F-223DC58268E4}">
    <text>2 of 7 patients had extremely low plasma concentrations and they may have skipped drug intake (although this was not documented in the clinical study protocol). Excluding those 2 patients as outliers resulted in a observed geometric mean value of 8.23 mg h/L for AUClast,ss</text>
  </threadedComment>
  <threadedComment ref="R31" dT="2021-06-24T10:11:54.01" personId="{5E39B679-612A-4371-B5E5-D48A4471876F}" id="{93EDDDE1-17A0-4B9B-B047-96EE4C241C11}">
    <text>2 of 7 patients had extremely low plasma concentrations and they may have skipped drug intake (although this was not documented in the clinical study protocol). Excluding those 2 patients as outliers resulted in a observed geometric mean value of 1.31 mg/L for Cmax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ccte-ccd.epa.gov/dashboard/chemical/details/DTXSID2022753" TargetMode="External"/><Relationship Id="rId18" Type="http://schemas.openxmlformats.org/officeDocument/2006/relationships/hyperlink" Target="http://ccte-ccd.epa.gov/dashboard/chemical/details/DTXSID4022785" TargetMode="External"/><Relationship Id="rId26" Type="http://schemas.openxmlformats.org/officeDocument/2006/relationships/hyperlink" Target="http://ccte-ccd.epa.gov/dashboard/chemical/details/DTXSID0040129" TargetMode="External"/><Relationship Id="rId39" Type="http://schemas.openxmlformats.org/officeDocument/2006/relationships/hyperlink" Target="http://ccte-ccd.epa.gov/dashboard/chemical/details/DTXSID90909356" TargetMode="External"/><Relationship Id="rId21" Type="http://schemas.openxmlformats.org/officeDocument/2006/relationships/hyperlink" Target="http://ccte-ccd.epa.gov/dashboard/chemical/details/DTXSID6023577" TargetMode="External"/><Relationship Id="rId34" Type="http://schemas.openxmlformats.org/officeDocument/2006/relationships/hyperlink" Target="http://ccte-ccd.epa.gov/dashboard/chemical/details/DTXSID2048660" TargetMode="External"/><Relationship Id="rId42" Type="http://schemas.openxmlformats.org/officeDocument/2006/relationships/hyperlink" Target="http://ccte-ccd.epa.gov/dashboard/chemical/details/DTXSID2020006" TargetMode="External"/><Relationship Id="rId47" Type="http://schemas.openxmlformats.org/officeDocument/2006/relationships/hyperlink" Target="http://ccte-ccd.epa.gov/dashboard/chemical/details/DTXSID9040132" TargetMode="External"/><Relationship Id="rId50" Type="http://schemas.openxmlformats.org/officeDocument/2006/relationships/hyperlink" Target="http://ccte-ccd.epa.gov/dashboard/chemical/details/DTXSID8030760" TargetMode="External"/><Relationship Id="rId55" Type="http://schemas.openxmlformats.org/officeDocument/2006/relationships/hyperlink" Target="http://ccte-ccd.epa.gov/dashboard/chemical/details/DTXSID5022934" TargetMode="External"/><Relationship Id="rId63" Type="http://schemas.openxmlformats.org/officeDocument/2006/relationships/table" Target="../tables/table1.xml"/><Relationship Id="rId7" Type="http://schemas.openxmlformats.org/officeDocument/2006/relationships/hyperlink" Target="http://ccte-ccd.epa.gov/dashboard/chemical/details/DTXSID2023309" TargetMode="External"/><Relationship Id="rId2" Type="http://schemas.openxmlformats.org/officeDocument/2006/relationships/hyperlink" Target="http://ccte-ccd.epa.gov/dashboard/chemical/details/DTXSID0020232" TargetMode="External"/><Relationship Id="rId16" Type="http://schemas.openxmlformats.org/officeDocument/2006/relationships/hyperlink" Target="http://ccte-ccd.epa.gov/dashboard/chemical/details/DTXSID4022785" TargetMode="External"/><Relationship Id="rId20" Type="http://schemas.openxmlformats.org/officeDocument/2006/relationships/hyperlink" Target="http://ccte-ccd.epa.gov/dashboard/chemical/details/DTXSID6023577" TargetMode="External"/><Relationship Id="rId29" Type="http://schemas.openxmlformats.org/officeDocument/2006/relationships/hyperlink" Target="http://ccte-ccd.epa.gov/dashboard/chemical/details/DTXSID0040129" TargetMode="External"/><Relationship Id="rId41" Type="http://schemas.openxmlformats.org/officeDocument/2006/relationships/hyperlink" Target="http://ccte-ccd.epa.gov/dashboard/chemical/details/DTXSID2020006" TargetMode="External"/><Relationship Id="rId54" Type="http://schemas.openxmlformats.org/officeDocument/2006/relationships/hyperlink" Target="http://ccte-ccd.epa.gov/dashboard/chemical/details/DTXSID5022934" TargetMode="External"/><Relationship Id="rId62" Type="http://schemas.openxmlformats.org/officeDocument/2006/relationships/vmlDrawing" Target="../drawings/vmlDrawing1.vml"/><Relationship Id="rId1" Type="http://schemas.openxmlformats.org/officeDocument/2006/relationships/hyperlink" Target="http://ccte-ccd.epa.gov/dashboard/chemical/details/DTXSID0020232" TargetMode="External"/><Relationship Id="rId6" Type="http://schemas.openxmlformats.org/officeDocument/2006/relationships/hyperlink" Target="http://ccte-ccd.epa.gov/dashboard/chemical/details/DTXSID2025715" TargetMode="External"/><Relationship Id="rId11" Type="http://schemas.openxmlformats.org/officeDocument/2006/relationships/hyperlink" Target="http://ccte-ccd.epa.gov/dashboard/chemical/details/DTXSID2020892" TargetMode="External"/><Relationship Id="rId24" Type="http://schemas.openxmlformats.org/officeDocument/2006/relationships/hyperlink" Target="http://ccte-ccd.epa.gov/dashboard/chemical/details/DTXSID1022556" TargetMode="External"/><Relationship Id="rId32" Type="http://schemas.openxmlformats.org/officeDocument/2006/relationships/hyperlink" Target="http://ccte-ccd.epa.gov/dashboard/chemical/details/DTXSID0040129" TargetMode="External"/><Relationship Id="rId37" Type="http://schemas.openxmlformats.org/officeDocument/2006/relationships/hyperlink" Target="http://ccte-ccd.epa.gov/dashboard/chemical/details/DTXSID90909356" TargetMode="External"/><Relationship Id="rId40" Type="http://schemas.openxmlformats.org/officeDocument/2006/relationships/hyperlink" Target="http://ccte-ccd.epa.gov/dashboard/chemical/details/DTXSID90909356" TargetMode="External"/><Relationship Id="rId45" Type="http://schemas.openxmlformats.org/officeDocument/2006/relationships/hyperlink" Target="http://ccte-ccd.epa.gov/dashboard/chemical/details/DTXSID9046029" TargetMode="External"/><Relationship Id="rId53" Type="http://schemas.openxmlformats.org/officeDocument/2006/relationships/hyperlink" Target="http://ccte-ccd.epa.gov/dashboard/chemical/details/DTXSID7022752" TargetMode="External"/><Relationship Id="rId58" Type="http://schemas.openxmlformats.org/officeDocument/2006/relationships/hyperlink" Target="http://ccte-ccd.epa.gov/dashboard/chemical/details/DTXSID3037044" TargetMode="External"/><Relationship Id="rId5" Type="http://schemas.openxmlformats.org/officeDocument/2006/relationships/hyperlink" Target="http://ccte-ccd.epa.gov/dashboard/chemical/details/DTXSID2025715" TargetMode="External"/><Relationship Id="rId15" Type="http://schemas.openxmlformats.org/officeDocument/2006/relationships/hyperlink" Target="http://ccte-ccd.epa.gov/dashboard/chemical/details/DTXSID5022774" TargetMode="External"/><Relationship Id="rId23" Type="http://schemas.openxmlformats.org/officeDocument/2006/relationships/hyperlink" Target="http://ccte-ccd.epa.gov/dashboard/chemical/details/DTXSID1022556" TargetMode="External"/><Relationship Id="rId28" Type="http://schemas.openxmlformats.org/officeDocument/2006/relationships/hyperlink" Target="http://ccte-ccd.epa.gov/dashboard/chemical/details/DTXSID0040129" TargetMode="External"/><Relationship Id="rId36" Type="http://schemas.openxmlformats.org/officeDocument/2006/relationships/hyperlink" Target="http://ccte-ccd.epa.gov/dashboard/chemical/details/DTXSID2048660" TargetMode="External"/><Relationship Id="rId49" Type="http://schemas.openxmlformats.org/officeDocument/2006/relationships/hyperlink" Target="http://ccte-ccd.epa.gov/dashboard/chemical/details/DTXSID2022836" TargetMode="External"/><Relationship Id="rId57" Type="http://schemas.openxmlformats.org/officeDocument/2006/relationships/hyperlink" Target="http://ccte-ccd.epa.gov/dashboard/chemical/details/DTXSID7023225" TargetMode="External"/><Relationship Id="rId61" Type="http://schemas.openxmlformats.org/officeDocument/2006/relationships/printerSettings" Target="../printerSettings/printerSettings1.bin"/><Relationship Id="rId10" Type="http://schemas.openxmlformats.org/officeDocument/2006/relationships/hyperlink" Target="http://ccte-ccd.epa.gov/dashboard/chemical/details/DTXSID4020406" TargetMode="External"/><Relationship Id="rId19" Type="http://schemas.openxmlformats.org/officeDocument/2006/relationships/hyperlink" Target="http://ccte-ccd.epa.gov/dashboard/chemical/details/DTXSID6023577" TargetMode="External"/><Relationship Id="rId31" Type="http://schemas.openxmlformats.org/officeDocument/2006/relationships/hyperlink" Target="http://ccte-ccd.epa.gov/dashboard/chemical/details/DTXSID0040129" TargetMode="External"/><Relationship Id="rId44" Type="http://schemas.openxmlformats.org/officeDocument/2006/relationships/hyperlink" Target="http://ccte-ccd.epa.gov/dashboard/chemical/details/DTXSID9046029" TargetMode="External"/><Relationship Id="rId52" Type="http://schemas.openxmlformats.org/officeDocument/2006/relationships/hyperlink" Target="http://ccte-ccd.epa.gov/dashboard/chemical/details/DTXSID7022752" TargetMode="External"/><Relationship Id="rId60" Type="http://schemas.openxmlformats.org/officeDocument/2006/relationships/hyperlink" Target="http://ccte-ccd.epa.gov/dashboard/chemical/details/DTXSID0023589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://ccte-ccd.epa.gov/dashboard/chemical/details/DTXSID5023320" TargetMode="External"/><Relationship Id="rId9" Type="http://schemas.openxmlformats.org/officeDocument/2006/relationships/hyperlink" Target="http://ccte-ccd.epa.gov/dashboard/chemical/details/DTXSID0023111" TargetMode="External"/><Relationship Id="rId14" Type="http://schemas.openxmlformats.org/officeDocument/2006/relationships/hyperlink" Target="http://ccte-ccd.epa.gov/dashboard/chemical/details/DTXSID5022774" TargetMode="External"/><Relationship Id="rId22" Type="http://schemas.openxmlformats.org/officeDocument/2006/relationships/hyperlink" Target="http://ccte-ccd.epa.gov/dashboard/chemical/details/DTXSID6023577" TargetMode="External"/><Relationship Id="rId27" Type="http://schemas.openxmlformats.org/officeDocument/2006/relationships/hyperlink" Target="http://ccte-ccd.epa.gov/dashboard/chemical/details/DTXSID0040129" TargetMode="External"/><Relationship Id="rId30" Type="http://schemas.openxmlformats.org/officeDocument/2006/relationships/hyperlink" Target="http://ccte-ccd.epa.gov/dashboard/chemical/details/DTXSID0040129" TargetMode="External"/><Relationship Id="rId35" Type="http://schemas.openxmlformats.org/officeDocument/2006/relationships/hyperlink" Target="http://ccte-ccd.epa.gov/dashboard/chemical/details/DTXSID2048660" TargetMode="External"/><Relationship Id="rId43" Type="http://schemas.openxmlformats.org/officeDocument/2006/relationships/hyperlink" Target="http://ccte-ccd.epa.gov/dashboard/chemical/details/DTXSID2020006" TargetMode="External"/><Relationship Id="rId48" Type="http://schemas.openxmlformats.org/officeDocument/2006/relationships/hyperlink" Target="http://ccte-ccd.epa.gov/dashboard/chemical/details/DTXSID7031797" TargetMode="External"/><Relationship Id="rId56" Type="http://schemas.openxmlformats.org/officeDocument/2006/relationships/hyperlink" Target="http://ccte-ccd.epa.gov/dashboard/chemical/details/DTXSID7023225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://ccte-ccd.epa.gov/dashboard/chemical/details/DTXSID8023393" TargetMode="External"/><Relationship Id="rId51" Type="http://schemas.openxmlformats.org/officeDocument/2006/relationships/hyperlink" Target="http://ccte-ccd.epa.gov/dashboard/chemical/details/DTXSID8030760" TargetMode="External"/><Relationship Id="rId3" Type="http://schemas.openxmlformats.org/officeDocument/2006/relationships/hyperlink" Target="http://ccte-ccd.epa.gov/dashboard/chemical/details/DTXSID5023320" TargetMode="External"/><Relationship Id="rId12" Type="http://schemas.openxmlformats.org/officeDocument/2006/relationships/hyperlink" Target="http://ccte-ccd.epa.gov/dashboard/chemical/details/DTXSID5022770" TargetMode="External"/><Relationship Id="rId17" Type="http://schemas.openxmlformats.org/officeDocument/2006/relationships/hyperlink" Target="http://ccte-ccd.epa.gov/dashboard/chemical/details/DTXSID4022785" TargetMode="External"/><Relationship Id="rId25" Type="http://schemas.openxmlformats.org/officeDocument/2006/relationships/hyperlink" Target="http://ccte-ccd.epa.gov/dashboard/chemical/details/DTXSID0040129" TargetMode="External"/><Relationship Id="rId33" Type="http://schemas.openxmlformats.org/officeDocument/2006/relationships/hyperlink" Target="http://ccte-ccd.epa.gov/dashboard/chemical/details/DTXSID2048660" TargetMode="External"/><Relationship Id="rId38" Type="http://schemas.openxmlformats.org/officeDocument/2006/relationships/hyperlink" Target="http://ccte-ccd.epa.gov/dashboard/chemical/details/DTXSID90909356" TargetMode="External"/><Relationship Id="rId46" Type="http://schemas.openxmlformats.org/officeDocument/2006/relationships/hyperlink" Target="http://ccte-ccd.epa.gov/dashboard/chemical/details/DTXSID9040132" TargetMode="External"/><Relationship Id="rId59" Type="http://schemas.openxmlformats.org/officeDocument/2006/relationships/hyperlink" Target="http://ccte-ccd.epa.gov/dashboard/chemical/details/DTXSID0023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1"/>
  <sheetViews>
    <sheetView tabSelected="1" topLeftCell="A31" workbookViewId="0">
      <selection activeCell="B2" sqref="B2:D61"/>
    </sheetView>
  </sheetViews>
  <sheetFormatPr defaultRowHeight="15" x14ac:dyDescent="0.25"/>
  <cols>
    <col min="1" max="1" width="15.28515625" bestFit="1" customWidth="1"/>
    <col min="2" max="2" width="14.42578125" bestFit="1" customWidth="1"/>
    <col min="3" max="3" width="16" customWidth="1"/>
    <col min="4" max="4" width="12.42578125" bestFit="1" customWidth="1"/>
    <col min="5" max="5" width="8" bestFit="1" customWidth="1"/>
    <col min="6" max="6" width="5" bestFit="1" customWidth="1"/>
    <col min="7" max="7" width="3.7109375" bestFit="1" customWidth="1"/>
    <col min="8" max="8" width="16.42578125" bestFit="1" customWidth="1"/>
    <col min="9" max="9" width="4.7109375" bestFit="1" customWidth="1"/>
    <col min="10" max="10" width="5.5703125" bestFit="1" customWidth="1"/>
    <col min="11" max="12" width="4.5703125" bestFit="1" customWidth="1"/>
    <col min="13" max="13" width="10.140625" style="1" bestFit="1" customWidth="1"/>
    <col min="14" max="14" width="8.140625" style="1" bestFit="1" customWidth="1"/>
    <col min="15" max="15" width="8.5703125" style="1" bestFit="1" customWidth="1"/>
    <col min="16" max="16" width="6.5703125" style="1" bestFit="1" customWidth="1"/>
    <col min="17" max="17" width="4.5703125" style="1" bestFit="1" customWidth="1"/>
    <col min="18" max="18" width="8.5703125" style="1" bestFit="1" customWidth="1"/>
    <col min="19" max="19" width="6.5703125" style="1" bestFit="1" customWidth="1"/>
    <col min="20" max="20" width="4.5703125" bestFit="1" customWidth="1"/>
    <col min="21" max="21" width="8.5703125" bestFit="1" customWidth="1"/>
    <col min="22" max="22" width="5.42578125" bestFit="1" customWidth="1"/>
    <col min="23" max="23" width="11.140625" customWidth="1"/>
    <col min="24" max="24" width="6.5703125" bestFit="1" customWidth="1"/>
    <col min="25" max="25" width="4.5703125" bestFit="1" customWidth="1"/>
    <col min="26" max="26" width="11" customWidth="1"/>
    <col min="27" max="27" width="6.5703125" bestFit="1" customWidth="1"/>
    <col min="28" max="28" width="4.5703125" bestFit="1" customWidth="1"/>
    <col min="29" max="30" width="14.85546875" bestFit="1" customWidth="1"/>
  </cols>
  <sheetData>
    <row r="1" spans="1:30" ht="174.75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34</v>
      </c>
      <c r="F1" s="10" t="s">
        <v>57</v>
      </c>
      <c r="G1" s="10" t="s">
        <v>58</v>
      </c>
      <c r="H1" s="10" t="s">
        <v>90</v>
      </c>
      <c r="I1" s="10" t="s">
        <v>60</v>
      </c>
      <c r="J1" s="2" t="s">
        <v>4</v>
      </c>
      <c r="K1" s="2" t="s">
        <v>5</v>
      </c>
      <c r="L1" s="2" t="s">
        <v>6</v>
      </c>
      <c r="M1" s="2" t="s">
        <v>31</v>
      </c>
      <c r="N1" t="s">
        <v>30</v>
      </c>
      <c r="O1" s="2" t="s">
        <v>26</v>
      </c>
      <c r="P1" s="2" t="s">
        <v>28</v>
      </c>
      <c r="Q1" s="2" t="s">
        <v>48</v>
      </c>
      <c r="R1" s="2" t="s">
        <v>27</v>
      </c>
      <c r="S1" s="2" t="s">
        <v>29</v>
      </c>
      <c r="T1" s="2" t="s">
        <v>47</v>
      </c>
      <c r="U1" s="2" t="s">
        <v>55</v>
      </c>
      <c r="V1" s="8" t="s">
        <v>50</v>
      </c>
      <c r="W1" s="2" t="s">
        <v>45</v>
      </c>
      <c r="X1" s="2" t="s">
        <v>46</v>
      </c>
      <c r="Y1" s="2" t="s">
        <v>51</v>
      </c>
      <c r="Z1" s="2" t="s">
        <v>52</v>
      </c>
      <c r="AA1" s="2" t="s">
        <v>53</v>
      </c>
      <c r="AB1" s="2" t="s">
        <v>54</v>
      </c>
      <c r="AC1" s="8" t="s">
        <v>63</v>
      </c>
      <c r="AD1" s="8" t="s">
        <v>64</v>
      </c>
    </row>
    <row r="2" spans="1:30" x14ac:dyDescent="0.25">
      <c r="A2" t="s">
        <v>7</v>
      </c>
      <c r="B2" s="16" t="s">
        <v>8</v>
      </c>
      <c r="C2" t="s">
        <v>7</v>
      </c>
      <c r="D2" t="s">
        <v>9</v>
      </c>
      <c r="E2" s="3">
        <v>194.19399999999999</v>
      </c>
      <c r="F2" s="3">
        <v>150</v>
      </c>
      <c r="G2" s="3" t="s">
        <v>59</v>
      </c>
      <c r="H2" s="3" t="s">
        <v>91</v>
      </c>
      <c r="I2" s="3" t="s">
        <v>61</v>
      </c>
      <c r="J2" s="1">
        <v>36</v>
      </c>
      <c r="K2" s="6">
        <v>0.5</v>
      </c>
      <c r="L2" s="6">
        <v>1</v>
      </c>
      <c r="M2" s="1" t="s">
        <v>39</v>
      </c>
      <c r="N2" t="s">
        <v>42</v>
      </c>
      <c r="O2" s="6">
        <v>24.5</v>
      </c>
      <c r="P2" s="6">
        <v>28.2</v>
      </c>
      <c r="Q2" s="6">
        <v>1.1499999999999999</v>
      </c>
      <c r="R2" s="6">
        <v>71</v>
      </c>
      <c r="S2" s="6">
        <v>60.7</v>
      </c>
      <c r="T2" s="6">
        <v>0.85</v>
      </c>
      <c r="U2" s="9">
        <v>1E-3</v>
      </c>
      <c r="V2" s="6" t="s">
        <v>10</v>
      </c>
      <c r="W2" s="6">
        <f>Table1[[#This Row],[Observed Non-Pregnant]]*Table1[[#This Row],[Mass Conversion]]/Table1[[#This Row],[AVERAGE_MASS]]*1000000</f>
        <v>126.16249729651793</v>
      </c>
      <c r="X2" s="6">
        <f>Table1[[#This Row],[Predicted Non-Pregnant]]*Table1[[#This Row],[Mass Conversion]]/Table1[[#This Row],[AVERAGE_MASS]]*1000000</f>
        <v>145.2156091331349</v>
      </c>
      <c r="Y2" s="6">
        <f>Table1[[#This Row],[Predicted Non-Pregnant3]]/Table1[[#This Row],[Observed Non-Pregnant2]]</f>
        <v>1.1510204081632651</v>
      </c>
      <c r="Z2" s="6">
        <f>Table1[[#This Row],[Observed Pregnant]]*Table1[[#This Row],[Mass Conversion]]/Table1[[#This Row],[AVERAGE_MASS]]*1000000</f>
        <v>365.61376767562342</v>
      </c>
      <c r="AA2" s="6">
        <f>Table1[[#This Row],[Predicted Pregnant]]*Table1[[#This Row],[Mass Conversion]]/Table1[[#This Row],[AVERAGE_MASS]]*1000000</f>
        <v>312.57402391423011</v>
      </c>
      <c r="AB2" s="6">
        <f>Table1[[#This Row],[Predicted Pregnant6]]/Table1[[#This Row],[Observed Pregnant5]]</f>
        <v>0.85492957746478859</v>
      </c>
      <c r="AC2" s="6"/>
      <c r="AD2" s="6"/>
    </row>
    <row r="3" spans="1:30" x14ac:dyDescent="0.25">
      <c r="A3" t="s">
        <v>7</v>
      </c>
      <c r="B3" s="16" t="s">
        <v>8</v>
      </c>
      <c r="C3" t="s">
        <v>7</v>
      </c>
      <c r="D3" t="s">
        <v>9</v>
      </c>
      <c r="E3" s="3">
        <v>194.19399999999999</v>
      </c>
      <c r="F3" s="3">
        <v>150</v>
      </c>
      <c r="G3" s="3" t="s">
        <v>59</v>
      </c>
      <c r="H3" s="3" t="s">
        <v>91</v>
      </c>
      <c r="I3" s="3" t="s">
        <v>61</v>
      </c>
      <c r="J3" s="1">
        <v>36</v>
      </c>
      <c r="K3" s="6">
        <v>0.5</v>
      </c>
      <c r="L3" s="6">
        <v>1</v>
      </c>
      <c r="M3" s="1" t="s">
        <v>40</v>
      </c>
      <c r="N3" t="s">
        <v>49</v>
      </c>
      <c r="O3" s="6">
        <v>4.63</v>
      </c>
      <c r="P3" s="6">
        <v>3.94</v>
      </c>
      <c r="Q3" s="6">
        <v>0.85</v>
      </c>
      <c r="R3" s="6">
        <v>4.08</v>
      </c>
      <c r="S3" s="6">
        <v>3.6</v>
      </c>
      <c r="T3" s="6">
        <v>0.88</v>
      </c>
      <c r="U3" s="9">
        <v>1E-3</v>
      </c>
      <c r="V3" s="6" t="s">
        <v>56</v>
      </c>
      <c r="W3" s="6">
        <f>Table1[[#This Row],[Observed Non-Pregnant]]*Table1[[#This Row],[Mass Conversion]]/Table1[[#This Row],[AVERAGE_MASS]]*1000000</f>
        <v>23.842137244199098</v>
      </c>
      <c r="X3" s="6">
        <f>Table1[[#This Row],[Predicted Non-Pregnant]]*Table1[[#This Row],[Mass Conversion]]/Table1[[#This Row],[AVERAGE_MASS]]*1000000</f>
        <v>20.288989361154311</v>
      </c>
      <c r="Y3" s="6">
        <f>Table1[[#This Row],[Predicted Non-Pregnant3]]/Table1[[#This Row],[Observed Non-Pregnant2]]</f>
        <v>0.85097192224622042</v>
      </c>
      <c r="Z3" s="6">
        <f>Table1[[#This Row],[Observed Pregnant]]*Table1[[#This Row],[Mass Conversion]]/Table1[[#This Row],[AVERAGE_MASS]]*1000000</f>
        <v>21.009917917134413</v>
      </c>
      <c r="AA3" s="6">
        <f>Table1[[#This Row],[Predicted Pregnant]]*Table1[[#This Row],[Mass Conversion]]/Table1[[#This Row],[AVERAGE_MASS]]*1000000</f>
        <v>18.538162868059779</v>
      </c>
      <c r="AB3" s="6">
        <f>Table1[[#This Row],[Predicted Pregnant6]]/Table1[[#This Row],[Observed Pregnant5]]</f>
        <v>0.88235294117647067</v>
      </c>
      <c r="AC3" s="6"/>
      <c r="AD3" s="6"/>
    </row>
    <row r="4" spans="1:30" x14ac:dyDescent="0.25">
      <c r="A4" t="s">
        <v>11</v>
      </c>
      <c r="B4" s="16" t="s">
        <v>12</v>
      </c>
      <c r="C4" t="s">
        <v>11</v>
      </c>
      <c r="D4" t="s">
        <v>13</v>
      </c>
      <c r="E4" s="3">
        <v>325.77</v>
      </c>
      <c r="F4" s="3">
        <v>2</v>
      </c>
      <c r="G4" s="3" t="s">
        <v>59</v>
      </c>
      <c r="H4" s="3" t="s">
        <v>91</v>
      </c>
      <c r="I4" s="3" t="s">
        <v>61</v>
      </c>
      <c r="J4" s="11">
        <v>30</v>
      </c>
      <c r="K4" s="7">
        <v>0.25</v>
      </c>
      <c r="L4" s="7">
        <v>0.25</v>
      </c>
      <c r="M4" s="1" t="s">
        <v>39</v>
      </c>
      <c r="N4" t="s">
        <v>43</v>
      </c>
      <c r="O4" s="6">
        <v>17.899999999999999</v>
      </c>
      <c r="P4" s="6">
        <v>17.100000000000001</v>
      </c>
      <c r="Q4" s="6">
        <v>0.95</v>
      </c>
      <c r="R4" s="6">
        <v>9.5</v>
      </c>
      <c r="S4" s="6">
        <v>7.88</v>
      </c>
      <c r="T4" s="6">
        <v>0.83</v>
      </c>
      <c r="U4" s="9">
        <v>9.9999999999999995E-7</v>
      </c>
      <c r="V4" s="6" t="s">
        <v>10</v>
      </c>
      <c r="W4" s="6">
        <f>Table1[[#This Row],[Observed Non-Pregnant]]*Table1[[#This Row],[Mass Conversion]]/Table1[[#This Row],[AVERAGE_MASS]]*1000000</f>
        <v>5.4946741566135618E-2</v>
      </c>
      <c r="X4" s="6">
        <f>Table1[[#This Row],[Predicted Non-Pregnant]]*Table1[[#This Row],[Mass Conversion]]/Table1[[#This Row],[AVERAGE_MASS]]*1000000</f>
        <v>5.2491021272677053E-2</v>
      </c>
      <c r="Y4" s="6">
        <f>Table1[[#This Row],[Predicted Non-Pregnant3]]/Table1[[#This Row],[Observed Non-Pregnant2]]</f>
        <v>0.95530726256983256</v>
      </c>
      <c r="Z4" s="6">
        <f>Table1[[#This Row],[Observed Pregnant]]*Table1[[#This Row],[Mass Conversion]]/Table1[[#This Row],[AVERAGE_MASS]]*1000000</f>
        <v>2.9161678484820576E-2</v>
      </c>
      <c r="AA4" s="6">
        <f>Table1[[#This Row],[Predicted Pregnant]]*Table1[[#This Row],[Mass Conversion]]/Table1[[#This Row],[AVERAGE_MASS]]*1000000</f>
        <v>2.4188844890566961E-2</v>
      </c>
      <c r="AB4" s="6">
        <f>Table1[[#This Row],[Predicted Pregnant6]]/Table1[[#This Row],[Observed Pregnant5]]</f>
        <v>0.82947368421052625</v>
      </c>
      <c r="AC4" s="6"/>
      <c r="AD4" s="6"/>
    </row>
    <row r="5" spans="1:30" x14ac:dyDescent="0.25">
      <c r="A5" t="s">
        <v>11</v>
      </c>
      <c r="B5" s="16" t="s">
        <v>12</v>
      </c>
      <c r="C5" t="s">
        <v>11</v>
      </c>
      <c r="D5" t="s">
        <v>13</v>
      </c>
      <c r="E5" s="3">
        <v>325.77</v>
      </c>
      <c r="F5" s="3">
        <v>2</v>
      </c>
      <c r="G5" s="3" t="s">
        <v>59</v>
      </c>
      <c r="H5" s="3" t="s">
        <v>91</v>
      </c>
      <c r="I5" s="3" t="s">
        <v>61</v>
      </c>
      <c r="J5" s="11">
        <v>30</v>
      </c>
      <c r="K5" s="7">
        <v>0.25</v>
      </c>
      <c r="L5" s="7">
        <v>0.25</v>
      </c>
      <c r="M5" s="1" t="s">
        <v>40</v>
      </c>
      <c r="N5" t="s">
        <v>44</v>
      </c>
      <c r="O5" s="6">
        <v>9.3000000000000007</v>
      </c>
      <c r="P5" s="6">
        <v>7.71</v>
      </c>
      <c r="Q5" s="6">
        <v>0.83</v>
      </c>
      <c r="R5" s="6">
        <v>6.4</v>
      </c>
      <c r="S5" s="6">
        <v>4.12</v>
      </c>
      <c r="T5" s="6">
        <v>0.64</v>
      </c>
      <c r="U5" s="9">
        <v>9.9999999999999995E-7</v>
      </c>
      <c r="V5" s="6" t="s">
        <v>56</v>
      </c>
      <c r="W5" s="6">
        <f>Table1[[#This Row],[Observed Non-Pregnant]]*Table1[[#This Row],[Mass Conversion]]/Table1[[#This Row],[AVERAGE_MASS]]*1000000</f>
        <v>2.854774841145594E-2</v>
      </c>
      <c r="X5" s="6">
        <f>Table1[[#This Row],[Predicted Non-Pregnant]]*Table1[[#This Row],[Mass Conversion]]/Table1[[#This Row],[AVERAGE_MASS]]*1000000</f>
        <v>2.3667004328207016E-2</v>
      </c>
      <c r="Y5" s="6">
        <f>Table1[[#This Row],[Predicted Non-Pregnant3]]/Table1[[#This Row],[Observed Non-Pregnant2]]</f>
        <v>0.82903225806451597</v>
      </c>
      <c r="Z5" s="6">
        <f>Table1[[#This Row],[Observed Pregnant]]*Table1[[#This Row],[Mass Conversion]]/Table1[[#This Row],[AVERAGE_MASS]]*1000000</f>
        <v>1.9645762347668599E-2</v>
      </c>
      <c r="AA5" s="6">
        <f>Table1[[#This Row],[Predicted Pregnant]]*Table1[[#This Row],[Mass Conversion]]/Table1[[#This Row],[AVERAGE_MASS]]*1000000</f>
        <v>1.2646959511311661E-2</v>
      </c>
      <c r="AB5" s="6">
        <f>Table1[[#This Row],[Predicted Pregnant6]]/Table1[[#This Row],[Observed Pregnant5]]</f>
        <v>0.64375000000000004</v>
      </c>
      <c r="AC5" s="6"/>
      <c r="AD5" s="6"/>
    </row>
    <row r="6" spans="1:30" x14ac:dyDescent="0.25">
      <c r="A6" t="s">
        <v>14</v>
      </c>
      <c r="B6" s="16" t="s">
        <v>15</v>
      </c>
      <c r="C6" t="s">
        <v>14</v>
      </c>
      <c r="D6" t="s">
        <v>16</v>
      </c>
      <c r="E6" s="3">
        <v>346.339</v>
      </c>
      <c r="F6" s="3">
        <v>20</v>
      </c>
      <c r="G6" s="3" t="s">
        <v>59</v>
      </c>
      <c r="H6" s="3" t="s">
        <v>91</v>
      </c>
      <c r="I6" s="3" t="s">
        <v>61</v>
      </c>
      <c r="J6" s="11">
        <v>32</v>
      </c>
      <c r="K6" s="7">
        <v>1</v>
      </c>
      <c r="L6" s="7">
        <v>0.33333333333333298</v>
      </c>
      <c r="M6" s="1" t="s">
        <v>39</v>
      </c>
      <c r="N6" t="s">
        <v>43</v>
      </c>
      <c r="O6" s="6">
        <v>326</v>
      </c>
      <c r="P6" s="6">
        <v>373</v>
      </c>
      <c r="Q6" s="6">
        <v>1.1399999999999999</v>
      </c>
      <c r="R6" s="6">
        <v>272</v>
      </c>
      <c r="S6" s="6">
        <v>231</v>
      </c>
      <c r="T6" s="6">
        <v>0.85</v>
      </c>
      <c r="U6" s="9">
        <v>9.9999999999999995E-7</v>
      </c>
      <c r="V6" s="6" t="s">
        <v>10</v>
      </c>
      <c r="W6" s="6">
        <f>Table1[[#This Row],[Observed Non-Pregnant]]*Table1[[#This Row],[Mass Conversion]]/Table1[[#This Row],[AVERAGE_MASS]]*1000000</f>
        <v>0.94127430061298323</v>
      </c>
      <c r="X6" s="6">
        <f>Table1[[#This Row],[Predicted Non-Pregnant]]*Table1[[#This Row],[Mass Conversion]]/Table1[[#This Row],[AVERAGE_MASS]]*1000000</f>
        <v>1.0769794911921555</v>
      </c>
      <c r="Y6" s="6">
        <f>Table1[[#This Row],[Predicted Non-Pregnant3]]/Table1[[#This Row],[Observed Non-Pregnant2]]</f>
        <v>1.1441717791411041</v>
      </c>
      <c r="Z6" s="6">
        <f>Table1[[#This Row],[Observed Pregnant]]*Table1[[#This Row],[Mass Conversion]]/Table1[[#This Row],[AVERAGE_MASS]]*1000000</f>
        <v>0.78535769867095528</v>
      </c>
      <c r="AA6" s="6">
        <f>Table1[[#This Row],[Predicted Pregnant]]*Table1[[#This Row],[Mass Conversion]]/Table1[[#This Row],[AVERAGE_MASS]]*1000000</f>
        <v>0.66697657497423035</v>
      </c>
      <c r="AB6" s="6">
        <f>Table1[[#This Row],[Predicted Pregnant6]]/Table1[[#This Row],[Observed Pregnant5]]</f>
        <v>0.84926470588235292</v>
      </c>
      <c r="AC6" s="6"/>
      <c r="AD6" s="6"/>
    </row>
    <row r="7" spans="1:30" x14ac:dyDescent="0.25">
      <c r="A7" t="s">
        <v>14</v>
      </c>
      <c r="B7" s="16" t="s">
        <v>15</v>
      </c>
      <c r="C7" t="s">
        <v>14</v>
      </c>
      <c r="D7" t="s">
        <v>16</v>
      </c>
      <c r="E7" s="3">
        <v>346.339</v>
      </c>
      <c r="F7" s="3">
        <v>20</v>
      </c>
      <c r="G7" s="3" t="s">
        <v>59</v>
      </c>
      <c r="H7" s="3" t="s">
        <v>91</v>
      </c>
      <c r="I7" s="3" t="s">
        <v>61</v>
      </c>
      <c r="J7" s="11">
        <v>32</v>
      </c>
      <c r="K7" s="7">
        <v>1</v>
      </c>
      <c r="L7" s="7">
        <v>0.33333333333333298</v>
      </c>
      <c r="M7" s="1" t="s">
        <v>40</v>
      </c>
      <c r="N7" t="s">
        <v>44</v>
      </c>
      <c r="O7" s="6">
        <v>152</v>
      </c>
      <c r="P7" s="6">
        <v>98.9</v>
      </c>
      <c r="Q7" s="6">
        <v>0.65</v>
      </c>
      <c r="R7" s="6">
        <v>134</v>
      </c>
      <c r="S7" s="6">
        <v>63</v>
      </c>
      <c r="T7" s="6">
        <v>0.47</v>
      </c>
      <c r="U7" s="9">
        <v>9.9999999999999995E-7</v>
      </c>
      <c r="V7" s="6" t="s">
        <v>56</v>
      </c>
      <c r="W7" s="6">
        <f>Table1[[#This Row],[Observed Non-Pregnant]]*Table1[[#This Row],[Mass Conversion]]/Table1[[#This Row],[AVERAGE_MASS]]*1000000</f>
        <v>0.43887636102200439</v>
      </c>
      <c r="X7" s="6">
        <f>Table1[[#This Row],[Predicted Non-Pregnant]]*Table1[[#This Row],[Mass Conversion]]/Table1[[#This Row],[AVERAGE_MASS]]*1000000</f>
        <v>0.28555836911234372</v>
      </c>
      <c r="Y7" s="6">
        <f>Table1[[#This Row],[Predicted Non-Pregnant3]]/Table1[[#This Row],[Observed Non-Pregnant2]]</f>
        <v>0.65065789473684232</v>
      </c>
      <c r="Z7" s="6">
        <f>Table1[[#This Row],[Observed Pregnant]]*Table1[[#This Row],[Mass Conversion]]/Table1[[#This Row],[AVERAGE_MASS]]*1000000</f>
        <v>0.38690416037466185</v>
      </c>
      <c r="AA7" s="6">
        <f>Table1[[#This Row],[Predicted Pregnant]]*Table1[[#This Row],[Mass Conversion]]/Table1[[#This Row],[AVERAGE_MASS]]*1000000</f>
        <v>0.18190270226569921</v>
      </c>
      <c r="AB7" s="6">
        <f>Table1[[#This Row],[Predicted Pregnant6]]/Table1[[#This Row],[Observed Pregnant5]]</f>
        <v>0.47014925373134325</v>
      </c>
      <c r="AC7" s="6"/>
      <c r="AD7" s="6"/>
    </row>
    <row r="8" spans="1:30" x14ac:dyDescent="0.25">
      <c r="A8" t="s">
        <v>17</v>
      </c>
      <c r="B8" s="16" t="s">
        <v>18</v>
      </c>
      <c r="C8" t="s">
        <v>17</v>
      </c>
      <c r="D8" t="s">
        <v>19</v>
      </c>
      <c r="E8" s="3">
        <v>267.36900000000003</v>
      </c>
      <c r="F8" s="3">
        <v>10</v>
      </c>
      <c r="G8" s="3" t="s">
        <v>59</v>
      </c>
      <c r="H8" s="3" t="s">
        <v>91</v>
      </c>
      <c r="I8" s="3" t="s">
        <v>62</v>
      </c>
      <c r="J8" s="11">
        <v>37</v>
      </c>
      <c r="K8" s="7">
        <v>0.5</v>
      </c>
      <c r="L8" s="7">
        <v>0.5</v>
      </c>
      <c r="M8" s="1" t="s">
        <v>39</v>
      </c>
      <c r="N8" t="s">
        <v>43</v>
      </c>
      <c r="O8" s="6">
        <v>256</v>
      </c>
      <c r="P8" s="6">
        <v>241</v>
      </c>
      <c r="Q8" s="6">
        <v>0.94</v>
      </c>
      <c r="R8" s="6">
        <v>121</v>
      </c>
      <c r="S8" s="6">
        <v>132</v>
      </c>
      <c r="T8" s="6">
        <v>1.0900000000000001</v>
      </c>
      <c r="U8" s="9">
        <v>9.9999999999999995E-7</v>
      </c>
      <c r="V8" s="6" t="s">
        <v>10</v>
      </c>
      <c r="W8" s="6">
        <f>Table1[[#This Row],[Observed Non-Pregnant]]*Table1[[#This Row],[Mass Conversion]]/Table1[[#This Row],[AVERAGE_MASS]]*1000000</f>
        <v>0.95747824168097262</v>
      </c>
      <c r="X8" s="6">
        <f>Table1[[#This Row],[Predicted Non-Pregnant]]*Table1[[#This Row],[Mass Conversion]]/Table1[[#This Row],[AVERAGE_MASS]]*1000000</f>
        <v>0.90137600095747805</v>
      </c>
      <c r="Y8" s="6">
        <f>Table1[[#This Row],[Predicted Non-Pregnant3]]/Table1[[#This Row],[Observed Non-Pregnant2]]</f>
        <v>0.94140624999999989</v>
      </c>
      <c r="Z8" s="6">
        <f>Table1[[#This Row],[Observed Pregnant]]*Table1[[#This Row],[Mass Conversion]]/Table1[[#This Row],[AVERAGE_MASS]]*1000000</f>
        <v>0.45255807516952223</v>
      </c>
      <c r="AA8" s="6">
        <f>Table1[[#This Row],[Predicted Pregnant]]*Table1[[#This Row],[Mass Conversion]]/Table1[[#This Row],[AVERAGE_MASS]]*1000000</f>
        <v>0.49369971836675147</v>
      </c>
      <c r="AB8" s="6">
        <f>Table1[[#This Row],[Predicted Pregnant6]]/Table1[[#This Row],[Observed Pregnant5]]</f>
        <v>1.0909090909090908</v>
      </c>
      <c r="AC8" s="6"/>
      <c r="AD8" s="6"/>
    </row>
    <row r="9" spans="1:30" x14ac:dyDescent="0.25">
      <c r="A9" t="s">
        <v>20</v>
      </c>
      <c r="B9" s="16" t="s">
        <v>21</v>
      </c>
      <c r="C9" t="s">
        <v>20</v>
      </c>
      <c r="D9" t="s">
        <v>22</v>
      </c>
      <c r="E9" s="3">
        <v>293.37</v>
      </c>
      <c r="F9" s="3">
        <v>4</v>
      </c>
      <c r="G9" s="3" t="s">
        <v>59</v>
      </c>
      <c r="H9" s="3" t="s">
        <v>91</v>
      </c>
      <c r="I9" s="3" t="s">
        <v>62</v>
      </c>
      <c r="J9" s="11">
        <v>39</v>
      </c>
      <c r="K9" s="7">
        <v>0.33333333333333298</v>
      </c>
      <c r="L9" s="7">
        <v>0.33333333333333298</v>
      </c>
      <c r="M9" s="1" t="s">
        <v>39</v>
      </c>
      <c r="N9" t="s">
        <v>43</v>
      </c>
      <c r="O9" s="6">
        <v>234</v>
      </c>
      <c r="P9" s="6">
        <v>242</v>
      </c>
      <c r="Q9" s="6">
        <v>1.04</v>
      </c>
      <c r="R9" s="6">
        <v>164</v>
      </c>
      <c r="S9" s="6">
        <v>158</v>
      </c>
      <c r="T9" s="6">
        <v>0.97</v>
      </c>
      <c r="U9" s="9">
        <v>9.9999999999999995E-7</v>
      </c>
      <c r="V9" s="6" t="s">
        <v>10</v>
      </c>
      <c r="W9" s="6">
        <f>Table1[[#This Row],[Observed Non-Pregnant]]*Table1[[#This Row],[Mass Conversion]]/Table1[[#This Row],[AVERAGE_MASS]]*1000000</f>
        <v>0.79762756928111256</v>
      </c>
      <c r="X9" s="6">
        <f>Table1[[#This Row],[Predicted Non-Pregnant]]*Table1[[#This Row],[Mass Conversion]]/Table1[[#This Row],[AVERAGE_MASS]]*1000000</f>
        <v>0.82489688788901383</v>
      </c>
      <c r="Y9" s="6">
        <f>Table1[[#This Row],[Predicted Non-Pregnant3]]/Table1[[#This Row],[Observed Non-Pregnant2]]</f>
        <v>1.0341880341880341</v>
      </c>
      <c r="Z9" s="6">
        <f>Table1[[#This Row],[Observed Pregnant]]*Table1[[#This Row],[Mass Conversion]]/Table1[[#This Row],[AVERAGE_MASS]]*1000000</f>
        <v>0.55902103146197635</v>
      </c>
      <c r="AA9" s="6">
        <f>Table1[[#This Row],[Predicted Pregnant]]*Table1[[#This Row],[Mass Conversion]]/Table1[[#This Row],[AVERAGE_MASS]]*1000000</f>
        <v>0.53856904250605031</v>
      </c>
      <c r="AB9" s="6">
        <f>Table1[[#This Row],[Predicted Pregnant6]]/Table1[[#This Row],[Observed Pregnant5]]</f>
        <v>0.96341463414634132</v>
      </c>
      <c r="AC9" s="6"/>
      <c r="AD9" s="6"/>
    </row>
    <row r="10" spans="1:30" x14ac:dyDescent="0.25">
      <c r="A10" t="s">
        <v>23</v>
      </c>
      <c r="B10" s="16" t="s">
        <v>24</v>
      </c>
      <c r="C10" t="s">
        <v>23</v>
      </c>
      <c r="D10" t="s">
        <v>25</v>
      </c>
      <c r="E10" s="3">
        <v>312.41699999999997</v>
      </c>
      <c r="F10" s="3">
        <v>1</v>
      </c>
      <c r="G10" s="3" t="s">
        <v>59</v>
      </c>
      <c r="H10" s="3" t="s">
        <v>91</v>
      </c>
      <c r="I10" s="3" t="s">
        <v>62</v>
      </c>
      <c r="J10" s="1">
        <v>15</v>
      </c>
      <c r="K10" s="6">
        <v>1</v>
      </c>
      <c r="L10" s="6">
        <v>1</v>
      </c>
      <c r="M10" s="1" t="s">
        <v>39</v>
      </c>
      <c r="N10" t="s">
        <v>43</v>
      </c>
      <c r="O10" s="6">
        <v>125</v>
      </c>
      <c r="P10" s="6">
        <v>103</v>
      </c>
      <c r="Q10" s="6">
        <v>0.82</v>
      </c>
      <c r="R10" s="6">
        <v>113</v>
      </c>
      <c r="S10" s="6">
        <v>111</v>
      </c>
      <c r="T10" s="6">
        <v>0.98</v>
      </c>
      <c r="U10" s="9">
        <v>9.9999999999999995E-7</v>
      </c>
      <c r="V10" s="6" t="s">
        <v>10</v>
      </c>
      <c r="W10" s="6">
        <f>Table1[[#This Row],[Observed Non-Pregnant]]*Table1[[#This Row],[Mass Conversion]]/Table1[[#This Row],[AVERAGE_MASS]]*1000000</f>
        <v>0.40010626822484058</v>
      </c>
      <c r="X10" s="6">
        <f>Table1[[#This Row],[Predicted Non-Pregnant]]*Table1[[#This Row],[Mass Conversion]]/Table1[[#This Row],[AVERAGE_MASS]]*1000000</f>
        <v>0.32968756501726859</v>
      </c>
      <c r="Y10" s="6">
        <f>Table1[[#This Row],[Predicted Non-Pregnant3]]/Table1[[#This Row],[Observed Non-Pregnant2]]</f>
        <v>0.82399999999999984</v>
      </c>
      <c r="Z10" s="6">
        <f>Table1[[#This Row],[Observed Pregnant]]*Table1[[#This Row],[Mass Conversion]]/Table1[[#This Row],[AVERAGE_MASS]]*1000000</f>
        <v>0.36169606647525582</v>
      </c>
      <c r="AA10" s="6">
        <f>Table1[[#This Row],[Predicted Pregnant]]*Table1[[#This Row],[Mass Conversion]]/Table1[[#This Row],[AVERAGE_MASS]]*1000000</f>
        <v>0.35529436618365839</v>
      </c>
      <c r="AB10" s="6">
        <f>Table1[[#This Row],[Predicted Pregnant6]]/Table1[[#This Row],[Observed Pregnant5]]</f>
        <v>0.9823008849557523</v>
      </c>
      <c r="AC10" s="6"/>
      <c r="AD10" s="6"/>
    </row>
    <row r="11" spans="1:30" x14ac:dyDescent="0.25">
      <c r="A11" t="s">
        <v>32</v>
      </c>
      <c r="B11" s="16" t="s">
        <v>35</v>
      </c>
      <c r="C11" t="s">
        <v>32</v>
      </c>
      <c r="D11" t="s">
        <v>36</v>
      </c>
      <c r="E11" s="3">
        <v>284.74</v>
      </c>
      <c r="F11" s="3">
        <v>10</v>
      </c>
      <c r="G11" s="3" t="s">
        <v>59</v>
      </c>
      <c r="H11" s="3" t="s">
        <v>91</v>
      </c>
      <c r="I11" s="3" t="s">
        <v>62</v>
      </c>
      <c r="J11" s="11">
        <v>39</v>
      </c>
      <c r="K11" s="7">
        <v>1</v>
      </c>
      <c r="L11" s="7">
        <f>10/24</f>
        <v>0.41666666666666669</v>
      </c>
      <c r="M11" s="1" t="s">
        <v>41</v>
      </c>
      <c r="N11" t="s">
        <v>42</v>
      </c>
      <c r="O11" s="6">
        <v>2.33</v>
      </c>
      <c r="P11" s="6">
        <v>2.25</v>
      </c>
      <c r="Q11" s="6">
        <v>0.96</v>
      </c>
      <c r="R11" s="6">
        <v>0.7</v>
      </c>
      <c r="S11" s="6">
        <v>0.63</v>
      </c>
      <c r="T11" s="6">
        <v>0.9</v>
      </c>
      <c r="U11" s="9">
        <v>1E-3</v>
      </c>
      <c r="V11" s="6" t="s">
        <v>10</v>
      </c>
      <c r="W11" s="6">
        <f>Table1[[#This Row],[Observed Non-Pregnant]]*Table1[[#This Row],[Mass Conversion]]/Table1[[#This Row],[AVERAGE_MASS]]*1000000</f>
        <v>8.1829037016225321</v>
      </c>
      <c r="X11" s="6">
        <f>Table1[[#This Row],[Predicted Non-Pregnant]]*Table1[[#This Row],[Mass Conversion]]/Table1[[#This Row],[AVERAGE_MASS]]*1000000</f>
        <v>7.9019456346140347</v>
      </c>
      <c r="Y11" s="6">
        <f>Table1[[#This Row],[Predicted Non-Pregnant3]]/Table1[[#This Row],[Observed Non-Pregnant2]]</f>
        <v>0.96566523605150234</v>
      </c>
      <c r="Z11" s="6">
        <f>Table1[[#This Row],[Observed Pregnant]]*Table1[[#This Row],[Mass Conversion]]/Table1[[#This Row],[AVERAGE_MASS]]*1000000</f>
        <v>2.4583830863243659</v>
      </c>
      <c r="AA11" s="6">
        <f>Table1[[#This Row],[Predicted Pregnant]]*Table1[[#This Row],[Mass Conversion]]/Table1[[#This Row],[AVERAGE_MASS]]*1000000</f>
        <v>2.2125447776919294</v>
      </c>
      <c r="AB11" s="6">
        <f>Table1[[#This Row],[Predicted Pregnant6]]/Table1[[#This Row],[Observed Pregnant5]]</f>
        <v>0.9</v>
      </c>
      <c r="AC11" s="6"/>
      <c r="AD11" s="6"/>
    </row>
    <row r="12" spans="1:30" x14ac:dyDescent="0.25">
      <c r="A12" t="s">
        <v>33</v>
      </c>
      <c r="B12" s="16" t="s">
        <v>37</v>
      </c>
      <c r="C12" t="s">
        <v>33</v>
      </c>
      <c r="D12" t="s">
        <v>38</v>
      </c>
      <c r="E12" s="3">
        <v>171.15600000000001</v>
      </c>
      <c r="F12" s="3">
        <v>500</v>
      </c>
      <c r="G12" s="3" t="s">
        <v>59</v>
      </c>
      <c r="H12" s="3" t="s">
        <v>91</v>
      </c>
      <c r="I12" s="3" t="s">
        <v>62</v>
      </c>
      <c r="J12" s="11">
        <v>39</v>
      </c>
      <c r="K12" s="7">
        <v>2</v>
      </c>
      <c r="L12" s="7">
        <v>2</v>
      </c>
      <c r="M12" s="1" t="s">
        <v>39</v>
      </c>
      <c r="N12" t="s">
        <v>42</v>
      </c>
      <c r="O12" s="6">
        <v>151</v>
      </c>
      <c r="P12" s="6">
        <v>170</v>
      </c>
      <c r="Q12" s="6">
        <v>1.1200000000000001</v>
      </c>
      <c r="R12" s="6">
        <v>102</v>
      </c>
      <c r="S12" s="6">
        <v>112</v>
      </c>
      <c r="T12" s="6">
        <v>1.1000000000000001</v>
      </c>
      <c r="U12" s="9">
        <v>1E-3</v>
      </c>
      <c r="V12" s="6" t="s">
        <v>10</v>
      </c>
      <c r="W12" s="6">
        <f>Table1[[#This Row],[Observed Non-Pregnant]]*Table1[[#This Row],[Mass Conversion]]/Table1[[#This Row],[AVERAGE_MASS]]*1000000</f>
        <v>882.2360887143891</v>
      </c>
      <c r="X12" s="6">
        <f>Table1[[#This Row],[Predicted Non-Pregnant]]*Table1[[#This Row],[Mass Conversion]]/Table1[[#This Row],[AVERAGE_MASS]]*1000000</f>
        <v>993.24592769169647</v>
      </c>
      <c r="Y12" s="6">
        <f>Table1[[#This Row],[Predicted Non-Pregnant3]]/Table1[[#This Row],[Observed Non-Pregnant2]]</f>
        <v>1.1258278145695366</v>
      </c>
      <c r="Z12" s="6">
        <f>Table1[[#This Row],[Observed Pregnant]]*Table1[[#This Row],[Mass Conversion]]/Table1[[#This Row],[AVERAGE_MASS]]*1000000</f>
        <v>595.9475566150179</v>
      </c>
      <c r="AA12" s="6">
        <f>Table1[[#This Row],[Predicted Pregnant]]*Table1[[#This Row],[Mass Conversion]]/Table1[[#This Row],[AVERAGE_MASS]]*1000000</f>
        <v>654.37378765570588</v>
      </c>
      <c r="AB12" s="6">
        <f>Table1[[#This Row],[Predicted Pregnant6]]/Table1[[#This Row],[Observed Pregnant5]]</f>
        <v>1.0980392156862744</v>
      </c>
      <c r="AC12" s="6"/>
      <c r="AD12" s="6"/>
    </row>
    <row r="13" spans="1:30" x14ac:dyDescent="0.25">
      <c r="A13" t="s">
        <v>65</v>
      </c>
      <c r="B13" s="16" t="s">
        <v>136</v>
      </c>
      <c r="C13" t="s">
        <v>65</v>
      </c>
      <c r="D13" t="s">
        <v>66</v>
      </c>
      <c r="E13" s="7">
        <v>546.58000000000004</v>
      </c>
      <c r="F13" s="3">
        <v>1000</v>
      </c>
      <c r="G13" s="3" t="s">
        <v>59</v>
      </c>
      <c r="H13" s="3" t="s">
        <v>91</v>
      </c>
      <c r="I13" s="3" t="s">
        <v>62</v>
      </c>
      <c r="J13" s="11">
        <v>29.1</v>
      </c>
      <c r="K13" s="7">
        <v>0.3333333</v>
      </c>
      <c r="L13" s="7">
        <v>0.25</v>
      </c>
      <c r="M13" s="1" t="s">
        <v>39</v>
      </c>
      <c r="N13" s="1" t="s">
        <v>42</v>
      </c>
      <c r="O13" s="6">
        <v>143.80000000000001</v>
      </c>
      <c r="P13" s="6"/>
      <c r="Q13" s="6"/>
      <c r="R13" s="6">
        <v>111.11</v>
      </c>
      <c r="S13" s="6"/>
      <c r="T13" s="6"/>
      <c r="U13" s="9">
        <f>1/1000</f>
        <v>1E-3</v>
      </c>
      <c r="V13" s="6" t="s">
        <v>10</v>
      </c>
      <c r="W13" s="6">
        <f>Table1[[#This Row],[Observed Non-Pregnant]]/Table1[[#This Row],[AVERAGE_MASS]]/Table1[[#This Row],[Mass Conversion]]</f>
        <v>263.09048995572471</v>
      </c>
      <c r="X13" s="6"/>
      <c r="Y13" s="6"/>
      <c r="Z13" s="6">
        <f>Table1[[#This Row],[Observed Pregnant]]/Table1[[#This Row],[AVERAGE_MASS]]/Table1[[#This Row],[Mass Conversion]]</f>
        <v>203.28222767024039</v>
      </c>
      <c r="AA13" s="6"/>
      <c r="AB13" s="6"/>
      <c r="AC13" s="6" t="s">
        <v>68</v>
      </c>
      <c r="AD13" s="6" t="s">
        <v>67</v>
      </c>
    </row>
    <row r="14" spans="1:30" x14ac:dyDescent="0.25">
      <c r="A14" t="s">
        <v>69</v>
      </c>
      <c r="B14" s="16" t="s">
        <v>137</v>
      </c>
      <c r="C14" t="s">
        <v>69</v>
      </c>
      <c r="D14" t="s">
        <v>70</v>
      </c>
      <c r="E14" s="7">
        <v>454.51</v>
      </c>
      <c r="F14" s="3">
        <v>500</v>
      </c>
      <c r="G14" s="3" t="s">
        <v>59</v>
      </c>
      <c r="H14" s="3" t="s">
        <v>91</v>
      </c>
      <c r="I14" s="3" t="s">
        <v>62</v>
      </c>
      <c r="J14" s="11">
        <v>24.5</v>
      </c>
      <c r="K14" s="7">
        <v>0.3333333</v>
      </c>
      <c r="L14" s="7">
        <v>0.2083333</v>
      </c>
      <c r="M14" s="1" t="s">
        <v>39</v>
      </c>
      <c r="N14" s="1" t="s">
        <v>42</v>
      </c>
      <c r="O14" s="1">
        <v>110</v>
      </c>
      <c r="R14" s="1">
        <v>75.7</v>
      </c>
      <c r="S14" s="6"/>
      <c r="T14" s="6"/>
      <c r="U14" s="9">
        <f t="shared" ref="U14:U44" si="0">1/1000</f>
        <v>1E-3</v>
      </c>
      <c r="V14" s="6" t="s">
        <v>10</v>
      </c>
      <c r="W14" s="6">
        <f>Table1[[#This Row],[Observed Non-Pregnant]]/1000/Table1[[#This Row],[AVERAGE_MASS]]*1000000</f>
        <v>242.01887747244285</v>
      </c>
      <c r="X14" s="6"/>
      <c r="Y14" s="6"/>
      <c r="Z14" s="6">
        <f>Table1[[#This Row],[Observed Pregnant]]/1000/Table1[[#This Row],[AVERAGE_MASS]]*1000000</f>
        <v>166.55299113330841</v>
      </c>
      <c r="AA14" s="6"/>
      <c r="AB14" s="6"/>
      <c r="AC14" s="6" t="s">
        <v>75</v>
      </c>
      <c r="AD14" s="6" t="s">
        <v>75</v>
      </c>
    </row>
    <row r="15" spans="1:30" x14ac:dyDescent="0.25">
      <c r="A15" t="s">
        <v>71</v>
      </c>
      <c r="B15" s="16" t="s">
        <v>138</v>
      </c>
      <c r="C15" t="s">
        <v>71</v>
      </c>
      <c r="D15" t="s">
        <v>73</v>
      </c>
      <c r="E15" s="13">
        <v>424.38600000000002</v>
      </c>
      <c r="F15" s="3">
        <v>750</v>
      </c>
      <c r="G15" s="3" t="s">
        <v>59</v>
      </c>
      <c r="H15" s="3" t="s">
        <v>91</v>
      </c>
      <c r="I15" s="3" t="s">
        <v>62</v>
      </c>
      <c r="J15" s="11">
        <v>13</v>
      </c>
      <c r="K15" s="7">
        <v>0.2083333</v>
      </c>
      <c r="L15" s="7">
        <v>0.2083333</v>
      </c>
      <c r="M15" s="1" t="s">
        <v>41</v>
      </c>
      <c r="N15" t="s">
        <v>42</v>
      </c>
      <c r="O15" s="1">
        <v>68</v>
      </c>
      <c r="R15" s="1">
        <v>42</v>
      </c>
      <c r="S15" s="6"/>
      <c r="T15" s="6"/>
      <c r="U15" s="9">
        <f t="shared" si="0"/>
        <v>1E-3</v>
      </c>
      <c r="V15" s="6" t="s">
        <v>10</v>
      </c>
      <c r="W15" s="6">
        <f>Table1[[#This Row],[Observed Non-Pregnant]]/1000/Table1[[#This Row],[AVERAGE_MASS]]*1000000</f>
        <v>160.23148737234501</v>
      </c>
      <c r="X15" s="6"/>
      <c r="Y15" s="6"/>
      <c r="Z15" s="6">
        <f>Table1[[#This Row],[Observed Pregnant]]/1000/Table1[[#This Row],[AVERAGE_MASS]]*1000000</f>
        <v>98.966506906448373</v>
      </c>
      <c r="AA15" s="6"/>
      <c r="AB15" s="6"/>
      <c r="AC15" s="6" t="s">
        <v>75</v>
      </c>
      <c r="AD15" s="6" t="s">
        <v>75</v>
      </c>
    </row>
    <row r="16" spans="1:30" x14ac:dyDescent="0.25">
      <c r="A16" t="s">
        <v>71</v>
      </c>
      <c r="B16" s="16" t="s">
        <v>138</v>
      </c>
      <c r="C16" t="s">
        <v>71</v>
      </c>
      <c r="D16" t="s">
        <v>73</v>
      </c>
      <c r="E16" s="13">
        <v>424.38600000000002</v>
      </c>
      <c r="F16" s="3">
        <v>750</v>
      </c>
      <c r="G16" s="3" t="s">
        <v>59</v>
      </c>
      <c r="H16" s="3" t="s">
        <v>91</v>
      </c>
      <c r="I16" s="3" t="s">
        <v>62</v>
      </c>
      <c r="J16" s="11">
        <v>41</v>
      </c>
      <c r="K16" s="7">
        <v>0.2083333</v>
      </c>
      <c r="L16" s="7">
        <v>0.2083333</v>
      </c>
      <c r="M16" s="1" t="s">
        <v>41</v>
      </c>
      <c r="N16" s="1" t="s">
        <v>42</v>
      </c>
      <c r="O16" s="1">
        <v>68</v>
      </c>
      <c r="R16" s="1">
        <v>46.7</v>
      </c>
      <c r="S16" s="6"/>
      <c r="T16" s="6"/>
      <c r="U16" s="9">
        <f t="shared" si="0"/>
        <v>1E-3</v>
      </c>
      <c r="V16" s="6" t="s">
        <v>10</v>
      </c>
      <c r="W16" s="6">
        <f>Table1[[#This Row],[Observed Non-Pregnant]]/1000/Table1[[#This Row],[AVERAGE_MASS]]*1000000</f>
        <v>160.23148737234501</v>
      </c>
      <c r="X16" s="6"/>
      <c r="Y16" s="6"/>
      <c r="Z16" s="6">
        <f>Table1[[#This Row],[Observed Pregnant]]/1000/Table1[[#This Row],[AVERAGE_MASS]]*1000000</f>
        <v>110.04133029836046</v>
      </c>
      <c r="AA16" s="6"/>
      <c r="AB16" s="6"/>
      <c r="AC16" s="6" t="s">
        <v>75</v>
      </c>
      <c r="AD16" s="6" t="s">
        <v>75</v>
      </c>
    </row>
    <row r="17" spans="1:30" x14ac:dyDescent="0.25">
      <c r="A17" t="s">
        <v>72</v>
      </c>
      <c r="B17" s="16" t="s">
        <v>139</v>
      </c>
      <c r="C17" t="s">
        <v>140</v>
      </c>
      <c r="D17" t="s">
        <v>74</v>
      </c>
      <c r="E17" s="7">
        <v>349.4</v>
      </c>
      <c r="F17" s="3">
        <v>500</v>
      </c>
      <c r="G17" s="3" t="s">
        <v>59</v>
      </c>
      <c r="H17" s="3" t="s">
        <v>91</v>
      </c>
      <c r="I17" s="3" t="s">
        <v>62</v>
      </c>
      <c r="J17" s="11">
        <v>15</v>
      </c>
      <c r="K17" s="7">
        <v>0.2083333</v>
      </c>
      <c r="L17" s="7">
        <v>0.2083333</v>
      </c>
      <c r="M17" s="1" t="s">
        <v>39</v>
      </c>
      <c r="N17" s="1" t="s">
        <v>42</v>
      </c>
      <c r="O17" s="1">
        <v>38.9</v>
      </c>
      <c r="R17" s="1">
        <v>24.3</v>
      </c>
      <c r="S17" s="6"/>
      <c r="T17" s="6"/>
      <c r="U17" s="9">
        <f t="shared" si="0"/>
        <v>1E-3</v>
      </c>
      <c r="V17" s="6" t="s">
        <v>10</v>
      </c>
      <c r="W17" s="6">
        <f>Table1[[#This Row],[Observed Non-Pregnant]]/1000/Table1[[#This Row],[AVERAGE_MASS]]*1000000</f>
        <v>111.33371493989696</v>
      </c>
      <c r="X17" s="6"/>
      <c r="Y17" s="6"/>
      <c r="Z17" s="6">
        <f>Table1[[#This Row],[Observed Pregnant]]/1000/Table1[[#This Row],[AVERAGE_MASS]]*1000000</f>
        <v>69.54779622209503</v>
      </c>
      <c r="AA17" s="6"/>
      <c r="AB17" s="6"/>
      <c r="AC17" s="6" t="s">
        <v>75</v>
      </c>
      <c r="AD17" s="6" t="s">
        <v>75</v>
      </c>
    </row>
    <row r="18" spans="1:30" x14ac:dyDescent="0.25">
      <c r="A18" t="s">
        <v>72</v>
      </c>
      <c r="B18" s="16" t="s">
        <v>139</v>
      </c>
      <c r="C18" t="s">
        <v>140</v>
      </c>
      <c r="D18" t="s">
        <v>74</v>
      </c>
      <c r="E18" s="7">
        <v>349.4</v>
      </c>
      <c r="F18" s="3">
        <v>500</v>
      </c>
      <c r="G18" s="3" t="s">
        <v>59</v>
      </c>
      <c r="H18" s="3" t="s">
        <v>91</v>
      </c>
      <c r="I18" s="3" t="s">
        <v>61</v>
      </c>
      <c r="J18" s="11">
        <v>20</v>
      </c>
      <c r="K18" s="7">
        <v>0.3333333</v>
      </c>
      <c r="L18" s="7">
        <v>0.3333333</v>
      </c>
      <c r="M18" s="1" t="s">
        <v>39</v>
      </c>
      <c r="N18" s="1" t="s">
        <v>42</v>
      </c>
      <c r="O18" s="1">
        <v>31.9</v>
      </c>
      <c r="R18" s="1">
        <v>25.3</v>
      </c>
      <c r="S18" s="6"/>
      <c r="T18" s="6"/>
      <c r="U18" s="9">
        <f t="shared" si="0"/>
        <v>1E-3</v>
      </c>
      <c r="V18" s="6" t="s">
        <v>10</v>
      </c>
      <c r="W18" s="6">
        <f>Table1[[#This Row],[Observed Non-Pregnant]]/1000/Table1[[#This Row],[AVERAGE_MASS]]*1000000</f>
        <v>91.299370349170005</v>
      </c>
      <c r="X18" s="6"/>
      <c r="Y18" s="6"/>
      <c r="Z18" s="6">
        <f>Table1[[#This Row],[Observed Pregnant]]/1000/Table1[[#This Row],[AVERAGE_MASS]]*1000000</f>
        <v>72.409845449341745</v>
      </c>
      <c r="AA18" s="6"/>
      <c r="AB18" s="6"/>
      <c r="AC18" s="6" t="s">
        <v>75</v>
      </c>
      <c r="AD18" s="6" t="s">
        <v>75</v>
      </c>
    </row>
    <row r="19" spans="1:30" x14ac:dyDescent="0.25">
      <c r="A19" t="s">
        <v>72</v>
      </c>
      <c r="B19" s="16" t="s">
        <v>139</v>
      </c>
      <c r="C19" t="s">
        <v>140</v>
      </c>
      <c r="D19" t="s">
        <v>74</v>
      </c>
      <c r="E19" s="7">
        <v>349.4</v>
      </c>
      <c r="F19" s="3">
        <v>500</v>
      </c>
      <c r="G19" s="3" t="s">
        <v>59</v>
      </c>
      <c r="H19" s="3" t="s">
        <v>91</v>
      </c>
      <c r="I19" s="3" t="s">
        <v>61</v>
      </c>
      <c r="J19" s="11">
        <v>20</v>
      </c>
      <c r="K19" s="7">
        <v>0.3333333</v>
      </c>
      <c r="L19" s="7">
        <v>0.3333333</v>
      </c>
      <c r="M19" s="1" t="s">
        <v>40</v>
      </c>
      <c r="N19" s="1" t="s">
        <v>49</v>
      </c>
      <c r="O19" s="1">
        <v>11.8</v>
      </c>
      <c r="R19" s="1">
        <v>6.1</v>
      </c>
      <c r="S19" s="6"/>
      <c r="T19" s="6"/>
      <c r="U19" s="9">
        <f t="shared" si="0"/>
        <v>1E-3</v>
      </c>
      <c r="V19" s="6" t="s">
        <v>56</v>
      </c>
      <c r="W19" s="6">
        <f>Table1[[#This Row],[Observed Non-Pregnant]]/1000/Table1[[#This Row],[AVERAGE_MASS]]*1000000</f>
        <v>33.772180881511169</v>
      </c>
      <c r="X19" s="6"/>
      <c r="Y19" s="6"/>
      <c r="Z19" s="6">
        <f>Table1[[#This Row],[Observed Pregnant]]/1000/Table1[[#This Row],[AVERAGE_MASS]]*1000000</f>
        <v>17.458500286204924</v>
      </c>
      <c r="AA19" s="6"/>
      <c r="AB19" s="6"/>
      <c r="AC19" s="6" t="s">
        <v>75</v>
      </c>
      <c r="AD19" s="6" t="s">
        <v>75</v>
      </c>
    </row>
    <row r="20" spans="1:30" x14ac:dyDescent="0.25">
      <c r="A20" s="3" t="s">
        <v>76</v>
      </c>
      <c r="B20" s="16" t="s">
        <v>141</v>
      </c>
      <c r="C20" t="s">
        <v>76</v>
      </c>
      <c r="D20" t="s">
        <v>79</v>
      </c>
      <c r="E20" s="13">
        <v>306.22899999999998</v>
      </c>
      <c r="F20" s="3">
        <v>200</v>
      </c>
      <c r="G20" s="3" t="s">
        <v>59</v>
      </c>
      <c r="H20" s="3" t="s">
        <v>92</v>
      </c>
      <c r="I20" s="3" t="s">
        <v>61</v>
      </c>
      <c r="J20" s="11">
        <v>24</v>
      </c>
      <c r="K20" s="7">
        <v>6</v>
      </c>
      <c r="L20" s="7">
        <v>1</v>
      </c>
      <c r="M20" s="1" t="s">
        <v>41</v>
      </c>
      <c r="N20" s="1" t="s">
        <v>42</v>
      </c>
      <c r="O20" s="12">
        <v>3.0630000000000002</v>
      </c>
      <c r="P20" s="12"/>
      <c r="Q20" s="12"/>
      <c r="R20" s="12">
        <f>GEOMEAN(490.61/100, 416.27/50, 402.74/100, 489.77/50, 1014.8/50, 2202.99/150, 1032.63/200, 226.48/25)/1000*200</f>
        <v>1.6594745266421449</v>
      </c>
      <c r="S20" s="6"/>
      <c r="T20" s="6"/>
      <c r="U20" s="9">
        <f t="shared" si="0"/>
        <v>1E-3</v>
      </c>
      <c r="V20" s="6" t="s">
        <v>10</v>
      </c>
      <c r="W20" s="6">
        <f>Table1[[#This Row],[Observed Non-Pregnant]]/1000/Table1[[#This Row],[AVERAGE_MASS]]*1000000</f>
        <v>10.002318526331603</v>
      </c>
      <c r="X20" s="6"/>
      <c r="Y20" s="6"/>
      <c r="Z20" s="6">
        <f>Table1[[#This Row],[Observed Pregnant]]/1000/Table1[[#This Row],[AVERAGE_MASS]]*1000000</f>
        <v>5.4190639248475643</v>
      </c>
      <c r="AA20" s="6"/>
      <c r="AB20" s="6"/>
      <c r="AC20" s="6" t="s">
        <v>77</v>
      </c>
      <c r="AD20" s="6" t="s">
        <v>78</v>
      </c>
    </row>
    <row r="21" spans="1:30" x14ac:dyDescent="0.25">
      <c r="A21" s="3" t="s">
        <v>76</v>
      </c>
      <c r="B21" s="16" t="s">
        <v>141</v>
      </c>
      <c r="C21" t="s">
        <v>76</v>
      </c>
      <c r="D21" t="s">
        <v>79</v>
      </c>
      <c r="E21" s="13">
        <v>306.22899999999998</v>
      </c>
      <c r="F21" s="3">
        <v>200</v>
      </c>
      <c r="G21" s="3" t="s">
        <v>59</v>
      </c>
      <c r="H21" s="3" t="s">
        <v>92</v>
      </c>
      <c r="I21" s="3" t="s">
        <v>61</v>
      </c>
      <c r="J21" s="11">
        <v>24</v>
      </c>
      <c r="K21" s="7">
        <v>6</v>
      </c>
      <c r="L21" s="7">
        <v>1</v>
      </c>
      <c r="M21" s="1" t="s">
        <v>40</v>
      </c>
      <c r="N21" s="1" t="s">
        <v>49</v>
      </c>
      <c r="O21" s="12">
        <v>0.16600000000000001</v>
      </c>
      <c r="P21" s="12"/>
      <c r="Q21" s="12"/>
      <c r="R21" s="12">
        <f>GEOMEAN(42.6/100, 31.1/50, 40.5/100, 31.6/50, 66.4/50, 133.2/150, 73.4/200, 13.2/25)/1000*200</f>
        <v>0.1187997111700811</v>
      </c>
      <c r="S21" s="6"/>
      <c r="T21" s="6"/>
      <c r="U21" s="9">
        <f t="shared" si="0"/>
        <v>1E-3</v>
      </c>
      <c r="V21" s="6" t="s">
        <v>56</v>
      </c>
      <c r="W21" s="6">
        <f>Table1[[#This Row],[Observed Non-Pregnant]]/1000/Table1[[#This Row],[AVERAGE_MASS]]*1000000</f>
        <v>0.54207798738852297</v>
      </c>
      <c r="X21" s="6"/>
      <c r="Y21" s="6"/>
      <c r="Z21" s="6">
        <f>Table1[[#This Row],[Observed Pregnant]]/1000/Table1[[#This Row],[AVERAGE_MASS]]*1000000</f>
        <v>0.38794402610491202</v>
      </c>
      <c r="AA21" s="6"/>
      <c r="AB21" s="6"/>
      <c r="AC21" s="6" t="s">
        <v>77</v>
      </c>
      <c r="AD21" s="6" t="s">
        <v>78</v>
      </c>
    </row>
    <row r="22" spans="1:30" x14ac:dyDescent="0.25">
      <c r="A22" s="3" t="s">
        <v>76</v>
      </c>
      <c r="B22" s="16" t="s">
        <v>141</v>
      </c>
      <c r="C22" t="s">
        <v>76</v>
      </c>
      <c r="D22" t="s">
        <v>79</v>
      </c>
      <c r="E22" s="13">
        <v>306.22899999999998</v>
      </c>
      <c r="F22" s="3">
        <v>200</v>
      </c>
      <c r="G22" s="3" t="s">
        <v>59</v>
      </c>
      <c r="H22" s="3" t="s">
        <v>92</v>
      </c>
      <c r="I22" s="3" t="s">
        <v>61</v>
      </c>
      <c r="J22" s="11">
        <v>32</v>
      </c>
      <c r="K22" s="7">
        <v>6</v>
      </c>
      <c r="L22" s="7">
        <v>1</v>
      </c>
      <c r="M22" s="1" t="s">
        <v>41</v>
      </c>
      <c r="N22" s="1" t="s">
        <v>42</v>
      </c>
      <c r="O22" s="12">
        <v>3.0630000000000002</v>
      </c>
      <c r="P22" s="12"/>
      <c r="Q22" s="12"/>
      <c r="R22" s="12">
        <f>GEOMEAN(1230.31/100, 362.4/50, 279.7/100, 816.51/50, 333/50, 1918.89/150)/1000*200</f>
        <v>1.6765697347856834</v>
      </c>
      <c r="S22" s="6"/>
      <c r="T22" s="6"/>
      <c r="U22" s="9">
        <f t="shared" si="0"/>
        <v>1E-3</v>
      </c>
      <c r="V22" s="6" t="s">
        <v>10</v>
      </c>
      <c r="W22" s="6">
        <f>Table1[[#This Row],[Observed Non-Pregnant]]/1000/Table1[[#This Row],[AVERAGE_MASS]]*1000000</f>
        <v>10.002318526331603</v>
      </c>
      <c r="X22" s="6"/>
      <c r="Y22" s="6"/>
      <c r="Z22" s="6">
        <f>Table1[[#This Row],[Observed Pregnant]]/1000/Table1[[#This Row],[AVERAGE_MASS]]*1000000</f>
        <v>5.4748888406574281</v>
      </c>
      <c r="AA22" s="6"/>
      <c r="AB22" s="6"/>
      <c r="AC22" s="6" t="s">
        <v>77</v>
      </c>
      <c r="AD22" s="6" t="s">
        <v>78</v>
      </c>
    </row>
    <row r="23" spans="1:30" x14ac:dyDescent="0.25">
      <c r="A23" s="3" t="s">
        <v>76</v>
      </c>
      <c r="B23" s="16" t="s">
        <v>141</v>
      </c>
      <c r="C23" t="s">
        <v>76</v>
      </c>
      <c r="D23" t="s">
        <v>79</v>
      </c>
      <c r="E23" s="13">
        <v>306.22899999999998</v>
      </c>
      <c r="F23" s="3">
        <v>200</v>
      </c>
      <c r="G23" s="3" t="s">
        <v>59</v>
      </c>
      <c r="H23" s="3" t="s">
        <v>92</v>
      </c>
      <c r="I23" s="3" t="s">
        <v>61</v>
      </c>
      <c r="J23" s="11">
        <v>32</v>
      </c>
      <c r="K23" s="7">
        <v>6</v>
      </c>
      <c r="L23" s="7">
        <v>1</v>
      </c>
      <c r="M23" s="1" t="s">
        <v>40</v>
      </c>
      <c r="N23" s="1" t="s">
        <v>49</v>
      </c>
      <c r="O23" s="12">
        <v>0.16600000000000001</v>
      </c>
      <c r="P23" s="12"/>
      <c r="Q23" s="12"/>
      <c r="R23" s="12">
        <f>GEOMEAN(89.7/100, 25.6/50, 31.5/100, 53.7/50, 60.6/50, 115.5/150)/1000*200</f>
        <v>0.14496341998732901</v>
      </c>
      <c r="S23" s="6"/>
      <c r="T23" s="6"/>
      <c r="U23" s="9">
        <f t="shared" si="0"/>
        <v>1E-3</v>
      </c>
      <c r="V23" s="6" t="s">
        <v>56</v>
      </c>
      <c r="W23" s="6">
        <f>Table1[[#This Row],[Observed Non-Pregnant]]/1000/Table1[[#This Row],[AVERAGE_MASS]]*1000000</f>
        <v>0.54207798738852297</v>
      </c>
      <c r="X23" s="6"/>
      <c r="Y23" s="6"/>
      <c r="Z23" s="6">
        <f>Table1[[#This Row],[Observed Pregnant]]/1000/Table1[[#This Row],[AVERAGE_MASS]]*1000000</f>
        <v>0.47338240332342468</v>
      </c>
      <c r="AA23" s="6"/>
      <c r="AB23" s="6"/>
      <c r="AC23" s="6" t="s">
        <v>77</v>
      </c>
      <c r="AD23" s="6" t="s">
        <v>78</v>
      </c>
    </row>
    <row r="24" spans="1:30" x14ac:dyDescent="0.25">
      <c r="A24" s="3" t="s">
        <v>80</v>
      </c>
      <c r="B24" s="16" t="s">
        <v>142</v>
      </c>
      <c r="C24" t="s">
        <v>80</v>
      </c>
      <c r="D24" t="s">
        <v>81</v>
      </c>
      <c r="E24" s="7">
        <v>225.21</v>
      </c>
      <c r="F24" s="3">
        <v>400</v>
      </c>
      <c r="G24" s="3" t="s">
        <v>59</v>
      </c>
      <c r="H24" s="3" t="s">
        <v>91</v>
      </c>
      <c r="I24" s="3" t="s">
        <v>61</v>
      </c>
      <c r="J24" s="11">
        <v>36</v>
      </c>
      <c r="K24" s="7">
        <v>0.5</v>
      </c>
      <c r="L24" s="7">
        <v>0.3333333</v>
      </c>
      <c r="M24" s="1" t="s">
        <v>41</v>
      </c>
      <c r="N24" s="1" t="s">
        <v>42</v>
      </c>
      <c r="O24" s="6">
        <v>2.5</v>
      </c>
      <c r="P24" s="6"/>
      <c r="Q24" s="6"/>
      <c r="R24" s="6">
        <v>2.11</v>
      </c>
      <c r="S24" s="6"/>
      <c r="T24" s="6"/>
      <c r="U24" s="9">
        <f t="shared" si="0"/>
        <v>1E-3</v>
      </c>
      <c r="V24" s="6" t="s">
        <v>10</v>
      </c>
      <c r="W24" s="6">
        <f>Table1[[#This Row],[Observed Non-Pregnant]]/1000/Table1[[#This Row],[AVERAGE_MASS]]*1000000</f>
        <v>11.100750410727766</v>
      </c>
      <c r="X24" s="6"/>
      <c r="Y24" s="6"/>
      <c r="Z24" s="6">
        <f>Table1[[#This Row],[Observed Pregnant]]/1000/Table1[[#This Row],[AVERAGE_MASS]]*1000000</f>
        <v>9.3690333466542324</v>
      </c>
      <c r="AA24" s="6"/>
      <c r="AB24" s="6"/>
      <c r="AC24" s="6" t="s">
        <v>84</v>
      </c>
      <c r="AD24" s="6" t="s">
        <v>84</v>
      </c>
    </row>
    <row r="25" spans="1:30" x14ac:dyDescent="0.25">
      <c r="A25" s="3" t="s">
        <v>80</v>
      </c>
      <c r="B25" s="16" t="s">
        <v>142</v>
      </c>
      <c r="C25" t="s">
        <v>80</v>
      </c>
      <c r="D25" t="s">
        <v>81</v>
      </c>
      <c r="E25" s="7">
        <v>225.21</v>
      </c>
      <c r="F25" s="3">
        <v>400</v>
      </c>
      <c r="G25" s="3" t="s">
        <v>59</v>
      </c>
      <c r="H25" s="3" t="s">
        <v>91</v>
      </c>
      <c r="I25" s="3" t="s">
        <v>61</v>
      </c>
      <c r="J25" s="11">
        <v>36</v>
      </c>
      <c r="K25" s="7">
        <v>0.5</v>
      </c>
      <c r="L25" s="7">
        <v>0.3333333</v>
      </c>
      <c r="M25" s="1" t="s">
        <v>40</v>
      </c>
      <c r="N25" s="1" t="s">
        <v>49</v>
      </c>
      <c r="O25" s="6">
        <v>0.59</v>
      </c>
      <c r="P25" s="6"/>
      <c r="Q25" s="6"/>
      <c r="R25" s="6">
        <v>0.63</v>
      </c>
      <c r="S25" s="6"/>
      <c r="T25" s="6"/>
      <c r="U25" s="9">
        <f t="shared" si="0"/>
        <v>1E-3</v>
      </c>
      <c r="V25" s="6" t="s">
        <v>56</v>
      </c>
      <c r="W25" s="6">
        <f>Table1[[#This Row],[Observed Non-Pregnant]]/1000/Table1[[#This Row],[AVERAGE_MASS]]*1000000</f>
        <v>2.619777096931752</v>
      </c>
      <c r="X25" s="6"/>
      <c r="Y25" s="6"/>
      <c r="Z25" s="6">
        <f>Table1[[#This Row],[Observed Pregnant]]/1000/Table1[[#This Row],[AVERAGE_MASS]]*1000000</f>
        <v>2.7973891035033969</v>
      </c>
      <c r="AA25" s="6"/>
      <c r="AB25" s="6"/>
      <c r="AC25" s="6" t="s">
        <v>84</v>
      </c>
      <c r="AD25" s="6" t="s">
        <v>84</v>
      </c>
    </row>
    <row r="26" spans="1:30" x14ac:dyDescent="0.25">
      <c r="A26" s="3" t="s">
        <v>82</v>
      </c>
      <c r="B26" s="16" t="s">
        <v>143</v>
      </c>
      <c r="C26" t="s">
        <v>82</v>
      </c>
      <c r="D26" t="s">
        <v>83</v>
      </c>
      <c r="E26" s="13">
        <v>247.24799999999999</v>
      </c>
      <c r="F26" s="3">
        <v>200</v>
      </c>
      <c r="G26" s="3" t="s">
        <v>59</v>
      </c>
      <c r="H26" s="3" t="s">
        <v>92</v>
      </c>
      <c r="I26" s="3" t="s">
        <v>61</v>
      </c>
      <c r="J26" s="7">
        <v>25.47</v>
      </c>
      <c r="K26" s="7">
        <v>1</v>
      </c>
      <c r="L26" s="7">
        <v>1</v>
      </c>
      <c r="M26" s="1" t="s">
        <v>41</v>
      </c>
      <c r="N26" s="1" t="s">
        <v>42</v>
      </c>
      <c r="O26" s="6">
        <f>GEOMEAN(10.33, 9.67)</f>
        <v>9.9945535167910329</v>
      </c>
      <c r="P26" s="6"/>
      <c r="Q26" s="6"/>
      <c r="R26" s="6">
        <v>7.5</v>
      </c>
      <c r="S26" s="6"/>
      <c r="T26" s="6"/>
      <c r="U26" s="9">
        <f t="shared" si="0"/>
        <v>1E-3</v>
      </c>
      <c r="V26" s="6" t="s">
        <v>10</v>
      </c>
      <c r="W26" s="6">
        <f>Table1[[#This Row],[Observed Non-Pregnant]]/1000/Table1[[#This Row],[AVERAGE_MASS]]*1000000</f>
        <v>40.423192570985542</v>
      </c>
      <c r="X26" s="6"/>
      <c r="Y26" s="6"/>
      <c r="Z26" s="6">
        <f>Table1[[#This Row],[Observed Pregnant]]/1000/Table1[[#This Row],[AVERAGE_MASS]]*1000000</f>
        <v>30.333915744515625</v>
      </c>
      <c r="AA26" s="6"/>
      <c r="AB26" s="6"/>
      <c r="AC26" s="6" t="s">
        <v>84</v>
      </c>
      <c r="AD26" s="6" t="s">
        <v>84</v>
      </c>
    </row>
    <row r="27" spans="1:30" x14ac:dyDescent="0.25">
      <c r="A27" s="3" t="s">
        <v>82</v>
      </c>
      <c r="B27" s="16" t="s">
        <v>143</v>
      </c>
      <c r="C27" t="s">
        <v>82</v>
      </c>
      <c r="D27" t="s">
        <v>83</v>
      </c>
      <c r="E27" s="13">
        <v>247.24799999999999</v>
      </c>
      <c r="F27" s="3">
        <v>200</v>
      </c>
      <c r="G27" s="3" t="s">
        <v>59</v>
      </c>
      <c r="H27" s="3" t="s">
        <v>92</v>
      </c>
      <c r="I27" s="3" t="s">
        <v>61</v>
      </c>
      <c r="J27" s="7">
        <v>25.47</v>
      </c>
      <c r="K27" s="7">
        <v>1</v>
      </c>
      <c r="L27" s="7">
        <v>1</v>
      </c>
      <c r="M27" s="1" t="s">
        <v>40</v>
      </c>
      <c r="N27" s="1" t="s">
        <v>49</v>
      </c>
      <c r="O27" s="6">
        <f>GEOMEAN(1.64, 2.11)</f>
        <v>1.8602150413325873</v>
      </c>
      <c r="P27" s="6"/>
      <c r="Q27" s="6"/>
      <c r="R27" s="6">
        <v>1.19</v>
      </c>
      <c r="S27" s="6"/>
      <c r="T27" s="6"/>
      <c r="U27" s="9">
        <f t="shared" si="0"/>
        <v>1E-3</v>
      </c>
      <c r="V27" s="6" t="s">
        <v>56</v>
      </c>
      <c r="W27" s="6">
        <f>Table1[[#This Row],[Observed Non-Pregnant]]/1000/Table1[[#This Row],[AVERAGE_MASS]]*1000000</f>
        <v>7.5236808440617811</v>
      </c>
      <c r="X27" s="6"/>
      <c r="Y27" s="6"/>
      <c r="Z27" s="6">
        <f>Table1[[#This Row],[Observed Pregnant]]/1000/Table1[[#This Row],[AVERAGE_MASS]]*1000000</f>
        <v>4.812981298129813</v>
      </c>
      <c r="AA27" s="6"/>
      <c r="AB27" s="6"/>
      <c r="AC27" s="6" t="s">
        <v>84</v>
      </c>
      <c r="AD27" s="6" t="s">
        <v>84</v>
      </c>
    </row>
    <row r="28" spans="1:30" x14ac:dyDescent="0.25">
      <c r="A28" s="3" t="s">
        <v>82</v>
      </c>
      <c r="B28" s="16" t="s">
        <v>143</v>
      </c>
      <c r="C28" t="s">
        <v>82</v>
      </c>
      <c r="D28" t="s">
        <v>83</v>
      </c>
      <c r="E28" s="13">
        <v>247.24799999999999</v>
      </c>
      <c r="F28" s="3">
        <v>200</v>
      </c>
      <c r="G28" s="3" t="s">
        <v>59</v>
      </c>
      <c r="H28" s="3" t="s">
        <v>92</v>
      </c>
      <c r="I28" s="3" t="s">
        <v>61</v>
      </c>
      <c r="J28" s="7">
        <v>32.26</v>
      </c>
      <c r="K28" s="7">
        <v>1</v>
      </c>
      <c r="L28" s="7">
        <v>1</v>
      </c>
      <c r="M28" s="1" t="s">
        <v>41</v>
      </c>
      <c r="N28" s="1" t="s">
        <v>42</v>
      </c>
      <c r="O28" s="6">
        <f>GEOMEAN(10.33, 9.67)</f>
        <v>9.9945535167910329</v>
      </c>
      <c r="P28" s="6"/>
      <c r="Q28" s="6"/>
      <c r="R28" s="6">
        <v>6.45</v>
      </c>
      <c r="S28" s="6"/>
      <c r="T28" s="6"/>
      <c r="U28" s="9">
        <f t="shared" si="0"/>
        <v>1E-3</v>
      </c>
      <c r="V28" s="6" t="s">
        <v>10</v>
      </c>
      <c r="W28" s="6">
        <f>Table1[[#This Row],[Observed Non-Pregnant]]/1000/Table1[[#This Row],[AVERAGE_MASS]]*1000000</f>
        <v>40.423192570985542</v>
      </c>
      <c r="X28" s="6"/>
      <c r="Y28" s="6"/>
      <c r="Z28" s="6">
        <f>Table1[[#This Row],[Observed Pregnant]]/1000/Table1[[#This Row],[AVERAGE_MASS]]*1000000</f>
        <v>26.087167540283442</v>
      </c>
      <c r="AA28" s="6"/>
      <c r="AB28" s="6"/>
      <c r="AC28" s="6" t="s">
        <v>84</v>
      </c>
      <c r="AD28" s="6" t="s">
        <v>84</v>
      </c>
    </row>
    <row r="29" spans="1:30" x14ac:dyDescent="0.25">
      <c r="A29" s="3" t="s">
        <v>82</v>
      </c>
      <c r="B29" s="16" t="s">
        <v>143</v>
      </c>
      <c r="C29" t="s">
        <v>82</v>
      </c>
      <c r="D29" t="s">
        <v>83</v>
      </c>
      <c r="E29" s="13">
        <v>247.24799999999999</v>
      </c>
      <c r="F29" s="3">
        <v>200</v>
      </c>
      <c r="G29" s="3" t="s">
        <v>59</v>
      </c>
      <c r="H29" s="3" t="s">
        <v>92</v>
      </c>
      <c r="I29" s="3" t="s">
        <v>61</v>
      </c>
      <c r="J29" s="7">
        <v>32.26</v>
      </c>
      <c r="K29" s="7">
        <v>1</v>
      </c>
      <c r="L29" s="7">
        <v>1</v>
      </c>
      <c r="M29" s="1" t="s">
        <v>40</v>
      </c>
      <c r="N29" s="1" t="s">
        <v>49</v>
      </c>
      <c r="O29" s="6">
        <f>GEOMEAN(1.64, 2.11)</f>
        <v>1.8602150413325873</v>
      </c>
      <c r="P29" s="6"/>
      <c r="Q29" s="6"/>
      <c r="R29" s="6">
        <v>1.32</v>
      </c>
      <c r="S29" s="6"/>
      <c r="T29" s="6"/>
      <c r="U29" s="9">
        <f t="shared" si="0"/>
        <v>1E-3</v>
      </c>
      <c r="V29" s="6" t="s">
        <v>56</v>
      </c>
      <c r="W29" s="6">
        <f>Table1[[#This Row],[Observed Non-Pregnant]]/1000/Table1[[#This Row],[AVERAGE_MASS]]*1000000</f>
        <v>7.5236808440617811</v>
      </c>
      <c r="X29" s="6"/>
      <c r="Y29" s="6"/>
      <c r="Z29" s="6">
        <f>Table1[[#This Row],[Observed Pregnant]]/1000/Table1[[#This Row],[AVERAGE_MASS]]*1000000</f>
        <v>5.3387691710347509</v>
      </c>
      <c r="AA29" s="6"/>
      <c r="AB29" s="6"/>
      <c r="AC29" s="6" t="s">
        <v>84</v>
      </c>
      <c r="AD29" s="6" t="s">
        <v>84</v>
      </c>
    </row>
    <row r="30" spans="1:30" x14ac:dyDescent="0.25">
      <c r="A30" s="3" t="s">
        <v>82</v>
      </c>
      <c r="B30" s="16" t="s">
        <v>143</v>
      </c>
      <c r="C30" t="s">
        <v>82</v>
      </c>
      <c r="D30" t="s">
        <v>83</v>
      </c>
      <c r="E30" s="13">
        <v>247.24799999999999</v>
      </c>
      <c r="F30" s="3">
        <v>200</v>
      </c>
      <c r="G30" s="3" t="s">
        <v>59</v>
      </c>
      <c r="H30" s="3" t="s">
        <v>92</v>
      </c>
      <c r="I30" s="3" t="s">
        <v>61</v>
      </c>
      <c r="J30" s="7">
        <v>37.479999999999997</v>
      </c>
      <c r="K30" s="7">
        <v>1</v>
      </c>
      <c r="L30" s="7">
        <v>1</v>
      </c>
      <c r="M30" s="1" t="s">
        <v>41</v>
      </c>
      <c r="N30" s="1" t="s">
        <v>42</v>
      </c>
      <c r="O30" s="6">
        <f>GEOMEAN(10.33, 9.67)</f>
        <v>9.9945535167910329</v>
      </c>
      <c r="P30" s="6"/>
      <c r="Q30" s="6"/>
      <c r="R30" s="6">
        <v>4.1500000000000004</v>
      </c>
      <c r="S30" s="6"/>
      <c r="T30" s="6"/>
      <c r="U30" s="9">
        <f t="shared" si="0"/>
        <v>1E-3</v>
      </c>
      <c r="V30" s="6" t="s">
        <v>10</v>
      </c>
      <c r="W30" s="6">
        <f>Table1[[#This Row],[Observed Non-Pregnant]]/1000/Table1[[#This Row],[AVERAGE_MASS]]*1000000</f>
        <v>40.423192570985542</v>
      </c>
      <c r="X30" s="6"/>
      <c r="Y30" s="6"/>
      <c r="Z30" s="6">
        <f>Table1[[#This Row],[Observed Pregnant]]/1000/Table1[[#This Row],[AVERAGE_MASS]]*1000000</f>
        <v>16.784766711965315</v>
      </c>
      <c r="AA30" s="6"/>
      <c r="AB30" s="6"/>
      <c r="AC30" s="6" t="s">
        <v>84</v>
      </c>
      <c r="AD30" s="6" t="s">
        <v>84</v>
      </c>
    </row>
    <row r="31" spans="1:30" x14ac:dyDescent="0.25">
      <c r="A31" s="3" t="s">
        <v>82</v>
      </c>
      <c r="B31" s="16" t="s">
        <v>143</v>
      </c>
      <c r="C31" t="s">
        <v>82</v>
      </c>
      <c r="D31" t="s">
        <v>83</v>
      </c>
      <c r="E31" s="13">
        <v>247.24799999999999</v>
      </c>
      <c r="F31" s="3">
        <v>200</v>
      </c>
      <c r="G31" s="3" t="s">
        <v>59</v>
      </c>
      <c r="H31" s="3" t="s">
        <v>92</v>
      </c>
      <c r="I31" s="3" t="s">
        <v>61</v>
      </c>
      <c r="J31" s="7">
        <v>37.479999999999997</v>
      </c>
      <c r="K31" s="7">
        <v>1</v>
      </c>
      <c r="L31" s="7">
        <v>1</v>
      </c>
      <c r="M31" s="1" t="s">
        <v>40</v>
      </c>
      <c r="N31" s="1" t="s">
        <v>49</v>
      </c>
      <c r="O31" s="6">
        <f>GEOMEAN(1.64, 2.11)</f>
        <v>1.8602150413325873</v>
      </c>
      <c r="P31" s="6"/>
      <c r="Q31" s="6"/>
      <c r="R31" s="6">
        <v>0.66</v>
      </c>
      <c r="S31" s="6"/>
      <c r="T31" s="6"/>
      <c r="U31" s="9">
        <f t="shared" si="0"/>
        <v>1E-3</v>
      </c>
      <c r="V31" s="6" t="s">
        <v>56</v>
      </c>
      <c r="W31" s="6">
        <f>Table1[[#This Row],[Observed Non-Pregnant]]/1000/Table1[[#This Row],[AVERAGE_MASS]]*1000000</f>
        <v>7.5236808440617811</v>
      </c>
      <c r="X31" s="6"/>
      <c r="Y31" s="6"/>
      <c r="Z31" s="6">
        <f>Table1[[#This Row],[Observed Pregnant]]/1000/Table1[[#This Row],[AVERAGE_MASS]]*1000000</f>
        <v>2.6693845855173755</v>
      </c>
      <c r="AA31" s="6"/>
      <c r="AB31" s="6"/>
      <c r="AC31" s="6" t="s">
        <v>84</v>
      </c>
      <c r="AD31" s="6" t="s">
        <v>84</v>
      </c>
    </row>
    <row r="32" spans="1:30" x14ac:dyDescent="0.25">
      <c r="A32" s="3" t="s">
        <v>82</v>
      </c>
      <c r="B32" s="16" t="s">
        <v>143</v>
      </c>
      <c r="C32" t="s">
        <v>82</v>
      </c>
      <c r="D32" t="s">
        <v>83</v>
      </c>
      <c r="E32" s="13">
        <v>247.24799999999999</v>
      </c>
      <c r="F32" s="3">
        <v>200</v>
      </c>
      <c r="G32" s="3" t="s">
        <v>59</v>
      </c>
      <c r="H32" s="3" t="s">
        <v>92</v>
      </c>
      <c r="I32" s="3" t="s">
        <v>61</v>
      </c>
      <c r="J32" s="7">
        <v>33</v>
      </c>
      <c r="K32" s="7">
        <v>1</v>
      </c>
      <c r="L32" s="7">
        <v>1</v>
      </c>
      <c r="M32" s="1" t="s">
        <v>41</v>
      </c>
      <c r="N32" s="1" t="s">
        <v>42</v>
      </c>
      <c r="O32" s="6">
        <f>GEOMEAN(10.33, 9.67)</f>
        <v>9.9945535167910329</v>
      </c>
      <c r="P32" s="6"/>
      <c r="Q32" s="6"/>
      <c r="R32" s="6">
        <v>8</v>
      </c>
      <c r="S32" s="6"/>
      <c r="T32" s="6"/>
      <c r="U32" s="9">
        <f t="shared" si="0"/>
        <v>1E-3</v>
      </c>
      <c r="V32" s="6" t="s">
        <v>10</v>
      </c>
      <c r="W32" s="6">
        <f>Table1[[#This Row],[Observed Non-Pregnant]]/1000/Table1[[#This Row],[AVERAGE_MASS]]*1000000</f>
        <v>40.423192570985542</v>
      </c>
      <c r="X32" s="6"/>
      <c r="Y32" s="6"/>
      <c r="Z32" s="6">
        <f>Table1[[#This Row],[Observed Pregnant]]/1000/Table1[[#This Row],[AVERAGE_MASS]]*1000000</f>
        <v>32.356176794150002</v>
      </c>
      <c r="AA32" s="6"/>
      <c r="AB32" s="6"/>
      <c r="AC32" s="6" t="s">
        <v>84</v>
      </c>
      <c r="AD32" s="6" t="s">
        <v>102</v>
      </c>
    </row>
    <row r="33" spans="1:30" x14ac:dyDescent="0.25">
      <c r="A33" s="3" t="s">
        <v>82</v>
      </c>
      <c r="B33" s="16" t="s">
        <v>143</v>
      </c>
      <c r="C33" t="s">
        <v>82</v>
      </c>
      <c r="D33" t="s">
        <v>83</v>
      </c>
      <c r="E33" s="13">
        <v>247.24799999999999</v>
      </c>
      <c r="F33" s="3">
        <v>200</v>
      </c>
      <c r="G33" s="3" t="s">
        <v>59</v>
      </c>
      <c r="H33" s="3" t="s">
        <v>92</v>
      </c>
      <c r="I33" s="3" t="s">
        <v>61</v>
      </c>
      <c r="J33" s="7">
        <v>33</v>
      </c>
      <c r="K33" s="7">
        <v>1</v>
      </c>
      <c r="L33" s="7">
        <v>1</v>
      </c>
      <c r="M33" s="1" t="s">
        <v>40</v>
      </c>
      <c r="N33" s="1" t="s">
        <v>49</v>
      </c>
      <c r="O33" s="6">
        <f>GEOMEAN(1.64, 2.11)</f>
        <v>1.8602150413325873</v>
      </c>
      <c r="P33" s="6"/>
      <c r="Q33" s="6"/>
      <c r="R33" s="6">
        <v>1.4</v>
      </c>
      <c r="S33" s="6"/>
      <c r="T33" s="6"/>
      <c r="U33" s="9">
        <f t="shared" si="0"/>
        <v>1E-3</v>
      </c>
      <c r="V33" s="6" t="s">
        <v>56</v>
      </c>
      <c r="W33" s="6">
        <f>Table1[[#This Row],[Observed Non-Pregnant]]/1000/Table1[[#This Row],[AVERAGE_MASS]]*1000000</f>
        <v>7.5236808440617811</v>
      </c>
      <c r="X33" s="6"/>
      <c r="Y33" s="6"/>
      <c r="Z33" s="6">
        <f>Table1[[#This Row],[Observed Pregnant]]/1000/Table1[[#This Row],[AVERAGE_MASS]]*1000000</f>
        <v>5.6623309389762504</v>
      </c>
      <c r="AA33" s="6"/>
      <c r="AB33" s="6"/>
      <c r="AC33" s="6" t="s">
        <v>84</v>
      </c>
      <c r="AD33" s="6" t="s">
        <v>102</v>
      </c>
    </row>
    <row r="34" spans="1:30" ht="15.75" customHeight="1" x14ac:dyDescent="0.25">
      <c r="A34" s="3" t="s">
        <v>85</v>
      </c>
      <c r="B34" s="16" t="s">
        <v>144</v>
      </c>
      <c r="C34" t="s">
        <v>85</v>
      </c>
      <c r="D34" t="s">
        <v>87</v>
      </c>
      <c r="E34" s="7">
        <v>444.42</v>
      </c>
      <c r="F34" s="3">
        <v>400</v>
      </c>
      <c r="G34" s="3" t="s">
        <v>59</v>
      </c>
      <c r="H34" s="3" t="s">
        <v>93</v>
      </c>
      <c r="I34" s="3" t="s">
        <v>61</v>
      </c>
      <c r="J34" s="11">
        <v>23.5</v>
      </c>
      <c r="K34" s="7">
        <v>0.5</v>
      </c>
      <c r="L34" s="7">
        <v>0.5</v>
      </c>
      <c r="M34" s="1" t="s">
        <v>41</v>
      </c>
      <c r="N34" s="1" t="s">
        <v>42</v>
      </c>
      <c r="O34" s="6">
        <f>GEOMEAN(6.44, 8.24, 11)</f>
        <v>8.3573499532982627</v>
      </c>
      <c r="P34" s="6"/>
      <c r="Q34" s="6"/>
      <c r="R34" s="6">
        <v>3.9</v>
      </c>
      <c r="S34" s="6"/>
      <c r="T34" s="6"/>
      <c r="U34" s="9">
        <f t="shared" si="0"/>
        <v>1E-3</v>
      </c>
      <c r="V34" s="6" t="s">
        <v>10</v>
      </c>
      <c r="W34" s="6">
        <f>Table1[[#This Row],[Observed Non-Pregnant]]/1000/Table1[[#This Row],[AVERAGE_MASS]]*1000000</f>
        <v>18.805071673863154</v>
      </c>
      <c r="X34" s="6"/>
      <c r="Y34" s="6"/>
      <c r="Z34" s="6">
        <f>Table1[[#This Row],[Observed Pregnant]]/1000/Table1[[#This Row],[AVERAGE_MASS]]*1000000</f>
        <v>8.7754826515458344</v>
      </c>
      <c r="AA34" s="6"/>
      <c r="AB34" s="6"/>
      <c r="AC34" s="6" t="s">
        <v>86</v>
      </c>
      <c r="AD34" s="6" t="s">
        <v>86</v>
      </c>
    </row>
    <row r="35" spans="1:30" x14ac:dyDescent="0.25">
      <c r="A35" s="3" t="s">
        <v>85</v>
      </c>
      <c r="B35" s="16" t="s">
        <v>144</v>
      </c>
      <c r="C35" t="s">
        <v>85</v>
      </c>
      <c r="D35" t="s">
        <v>87</v>
      </c>
      <c r="E35" s="7">
        <v>444.42</v>
      </c>
      <c r="F35" s="3">
        <v>400</v>
      </c>
      <c r="G35" s="3" t="s">
        <v>59</v>
      </c>
      <c r="H35" s="3" t="s">
        <v>93</v>
      </c>
      <c r="I35" s="3" t="s">
        <v>61</v>
      </c>
      <c r="J35" s="11">
        <v>23.5</v>
      </c>
      <c r="K35" s="7">
        <v>0.5</v>
      </c>
      <c r="L35" s="7">
        <v>0.5</v>
      </c>
      <c r="M35" s="1" t="s">
        <v>40</v>
      </c>
      <c r="N35" s="1" t="s">
        <v>49</v>
      </c>
      <c r="O35" s="6">
        <f>GEOMEAN(0.74, 2.03, 2.77)</f>
        <v>1.6084312742191913</v>
      </c>
      <c r="P35" s="6"/>
      <c r="Q35" s="6"/>
      <c r="R35" s="6">
        <v>0.67</v>
      </c>
      <c r="S35" s="6"/>
      <c r="T35" s="6"/>
      <c r="U35" s="9">
        <f t="shared" si="0"/>
        <v>1E-3</v>
      </c>
      <c r="V35" s="6" t="s">
        <v>56</v>
      </c>
      <c r="W35" s="6">
        <f>Table1[[#This Row],[Observed Non-Pregnant]]/1000/Table1[[#This Row],[AVERAGE_MASS]]*1000000</f>
        <v>3.6191694213113523</v>
      </c>
      <c r="X35" s="6"/>
      <c r="Y35" s="6"/>
      <c r="Z35" s="6">
        <f>Table1[[#This Row],[Observed Pregnant]]/1000/Table1[[#This Row],[AVERAGE_MASS]]*1000000</f>
        <v>1.5075829170604382</v>
      </c>
      <c r="AA35" s="6"/>
      <c r="AB35" s="6"/>
      <c r="AC35" s="6" t="s">
        <v>86</v>
      </c>
      <c r="AD35" s="6" t="s">
        <v>86</v>
      </c>
    </row>
    <row r="36" spans="1:30" x14ac:dyDescent="0.25">
      <c r="A36" s="3" t="s">
        <v>85</v>
      </c>
      <c r="B36" s="16" t="s">
        <v>144</v>
      </c>
      <c r="C36" t="s">
        <v>85</v>
      </c>
      <c r="D36" t="s">
        <v>87</v>
      </c>
      <c r="E36" s="7">
        <v>444.42</v>
      </c>
      <c r="F36" s="3">
        <v>400</v>
      </c>
      <c r="G36" s="3" t="s">
        <v>59</v>
      </c>
      <c r="H36" s="3" t="s">
        <v>93</v>
      </c>
      <c r="I36" s="3" t="s">
        <v>61</v>
      </c>
      <c r="J36" s="11">
        <v>34</v>
      </c>
      <c r="K36" s="7">
        <v>0.5</v>
      </c>
      <c r="L36" s="7">
        <v>0.5</v>
      </c>
      <c r="M36" s="1" t="s">
        <v>41</v>
      </c>
      <c r="N36" s="1" t="s">
        <v>42</v>
      </c>
      <c r="O36" s="6">
        <f>GEOMEAN(6.44, 8.24, 11)</f>
        <v>8.3573499532982627</v>
      </c>
      <c r="P36" s="6"/>
      <c r="Q36" s="6"/>
      <c r="R36" s="6">
        <v>4.4400000000000004</v>
      </c>
      <c r="S36" s="6"/>
      <c r="T36" s="6"/>
      <c r="U36" s="9">
        <f t="shared" si="0"/>
        <v>1E-3</v>
      </c>
      <c r="V36" s="6" t="s">
        <v>10</v>
      </c>
      <c r="W36" s="6">
        <f>Table1[[#This Row],[Observed Non-Pregnant]]/1000/Table1[[#This Row],[AVERAGE_MASS]]*1000000</f>
        <v>18.805071673863154</v>
      </c>
      <c r="X36" s="6"/>
      <c r="Y36" s="6"/>
      <c r="Z36" s="6">
        <f>Table1[[#This Row],[Observed Pregnant]]/1000/Table1[[#This Row],[AVERAGE_MASS]]*1000000</f>
        <v>9.9905494802214125</v>
      </c>
      <c r="AA36" s="6"/>
      <c r="AB36" s="6"/>
      <c r="AC36" s="6" t="s">
        <v>86</v>
      </c>
      <c r="AD36" s="6" t="s">
        <v>86</v>
      </c>
    </row>
    <row r="37" spans="1:30" x14ac:dyDescent="0.25">
      <c r="A37" s="3" t="s">
        <v>85</v>
      </c>
      <c r="B37" s="16" t="s">
        <v>144</v>
      </c>
      <c r="C37" t="s">
        <v>85</v>
      </c>
      <c r="D37" t="s">
        <v>87</v>
      </c>
      <c r="E37" s="7">
        <v>444.42</v>
      </c>
      <c r="F37" s="3">
        <v>400</v>
      </c>
      <c r="G37" s="3" t="s">
        <v>59</v>
      </c>
      <c r="H37" s="3" t="s">
        <v>93</v>
      </c>
      <c r="I37" s="3" t="s">
        <v>61</v>
      </c>
      <c r="J37" s="11">
        <v>34</v>
      </c>
      <c r="K37" s="7">
        <v>0.5</v>
      </c>
      <c r="L37" s="7">
        <v>0.5</v>
      </c>
      <c r="M37" s="1" t="s">
        <v>40</v>
      </c>
      <c r="N37" s="1" t="s">
        <v>49</v>
      </c>
      <c r="O37" s="6">
        <f>GEOMEAN(0.74, 2.03, 2.77)</f>
        <v>1.6084312742191913</v>
      </c>
      <c r="P37" s="6"/>
      <c r="Q37" s="6"/>
      <c r="R37" s="6">
        <v>0.85</v>
      </c>
      <c r="S37" s="6"/>
      <c r="T37" s="6"/>
      <c r="U37" s="9">
        <f t="shared" si="0"/>
        <v>1E-3</v>
      </c>
      <c r="V37" s="6" t="s">
        <v>56</v>
      </c>
      <c r="W37" s="6">
        <f>Table1[[#This Row],[Observed Non-Pregnant]]/1000/Table1[[#This Row],[AVERAGE_MASS]]*1000000</f>
        <v>3.6191694213113523</v>
      </c>
      <c r="X37" s="6"/>
      <c r="Y37" s="6"/>
      <c r="Z37" s="6">
        <f>Table1[[#This Row],[Observed Pregnant]]/1000/Table1[[#This Row],[AVERAGE_MASS]]*1000000</f>
        <v>1.9126051932856307</v>
      </c>
      <c r="AA37" s="6"/>
      <c r="AB37" s="6"/>
      <c r="AC37" s="6" t="s">
        <v>86</v>
      </c>
      <c r="AD37" s="6" t="s">
        <v>86</v>
      </c>
    </row>
    <row r="38" spans="1:30" x14ac:dyDescent="0.25">
      <c r="A38" s="3" t="s">
        <v>88</v>
      </c>
      <c r="B38" s="16" t="s">
        <v>145</v>
      </c>
      <c r="C38" t="s">
        <v>88</v>
      </c>
      <c r="D38" t="s">
        <v>89</v>
      </c>
      <c r="E38" s="7">
        <v>419.38</v>
      </c>
      <c r="F38" s="3">
        <v>50</v>
      </c>
      <c r="G38" s="3" t="s">
        <v>59</v>
      </c>
      <c r="H38" s="3" t="s">
        <v>92</v>
      </c>
      <c r="I38" s="3" t="s">
        <v>61</v>
      </c>
      <c r="J38" s="11">
        <v>23.5</v>
      </c>
      <c r="K38" s="7">
        <v>1</v>
      </c>
      <c r="L38" s="7">
        <v>1</v>
      </c>
      <c r="M38" s="1" t="s">
        <v>41</v>
      </c>
      <c r="N38" s="1" t="s">
        <v>42</v>
      </c>
      <c r="O38" s="6">
        <f>GEOMEAN(55.4, 52.5, 71.9, 71.9, 51.62)</f>
        <v>59.977584300057266</v>
      </c>
      <c r="P38" s="6"/>
      <c r="Q38" s="6"/>
      <c r="R38" s="6">
        <v>42.38</v>
      </c>
      <c r="S38" s="6"/>
      <c r="T38" s="6"/>
      <c r="U38" s="9">
        <f t="shared" si="0"/>
        <v>1E-3</v>
      </c>
      <c r="V38" s="6" t="s">
        <v>10</v>
      </c>
      <c r="W38" s="6">
        <f>Table1[[#This Row],[Observed Non-Pregnant]]/1000/Table1[[#This Row],[AVERAGE_MASS]]*1000000</f>
        <v>143.01488936062108</v>
      </c>
      <c r="X38" s="6"/>
      <c r="Y38" s="6"/>
      <c r="Z38" s="6">
        <f>Table1[[#This Row],[Observed Pregnant]]/1000/Table1[[#This Row],[AVERAGE_MASS]]*1000000</f>
        <v>101.05393676379417</v>
      </c>
      <c r="AA38" s="6"/>
      <c r="AB38" s="6"/>
      <c r="AC38" s="6" t="s">
        <v>86</v>
      </c>
      <c r="AD38" s="6" t="s">
        <v>86</v>
      </c>
    </row>
    <row r="39" spans="1:30" x14ac:dyDescent="0.25">
      <c r="A39" s="3" t="s">
        <v>88</v>
      </c>
      <c r="B39" s="16" t="s">
        <v>145</v>
      </c>
      <c r="C39" t="s">
        <v>88</v>
      </c>
      <c r="D39" t="s">
        <v>89</v>
      </c>
      <c r="E39" s="7">
        <v>419.38</v>
      </c>
      <c r="F39" s="3">
        <v>50</v>
      </c>
      <c r="G39" s="3" t="s">
        <v>59</v>
      </c>
      <c r="H39" s="3" t="s">
        <v>92</v>
      </c>
      <c r="I39" s="3" t="s">
        <v>61</v>
      </c>
      <c r="J39" s="11">
        <v>23.5</v>
      </c>
      <c r="K39" s="7">
        <v>1</v>
      </c>
      <c r="L39" s="7">
        <v>1</v>
      </c>
      <c r="M39" s="1" t="s">
        <v>40</v>
      </c>
      <c r="N39" s="1" t="s">
        <v>49</v>
      </c>
      <c r="O39" s="6">
        <f>GEOMEAN(3.83, 3.43, 5.35, 4.78, 3.81)</f>
        <v>4.1825381374854427</v>
      </c>
      <c r="P39" s="6"/>
      <c r="Q39" s="6"/>
      <c r="R39" s="6">
        <v>3</v>
      </c>
      <c r="S39" s="6"/>
      <c r="T39" s="6"/>
      <c r="U39" s="9">
        <f t="shared" si="0"/>
        <v>1E-3</v>
      </c>
      <c r="V39" s="6" t="s">
        <v>56</v>
      </c>
      <c r="W39" s="6">
        <f>Table1[[#This Row],[Observed Non-Pregnant]]/1000/Table1[[#This Row],[AVERAGE_MASS]]*1000000</f>
        <v>9.9731464006043282</v>
      </c>
      <c r="X39" s="6"/>
      <c r="Y39" s="6"/>
      <c r="Z39" s="6">
        <f>Table1[[#This Row],[Observed Pregnant]]/1000/Table1[[#This Row],[AVERAGE_MASS]]*1000000</f>
        <v>7.1534169488292241</v>
      </c>
      <c r="AA39" s="6"/>
      <c r="AB39" s="6"/>
      <c r="AC39" s="6" t="s">
        <v>86</v>
      </c>
      <c r="AD39" s="6" t="s">
        <v>86</v>
      </c>
    </row>
    <row r="40" spans="1:30" x14ac:dyDescent="0.25">
      <c r="A40" s="3" t="s">
        <v>88</v>
      </c>
      <c r="B40" s="16" t="s">
        <v>145</v>
      </c>
      <c r="C40" t="s">
        <v>88</v>
      </c>
      <c r="D40" t="s">
        <v>89</v>
      </c>
      <c r="E40" s="7">
        <v>419.38</v>
      </c>
      <c r="F40" s="3">
        <v>50</v>
      </c>
      <c r="G40" s="3" t="s">
        <v>59</v>
      </c>
      <c r="H40" s="3" t="s">
        <v>92</v>
      </c>
      <c r="I40" s="3" t="s">
        <v>61</v>
      </c>
      <c r="J40" s="11">
        <v>33</v>
      </c>
      <c r="K40" s="7">
        <v>1</v>
      </c>
      <c r="L40" s="7">
        <v>1</v>
      </c>
      <c r="M40" s="1" t="s">
        <v>41</v>
      </c>
      <c r="N40" s="1" t="s">
        <v>42</v>
      </c>
      <c r="O40" s="6">
        <f>GEOMEAN(55.4, 52.5, 71.9, 71.9, 51.62)</f>
        <v>59.977584300057266</v>
      </c>
      <c r="P40" s="6"/>
      <c r="Q40" s="6"/>
      <c r="R40" s="6">
        <v>47.59</v>
      </c>
      <c r="S40" s="6"/>
      <c r="T40" s="6"/>
      <c r="U40" s="9">
        <f t="shared" si="0"/>
        <v>1E-3</v>
      </c>
      <c r="V40" s="6" t="s">
        <v>10</v>
      </c>
      <c r="W40" s="6">
        <f>Table1[[#This Row],[Observed Non-Pregnant]]/1000/Table1[[#This Row],[AVERAGE_MASS]]*1000000</f>
        <v>143.01488936062108</v>
      </c>
      <c r="X40" s="6"/>
      <c r="Y40" s="6"/>
      <c r="Z40" s="6">
        <f>Table1[[#This Row],[Observed Pregnant]]/1000/Table1[[#This Row],[AVERAGE_MASS]]*1000000</f>
        <v>113.47703753159426</v>
      </c>
      <c r="AA40" s="6"/>
      <c r="AB40" s="6"/>
      <c r="AC40" s="6" t="s">
        <v>86</v>
      </c>
      <c r="AD40" s="6" t="s">
        <v>86</v>
      </c>
    </row>
    <row r="41" spans="1:30" x14ac:dyDescent="0.25">
      <c r="A41" s="3" t="s">
        <v>88</v>
      </c>
      <c r="B41" s="16" t="s">
        <v>145</v>
      </c>
      <c r="C41" t="s">
        <v>88</v>
      </c>
      <c r="D41" t="s">
        <v>89</v>
      </c>
      <c r="E41" s="7">
        <v>419.38</v>
      </c>
      <c r="F41" s="3">
        <v>50</v>
      </c>
      <c r="G41" s="3" t="s">
        <v>59</v>
      </c>
      <c r="H41" s="3" t="s">
        <v>92</v>
      </c>
      <c r="I41" s="3" t="s">
        <v>61</v>
      </c>
      <c r="J41" s="11">
        <v>33</v>
      </c>
      <c r="K41" s="7">
        <v>1</v>
      </c>
      <c r="L41" s="7">
        <v>1</v>
      </c>
      <c r="M41" s="1" t="s">
        <v>40</v>
      </c>
      <c r="N41" s="1" t="s">
        <v>49</v>
      </c>
      <c r="O41" s="6">
        <f>GEOMEAN(3.83, 3.43, 5.35, 4.78, 3.81)</f>
        <v>4.1825381374854427</v>
      </c>
      <c r="P41" s="6"/>
      <c r="Q41" s="6"/>
      <c r="R41" s="6">
        <v>3</v>
      </c>
      <c r="S41" s="6"/>
      <c r="T41" s="6"/>
      <c r="U41" s="9">
        <f t="shared" si="0"/>
        <v>1E-3</v>
      </c>
      <c r="V41" s="6" t="s">
        <v>56</v>
      </c>
      <c r="W41" s="6">
        <f>Table1[[#This Row],[Observed Non-Pregnant]]/1000/Table1[[#This Row],[AVERAGE_MASS]]*1000000</f>
        <v>9.9731464006043282</v>
      </c>
      <c r="X41" s="6"/>
      <c r="Y41" s="6"/>
      <c r="Z41" s="6">
        <f>Table1[[#This Row],[Observed Pregnant]]/1000/Table1[[#This Row],[AVERAGE_MASS]]*1000000</f>
        <v>7.1534169488292241</v>
      </c>
      <c r="AA41" s="6"/>
      <c r="AB41" s="6"/>
      <c r="AC41" s="6" t="s">
        <v>86</v>
      </c>
      <c r="AD41" s="6" t="s">
        <v>86</v>
      </c>
    </row>
    <row r="42" spans="1:30" x14ac:dyDescent="0.25">
      <c r="A42" s="3" t="s">
        <v>95</v>
      </c>
      <c r="B42" s="16" t="s">
        <v>146</v>
      </c>
      <c r="C42" t="s">
        <v>95</v>
      </c>
      <c r="D42" t="s">
        <v>94</v>
      </c>
      <c r="E42" s="13">
        <v>151.16300000000001</v>
      </c>
      <c r="F42" s="3">
        <v>650</v>
      </c>
      <c r="G42" s="3" t="s">
        <v>59</v>
      </c>
      <c r="H42" s="3" t="s">
        <v>91</v>
      </c>
      <c r="I42" s="3" t="s">
        <v>61</v>
      </c>
      <c r="J42" s="11">
        <v>10</v>
      </c>
      <c r="K42" s="7">
        <v>0.1666667</v>
      </c>
      <c r="L42" s="7">
        <v>0.1666667</v>
      </c>
      <c r="M42" s="1" t="s">
        <v>39</v>
      </c>
      <c r="N42" s="1" t="s">
        <v>42</v>
      </c>
      <c r="O42" s="6">
        <v>24.45</v>
      </c>
      <c r="P42" s="6"/>
      <c r="Q42" s="6"/>
      <c r="R42" s="6">
        <v>18.59</v>
      </c>
      <c r="S42" s="6"/>
      <c r="T42" s="6"/>
      <c r="U42" s="9">
        <f t="shared" si="0"/>
        <v>1E-3</v>
      </c>
      <c r="V42" s="6" t="s">
        <v>10</v>
      </c>
      <c r="W42" s="6">
        <f>Table1[[#This Row],[Observed Non-Pregnant]]/1000/Table1[[#This Row],[AVERAGE_MASS]]*1000000</f>
        <v>161.74592989025089</v>
      </c>
      <c r="X42" s="6"/>
      <c r="Y42" s="6"/>
      <c r="Z42" s="6">
        <f>Table1[[#This Row],[Observed Pregnant]]/1000/Table1[[#This Row],[AVERAGE_MASS]]*1000000</f>
        <v>122.97982972023574</v>
      </c>
      <c r="AA42" s="6"/>
      <c r="AB42" s="6"/>
      <c r="AC42" s="6" t="s">
        <v>96</v>
      </c>
      <c r="AD42" s="6" t="s">
        <v>96</v>
      </c>
    </row>
    <row r="43" spans="1:30" x14ac:dyDescent="0.25">
      <c r="A43" s="3" t="s">
        <v>95</v>
      </c>
      <c r="B43" s="16" t="s">
        <v>146</v>
      </c>
      <c r="C43" t="s">
        <v>95</v>
      </c>
      <c r="D43" t="s">
        <v>94</v>
      </c>
      <c r="E43" s="13">
        <v>151.16300000000001</v>
      </c>
      <c r="F43" s="3">
        <v>650</v>
      </c>
      <c r="G43" s="3" t="s">
        <v>59</v>
      </c>
      <c r="H43" s="3" t="s">
        <v>91</v>
      </c>
      <c r="I43" s="3" t="s">
        <v>61</v>
      </c>
      <c r="J43" s="11">
        <v>10</v>
      </c>
      <c r="K43" s="7">
        <v>0.1666667</v>
      </c>
      <c r="L43" s="7">
        <v>0.1666667</v>
      </c>
      <c r="M43" s="1" t="s">
        <v>40</v>
      </c>
      <c r="N43" s="1" t="s">
        <v>49</v>
      </c>
      <c r="O43" s="6">
        <v>9.92</v>
      </c>
      <c r="P43" s="6"/>
      <c r="Q43" s="6"/>
      <c r="R43" s="6">
        <v>9.8000000000000007</v>
      </c>
      <c r="S43" s="6"/>
      <c r="T43" s="6"/>
      <c r="U43" s="9">
        <f t="shared" si="0"/>
        <v>1E-3</v>
      </c>
      <c r="V43" s="6" t="s">
        <v>56</v>
      </c>
      <c r="W43" s="6">
        <f>Table1[[#This Row],[Observed Non-Pregnant]]/1000/Table1[[#This Row],[AVERAGE_MASS]]*1000000</f>
        <v>65.624524519889121</v>
      </c>
      <c r="X43" s="6"/>
      <c r="Y43" s="6"/>
      <c r="Z43" s="6">
        <f>Table1[[#This Row],[Observed Pregnant]]/1000/Table1[[#This Row],[AVERAGE_MASS]]*1000000</f>
        <v>64.830679465213052</v>
      </c>
      <c r="AA43" s="6"/>
      <c r="AB43" s="6"/>
      <c r="AC43" s="6" t="s">
        <v>96</v>
      </c>
      <c r="AD43" s="6" t="s">
        <v>96</v>
      </c>
    </row>
    <row r="44" spans="1:30" x14ac:dyDescent="0.25">
      <c r="A44" s="3" t="s">
        <v>95</v>
      </c>
      <c r="B44" s="16" t="s">
        <v>146</v>
      </c>
      <c r="C44" t="s">
        <v>95</v>
      </c>
      <c r="D44" t="s">
        <v>94</v>
      </c>
      <c r="E44" s="13">
        <v>151.16300000000001</v>
      </c>
      <c r="F44" s="3">
        <v>2000</v>
      </c>
      <c r="G44" s="3" t="s">
        <v>59</v>
      </c>
      <c r="H44" s="3" t="s">
        <v>91</v>
      </c>
      <c r="I44" s="3" t="s">
        <v>62</v>
      </c>
      <c r="J44" s="11">
        <v>30.9</v>
      </c>
      <c r="K44" s="7">
        <v>0.25</v>
      </c>
      <c r="L44" s="7">
        <v>0.25</v>
      </c>
      <c r="M44" s="1" t="s">
        <v>39</v>
      </c>
      <c r="N44" s="1" t="s">
        <v>42</v>
      </c>
      <c r="O44" s="6">
        <v>101.71</v>
      </c>
      <c r="P44" s="6"/>
      <c r="Q44" s="6"/>
      <c r="R44" s="6">
        <v>74.3</v>
      </c>
      <c r="S44" s="6"/>
      <c r="T44" s="6"/>
      <c r="U44" s="9">
        <f t="shared" si="0"/>
        <v>1E-3</v>
      </c>
      <c r="V44" s="6" t="s">
        <v>10</v>
      </c>
      <c r="W44" s="6">
        <f>Table1[[#This Row],[Observed Non-Pregnant]]/1000/Table1[[#This Row],[AVERAGE_MASS]]*1000000</f>
        <v>672.84983759253248</v>
      </c>
      <c r="X44" s="6"/>
      <c r="Y44" s="6"/>
      <c r="Z44" s="6">
        <f>Table1[[#This Row],[Observed Pregnant]]/1000/Table1[[#This Row],[AVERAGE_MASS]]*1000000</f>
        <v>491.52239635360496</v>
      </c>
      <c r="AA44" s="6"/>
      <c r="AB44" s="6"/>
      <c r="AC44" s="6" t="s">
        <v>96</v>
      </c>
      <c r="AD44" s="6" t="s">
        <v>96</v>
      </c>
    </row>
    <row r="45" spans="1:30" x14ac:dyDescent="0.25">
      <c r="A45" t="s">
        <v>98</v>
      </c>
      <c r="B45" s="16" t="s">
        <v>147</v>
      </c>
      <c r="C45" t="s">
        <v>98</v>
      </c>
      <c r="D45" t="s">
        <v>99</v>
      </c>
      <c r="E45" s="13">
        <v>315.67500000000001</v>
      </c>
      <c r="F45" s="3">
        <v>400</v>
      </c>
      <c r="G45" s="3" t="s">
        <v>59</v>
      </c>
      <c r="H45" s="3" t="s">
        <v>92</v>
      </c>
      <c r="I45" s="3" t="s">
        <v>61</v>
      </c>
      <c r="J45" s="11">
        <v>28</v>
      </c>
      <c r="K45" s="7">
        <v>1</v>
      </c>
      <c r="L45" s="7">
        <v>1</v>
      </c>
      <c r="M45" s="1" t="s">
        <v>41</v>
      </c>
      <c r="N45" s="1" t="s">
        <v>42</v>
      </c>
      <c r="O45" s="6">
        <v>49.2</v>
      </c>
      <c r="P45" s="6"/>
      <c r="Q45" s="6"/>
      <c r="R45" s="6">
        <v>39.941000000000003</v>
      </c>
      <c r="S45" s="6"/>
      <c r="T45" s="6"/>
      <c r="U45" s="9">
        <f t="shared" ref="U45:U54" si="1">1/1000</f>
        <v>1E-3</v>
      </c>
      <c r="V45" s="6" t="s">
        <v>10</v>
      </c>
      <c r="W45" s="6">
        <f>Table1[[#This Row],[Observed Non-Pregnant]]/1000/Table1[[#This Row],[AVERAGE_MASS]]*1000000</f>
        <v>155.85649798051793</v>
      </c>
      <c r="X45" s="6"/>
      <c r="Y45" s="6"/>
      <c r="Z45" s="6">
        <f>Table1[[#This Row],[Observed Pregnant]]/1000/Table1[[#This Row],[AVERAGE_MASS]]*1000000</f>
        <v>126.52569889918429</v>
      </c>
      <c r="AA45" s="6"/>
      <c r="AB45" s="6"/>
      <c r="AC45" s="6" t="s">
        <v>97</v>
      </c>
      <c r="AD45" s="6" t="s">
        <v>100</v>
      </c>
    </row>
    <row r="46" spans="1:30" x14ac:dyDescent="0.25">
      <c r="A46" t="s">
        <v>98</v>
      </c>
      <c r="B46" s="16" t="s">
        <v>147</v>
      </c>
      <c r="C46" t="s">
        <v>98</v>
      </c>
      <c r="D46" t="s">
        <v>99</v>
      </c>
      <c r="E46" s="13">
        <v>315.67500000000001</v>
      </c>
      <c r="F46" s="3">
        <v>400</v>
      </c>
      <c r="G46" s="3" t="s">
        <v>59</v>
      </c>
      <c r="H46" s="3" t="s">
        <v>92</v>
      </c>
      <c r="I46" s="3" t="s">
        <v>61</v>
      </c>
      <c r="J46" s="11">
        <v>28</v>
      </c>
      <c r="K46" s="7">
        <v>1</v>
      </c>
      <c r="L46" s="7">
        <v>1</v>
      </c>
      <c r="M46" s="1" t="s">
        <v>40</v>
      </c>
      <c r="N46" s="1" t="s">
        <v>49</v>
      </c>
      <c r="O46" s="6">
        <v>2.52</v>
      </c>
      <c r="P46" s="6"/>
      <c r="Q46" s="6"/>
      <c r="R46" s="6">
        <v>2.7509999999999999</v>
      </c>
      <c r="S46" s="6"/>
      <c r="T46" s="6"/>
      <c r="U46" s="9">
        <f t="shared" si="1"/>
        <v>1E-3</v>
      </c>
      <c r="V46" s="6" t="s">
        <v>56</v>
      </c>
      <c r="W46" s="6">
        <f>Table1[[#This Row],[Observed Non-Pregnant]]/1000/Table1[[#This Row],[AVERAGE_MASS]]*1000000</f>
        <v>7.9828937990021389</v>
      </c>
      <c r="X46" s="6"/>
      <c r="Y46" s="6"/>
      <c r="Z46" s="6">
        <f>Table1[[#This Row],[Observed Pregnant]]/1000/Table1[[#This Row],[AVERAGE_MASS]]*1000000</f>
        <v>8.714659063910668</v>
      </c>
      <c r="AA46" s="6"/>
      <c r="AB46" s="6"/>
      <c r="AC46" s="6" t="s">
        <v>97</v>
      </c>
      <c r="AD46" s="6" t="s">
        <v>100</v>
      </c>
    </row>
    <row r="47" spans="1:30" x14ac:dyDescent="0.25">
      <c r="A47" s="14" t="s">
        <v>101</v>
      </c>
      <c r="B47" s="16" t="s">
        <v>148</v>
      </c>
      <c r="C47" t="s">
        <v>101</v>
      </c>
      <c r="D47" t="s">
        <v>103</v>
      </c>
      <c r="E47" s="13">
        <v>287.21300000000002</v>
      </c>
      <c r="F47" s="3">
        <v>300</v>
      </c>
      <c r="G47" s="3" t="s">
        <v>59</v>
      </c>
      <c r="H47" s="3" t="s">
        <v>92</v>
      </c>
      <c r="I47" s="3" t="s">
        <v>61</v>
      </c>
      <c r="J47" s="11">
        <v>33</v>
      </c>
      <c r="K47" s="7">
        <v>1</v>
      </c>
      <c r="L47" s="7">
        <v>1</v>
      </c>
      <c r="M47" s="1" t="s">
        <v>41</v>
      </c>
      <c r="N47" s="1" t="s">
        <v>42</v>
      </c>
      <c r="O47" s="6">
        <v>2.9</v>
      </c>
      <c r="P47" s="6"/>
      <c r="Q47" s="6"/>
      <c r="R47" s="6">
        <v>2.5</v>
      </c>
      <c r="S47" s="6"/>
      <c r="T47" s="6"/>
      <c r="U47" s="9">
        <f t="shared" si="1"/>
        <v>1E-3</v>
      </c>
      <c r="V47" s="6" t="s">
        <v>10</v>
      </c>
      <c r="W47" s="6">
        <f>Table1[[#This Row],[Observed Non-Pregnant]]/1000/Table1[[#This Row],[AVERAGE_MASS]]*1000000</f>
        <v>10.097035997674199</v>
      </c>
      <c r="X47" s="6"/>
      <c r="Y47" s="6"/>
      <c r="Z47" s="6">
        <f>Table1[[#This Row],[Observed Pregnant]]/1000/Table1[[#This Row],[AVERAGE_MASS]]*1000000</f>
        <v>8.7043413773053437</v>
      </c>
      <c r="AA47" s="6"/>
      <c r="AB47" s="6"/>
      <c r="AC47" s="6" t="s">
        <v>104</v>
      </c>
      <c r="AD47" s="6" t="s">
        <v>102</v>
      </c>
    </row>
    <row r="48" spans="1:30" x14ac:dyDescent="0.25">
      <c r="A48" s="14" t="s">
        <v>101</v>
      </c>
      <c r="B48" s="16" t="s">
        <v>148</v>
      </c>
      <c r="C48" t="s">
        <v>101</v>
      </c>
      <c r="D48" t="s">
        <v>103</v>
      </c>
      <c r="E48" s="13">
        <v>287.21300000000002</v>
      </c>
      <c r="F48" s="3">
        <v>300</v>
      </c>
      <c r="G48" s="3" t="s">
        <v>59</v>
      </c>
      <c r="H48" s="3" t="s">
        <v>92</v>
      </c>
      <c r="I48" s="3" t="s">
        <v>61</v>
      </c>
      <c r="J48" s="11">
        <v>33</v>
      </c>
      <c r="K48" s="7">
        <v>1</v>
      </c>
      <c r="L48" s="7">
        <v>1</v>
      </c>
      <c r="M48" s="1" t="s">
        <v>40</v>
      </c>
      <c r="N48" s="1" t="s">
        <v>49</v>
      </c>
      <c r="O48" s="12">
        <v>0.26800000000000002</v>
      </c>
      <c r="P48" s="6"/>
      <c r="Q48" s="6"/>
      <c r="R48" s="6">
        <v>0.28000000000000003</v>
      </c>
      <c r="S48" s="6"/>
      <c r="T48" s="6"/>
      <c r="U48" s="9">
        <f t="shared" si="1"/>
        <v>1E-3</v>
      </c>
      <c r="V48" s="6" t="s">
        <v>56</v>
      </c>
      <c r="W48" s="6">
        <f>Table1[[#This Row],[Observed Non-Pregnant]]/1000/Table1[[#This Row],[AVERAGE_MASS]]*1000000</f>
        <v>0.93310539564713291</v>
      </c>
      <c r="X48" s="6"/>
      <c r="Y48" s="6"/>
      <c r="Z48" s="6">
        <f>Table1[[#This Row],[Observed Pregnant]]/1000/Table1[[#This Row],[AVERAGE_MASS]]*1000000</f>
        <v>0.97488623425819876</v>
      </c>
      <c r="AA48" s="6"/>
      <c r="AB48" s="6"/>
      <c r="AC48" s="6" t="s">
        <v>104</v>
      </c>
      <c r="AD48" s="6" t="s">
        <v>102</v>
      </c>
    </row>
    <row r="49" spans="1:30" x14ac:dyDescent="0.25">
      <c r="A49" t="s">
        <v>105</v>
      </c>
      <c r="B49" s="16" t="s">
        <v>149</v>
      </c>
      <c r="C49" t="s">
        <v>105</v>
      </c>
      <c r="D49" t="s">
        <v>106</v>
      </c>
      <c r="E49" s="13">
        <v>266.298</v>
      </c>
      <c r="F49" s="3">
        <v>200</v>
      </c>
      <c r="G49" s="3" t="s">
        <v>59</v>
      </c>
      <c r="H49" s="3" t="s">
        <v>91</v>
      </c>
      <c r="I49" s="3" t="s">
        <v>61</v>
      </c>
      <c r="J49" s="11">
        <v>39</v>
      </c>
      <c r="K49" s="7">
        <v>7</v>
      </c>
      <c r="L49" s="7">
        <v>4</v>
      </c>
      <c r="M49" s="1" t="s">
        <v>39</v>
      </c>
      <c r="N49" s="1" t="s">
        <v>42</v>
      </c>
      <c r="O49" s="6">
        <v>186.91589999999999</v>
      </c>
      <c r="P49" s="6"/>
      <c r="Q49" s="6"/>
      <c r="R49" s="6">
        <v>140.8451</v>
      </c>
      <c r="S49" s="6"/>
      <c r="T49" s="6"/>
      <c r="U49" s="9">
        <f t="shared" si="1"/>
        <v>1E-3</v>
      </c>
      <c r="V49" s="6" t="s">
        <v>10</v>
      </c>
      <c r="W49" s="6">
        <f>Table1[[#This Row],[Observed Non-Pregnant]]/1000/Table1[[#This Row],[AVERAGE_MASS]]*1000000</f>
        <v>701.90500867449248</v>
      </c>
      <c r="X49" s="6"/>
      <c r="Y49" s="6"/>
      <c r="Z49" s="6">
        <f>Table1[[#This Row],[Observed Pregnant]]/1000/Table1[[#This Row],[AVERAGE_MASS]]*1000000</f>
        <v>528.90032970581831</v>
      </c>
      <c r="AA49" s="6"/>
      <c r="AB49" s="6"/>
      <c r="AC49" s="6" t="s">
        <v>108</v>
      </c>
      <c r="AD49" s="6" t="s">
        <v>107</v>
      </c>
    </row>
    <row r="50" spans="1:30" x14ac:dyDescent="0.25">
      <c r="A50" t="s">
        <v>109</v>
      </c>
      <c r="B50" s="16" t="s">
        <v>150</v>
      </c>
      <c r="C50" t="s">
        <v>109</v>
      </c>
      <c r="D50" t="s">
        <v>110</v>
      </c>
      <c r="E50" s="7">
        <v>424.98</v>
      </c>
      <c r="F50" s="3">
        <v>600</v>
      </c>
      <c r="G50" s="3" t="s">
        <v>59</v>
      </c>
      <c r="H50" s="3" t="s">
        <v>91</v>
      </c>
      <c r="I50" s="3" t="s">
        <v>62</v>
      </c>
      <c r="J50" s="11">
        <v>38.299999999999997</v>
      </c>
      <c r="K50" s="7">
        <v>0.66666669999999995</v>
      </c>
      <c r="L50" s="7">
        <v>0.4166667</v>
      </c>
      <c r="M50" s="1" t="s">
        <v>39</v>
      </c>
      <c r="N50" s="1" t="s">
        <v>42</v>
      </c>
      <c r="O50" s="6">
        <v>31.8</v>
      </c>
      <c r="P50" s="6"/>
      <c r="Q50" s="6"/>
      <c r="R50" s="1">
        <f>81.4/814*600</f>
        <v>60</v>
      </c>
      <c r="S50" s="6"/>
      <c r="T50" s="6"/>
      <c r="U50" s="9">
        <f t="shared" si="1"/>
        <v>1E-3</v>
      </c>
      <c r="V50" s="6" t="s">
        <v>10</v>
      </c>
      <c r="W50" s="6">
        <f>Table1[[#This Row],[Observed Non-Pregnant]]/1000/Table1[[#This Row],[AVERAGE_MASS]]*1000000</f>
        <v>74.827050684738111</v>
      </c>
      <c r="X50" s="6"/>
      <c r="Y50" s="6"/>
      <c r="Z50" s="6">
        <f>Table1[[#This Row],[Observed Pregnant]]/1000/Table1[[#This Row],[AVERAGE_MASS]]*1000000</f>
        <v>141.18311449950585</v>
      </c>
      <c r="AA50" s="6"/>
      <c r="AB50" s="6"/>
      <c r="AC50" s="6" t="s">
        <v>112</v>
      </c>
      <c r="AD50" s="6" t="s">
        <v>111</v>
      </c>
    </row>
    <row r="51" spans="1:30" x14ac:dyDescent="0.25">
      <c r="A51" t="s">
        <v>113</v>
      </c>
      <c r="B51" s="16" t="s">
        <v>151</v>
      </c>
      <c r="C51" t="s">
        <v>113</v>
      </c>
      <c r="D51" t="s">
        <v>114</v>
      </c>
      <c r="E51" s="15">
        <v>749</v>
      </c>
      <c r="F51" s="3">
        <v>500</v>
      </c>
      <c r="G51" s="3" t="s">
        <v>59</v>
      </c>
      <c r="H51" s="3" t="s">
        <v>91</v>
      </c>
      <c r="I51" s="3" t="s">
        <v>62</v>
      </c>
      <c r="J51" s="11">
        <v>39.1</v>
      </c>
      <c r="K51" s="7">
        <v>3</v>
      </c>
      <c r="L51" s="7">
        <v>0.4166667</v>
      </c>
      <c r="M51" s="1" t="s">
        <v>39</v>
      </c>
      <c r="N51" s="1" t="s">
        <v>42</v>
      </c>
      <c r="O51" s="6">
        <v>9.08</v>
      </c>
      <c r="P51" s="6"/>
      <c r="Q51" s="6"/>
      <c r="R51" s="6">
        <f>500/73.2</f>
        <v>6.8306010928961749</v>
      </c>
      <c r="S51" s="6"/>
      <c r="T51" s="6"/>
      <c r="U51" s="9">
        <f t="shared" si="1"/>
        <v>1E-3</v>
      </c>
      <c r="V51" s="6" t="s">
        <v>10</v>
      </c>
      <c r="W51" s="6">
        <f>Table1[[#This Row],[Observed Non-Pregnant]]/1000/Table1[[#This Row],[AVERAGE_MASS]]*1000000</f>
        <v>12.12283044058745</v>
      </c>
      <c r="X51" s="6"/>
      <c r="Y51" s="6"/>
      <c r="Z51" s="6">
        <f>Table1[[#This Row],[Observed Pregnant]]/1000/Table1[[#This Row],[AVERAGE_MASS]]*1000000</f>
        <v>9.1196276273647197</v>
      </c>
      <c r="AA51" s="6"/>
      <c r="AB51" s="6"/>
      <c r="AC51" s="6" t="s">
        <v>117</v>
      </c>
      <c r="AD51" s="6" t="s">
        <v>115</v>
      </c>
    </row>
    <row r="52" spans="1:30" x14ac:dyDescent="0.25">
      <c r="A52" t="s">
        <v>113</v>
      </c>
      <c r="B52" s="16" t="s">
        <v>151</v>
      </c>
      <c r="C52" t="s">
        <v>113</v>
      </c>
      <c r="D52" t="s">
        <v>114</v>
      </c>
      <c r="E52" s="15">
        <v>749</v>
      </c>
      <c r="F52" s="3">
        <v>2000</v>
      </c>
      <c r="G52" s="3" t="s">
        <v>59</v>
      </c>
      <c r="H52" s="3" t="s">
        <v>91</v>
      </c>
      <c r="I52" s="3" t="s">
        <v>62</v>
      </c>
      <c r="J52" s="11">
        <v>21</v>
      </c>
      <c r="K52" s="7">
        <v>1</v>
      </c>
      <c r="L52" s="7">
        <v>1</v>
      </c>
      <c r="M52" s="1" t="s">
        <v>39</v>
      </c>
      <c r="N52" s="1" t="s">
        <v>42</v>
      </c>
      <c r="O52" s="6">
        <v>31.780999999999999</v>
      </c>
      <c r="P52" s="6"/>
      <c r="Q52" s="6"/>
      <c r="R52" s="6">
        <v>28.713000000000001</v>
      </c>
      <c r="S52" s="6"/>
      <c r="T52" s="6"/>
      <c r="U52" s="9">
        <f t="shared" si="1"/>
        <v>1E-3</v>
      </c>
      <c r="V52" s="6" t="s">
        <v>10</v>
      </c>
      <c r="W52" s="6">
        <f>Table1[[#This Row],[Observed Non-Pregnant]]/1000/Table1[[#This Row],[AVERAGE_MASS]]*1000000</f>
        <v>42.431241655540717</v>
      </c>
      <c r="X52" s="6"/>
      <c r="Y52" s="6"/>
      <c r="Z52" s="6">
        <f>Table1[[#This Row],[Observed Pregnant]]/1000/Table1[[#This Row],[AVERAGE_MASS]]*1000000</f>
        <v>38.3351134846462</v>
      </c>
      <c r="AA52" s="6"/>
      <c r="AB52" s="6"/>
      <c r="AC52" s="6" t="s">
        <v>116</v>
      </c>
      <c r="AD52" s="6" t="s">
        <v>116</v>
      </c>
    </row>
    <row r="53" spans="1:30" x14ac:dyDescent="0.25">
      <c r="A53" t="s">
        <v>118</v>
      </c>
      <c r="B53" s="16" t="s">
        <v>152</v>
      </c>
      <c r="C53" t="s">
        <v>118</v>
      </c>
      <c r="D53" t="s">
        <v>120</v>
      </c>
      <c r="E53" s="11">
        <v>462.5</v>
      </c>
      <c r="F53" s="3">
        <v>1000</v>
      </c>
      <c r="G53" s="3" t="s">
        <v>59</v>
      </c>
      <c r="H53" s="3" t="s">
        <v>93</v>
      </c>
      <c r="I53" s="3" t="s">
        <v>61</v>
      </c>
      <c r="J53" s="11">
        <v>23</v>
      </c>
      <c r="K53" s="7">
        <v>0.5</v>
      </c>
      <c r="L53" s="7">
        <v>0.5</v>
      </c>
      <c r="M53" s="1" t="s">
        <v>41</v>
      </c>
      <c r="N53" s="1" t="s">
        <v>42</v>
      </c>
      <c r="O53" s="6">
        <v>31.86</v>
      </c>
      <c r="P53" s="6"/>
      <c r="Q53" s="6"/>
      <c r="R53" s="6">
        <v>18.21</v>
      </c>
      <c r="S53" s="6"/>
      <c r="T53" s="6"/>
      <c r="U53" s="9">
        <f t="shared" si="1"/>
        <v>1E-3</v>
      </c>
      <c r="V53" s="6" t="s">
        <v>10</v>
      </c>
      <c r="W53" s="6">
        <f>Table1[[#This Row],[Observed Non-Pregnant]]/1000/Table1[[#This Row],[AVERAGE_MASS]]*1000000</f>
        <v>68.88648648648649</v>
      </c>
      <c r="X53" s="6"/>
      <c r="Y53" s="6"/>
      <c r="Z53" s="6">
        <f>Table1[[#This Row],[Observed Pregnant]]/1000/Table1[[#This Row],[AVERAGE_MASS]]*1000000</f>
        <v>39.372972972972974</v>
      </c>
      <c r="AA53" s="6"/>
      <c r="AB53" s="6"/>
      <c r="AC53" s="6" t="s">
        <v>119</v>
      </c>
      <c r="AD53" s="6" t="s">
        <v>119</v>
      </c>
    </row>
    <row r="54" spans="1:30" x14ac:dyDescent="0.25">
      <c r="A54" t="s">
        <v>118</v>
      </c>
      <c r="B54" s="16" t="s">
        <v>152</v>
      </c>
      <c r="C54" t="s">
        <v>118</v>
      </c>
      <c r="D54" t="s">
        <v>120</v>
      </c>
      <c r="E54" s="11">
        <v>462.5</v>
      </c>
      <c r="F54" s="3">
        <v>1000</v>
      </c>
      <c r="G54" s="3" t="s">
        <v>59</v>
      </c>
      <c r="H54" s="3" t="s">
        <v>93</v>
      </c>
      <c r="I54" s="3" t="s">
        <v>61</v>
      </c>
      <c r="J54" s="11">
        <v>23</v>
      </c>
      <c r="K54" s="7">
        <v>0.5</v>
      </c>
      <c r="L54" s="7">
        <v>0.5</v>
      </c>
      <c r="M54" s="1" t="s">
        <v>40</v>
      </c>
      <c r="N54" s="1" t="s">
        <v>49</v>
      </c>
      <c r="O54" s="6">
        <v>9.56</v>
      </c>
      <c r="P54" s="6"/>
      <c r="Q54" s="6"/>
      <c r="R54" s="6">
        <v>5.31</v>
      </c>
      <c r="S54" s="6"/>
      <c r="T54" s="6"/>
      <c r="U54" s="9">
        <f t="shared" si="1"/>
        <v>1E-3</v>
      </c>
      <c r="V54" s="6" t="s">
        <v>56</v>
      </c>
      <c r="W54" s="6">
        <f>Table1[[#This Row],[Observed Non-Pregnant]]/1000/Table1[[#This Row],[AVERAGE_MASS]]*1000000</f>
        <v>20.670270270270272</v>
      </c>
      <c r="X54" s="6"/>
      <c r="Y54" s="6"/>
      <c r="Z54" s="6">
        <f>Table1[[#This Row],[Observed Pregnant]]/1000/Table1[[#This Row],[AVERAGE_MASS]]*1000000</f>
        <v>11.481081081081081</v>
      </c>
      <c r="AA54" s="6"/>
      <c r="AB54" s="6"/>
      <c r="AC54" s="6" t="s">
        <v>119</v>
      </c>
      <c r="AD54" s="6" t="s">
        <v>119</v>
      </c>
    </row>
    <row r="55" spans="1:30" x14ac:dyDescent="0.25">
      <c r="A55" t="s">
        <v>121</v>
      </c>
      <c r="B55" s="16" t="s">
        <v>153</v>
      </c>
      <c r="C55" t="s">
        <v>121</v>
      </c>
      <c r="D55" t="s">
        <v>122</v>
      </c>
      <c r="E55" s="13">
        <v>780.93799999999999</v>
      </c>
      <c r="F55" s="3">
        <v>0.25</v>
      </c>
      <c r="G55" s="3" t="s">
        <v>59</v>
      </c>
      <c r="H55" s="3" t="s">
        <v>91</v>
      </c>
      <c r="I55" s="3" t="s">
        <v>61</v>
      </c>
      <c r="J55" s="11">
        <v>30.5</v>
      </c>
      <c r="K55" s="7">
        <v>2</v>
      </c>
      <c r="L55" s="7">
        <v>2</v>
      </c>
      <c r="M55" s="1" t="s">
        <v>41</v>
      </c>
      <c r="N55" s="1" t="s">
        <v>123</v>
      </c>
      <c r="O55" s="6">
        <v>9.3000000000000007</v>
      </c>
      <c r="P55" s="6"/>
      <c r="Q55" s="6"/>
      <c r="R55" s="6">
        <v>7.3</v>
      </c>
      <c r="S55" s="6"/>
      <c r="T55" s="6"/>
      <c r="U55" s="9">
        <v>1</v>
      </c>
      <c r="V55" s="6" t="s">
        <v>10</v>
      </c>
      <c r="W55" s="6">
        <f>Table1[[#This Row],[Observed Non-Pregnant]]/1000/Table1[[#This Row],[AVERAGE_MASS]]*1000000</f>
        <v>11.908755880748537</v>
      </c>
      <c r="X55" s="6"/>
      <c r="Y55" s="6"/>
      <c r="Z55" s="6">
        <f>Table1[[#This Row],[Observed Pregnant]]/1000/Table1[[#This Row],[AVERAGE_MASS]]*1000000</f>
        <v>9.3477331106950867</v>
      </c>
      <c r="AA55" s="6"/>
      <c r="AB55" s="6"/>
      <c r="AC55" s="6" t="s">
        <v>125</v>
      </c>
      <c r="AD55" s="6" t="s">
        <v>125</v>
      </c>
    </row>
    <row r="56" spans="1:30" x14ac:dyDescent="0.25">
      <c r="A56" t="s">
        <v>121</v>
      </c>
      <c r="B56" s="16" t="s">
        <v>153</v>
      </c>
      <c r="C56" t="s">
        <v>121</v>
      </c>
      <c r="D56" t="s">
        <v>122</v>
      </c>
      <c r="E56" s="11">
        <v>780.93799999999999</v>
      </c>
      <c r="F56" s="3">
        <v>0.25</v>
      </c>
      <c r="G56" s="3" t="s">
        <v>59</v>
      </c>
      <c r="H56" s="3" t="s">
        <v>91</v>
      </c>
      <c r="I56" s="3" t="s">
        <v>61</v>
      </c>
      <c r="J56" s="11">
        <v>30.5</v>
      </c>
      <c r="K56" s="7">
        <v>2</v>
      </c>
      <c r="L56" s="7">
        <v>2</v>
      </c>
      <c r="M56" s="1" t="s">
        <v>40</v>
      </c>
      <c r="N56" s="1" t="s">
        <v>124</v>
      </c>
      <c r="O56" s="6">
        <v>1.1000000000000001</v>
      </c>
      <c r="P56" s="6"/>
      <c r="Q56" s="6"/>
      <c r="R56" s="6">
        <v>0.8</v>
      </c>
      <c r="S56" s="6"/>
      <c r="T56" s="6"/>
      <c r="U56" s="9">
        <v>1</v>
      </c>
      <c r="V56" s="6" t="s">
        <v>56</v>
      </c>
      <c r="W56" s="6">
        <f>Table1[[#This Row],[Observed Non-Pregnant]]/1000/Table1[[#This Row],[AVERAGE_MASS]]*1000000</f>
        <v>1.4085625235293968</v>
      </c>
      <c r="X56" s="6"/>
      <c r="Y56" s="6"/>
      <c r="Z56" s="6">
        <f>Table1[[#This Row],[Observed Pregnant]]/1000/Table1[[#This Row],[AVERAGE_MASS]]*1000000</f>
        <v>1.0244091080213795</v>
      </c>
      <c r="AA56" s="6"/>
      <c r="AB56" s="6"/>
      <c r="AC56" s="6" t="s">
        <v>125</v>
      </c>
      <c r="AD56" s="6" t="s">
        <v>125</v>
      </c>
    </row>
    <row r="57" spans="1:30" x14ac:dyDescent="0.25">
      <c r="A57" t="s">
        <v>126</v>
      </c>
      <c r="B57" s="16" t="s">
        <v>154</v>
      </c>
      <c r="C57" t="s">
        <v>126</v>
      </c>
      <c r="D57" t="s">
        <v>128</v>
      </c>
      <c r="E57" s="11">
        <v>321.2</v>
      </c>
      <c r="F57" s="3">
        <v>2</v>
      </c>
      <c r="G57" s="3" t="s">
        <v>59</v>
      </c>
      <c r="H57" s="3" t="s">
        <v>91</v>
      </c>
      <c r="I57" s="3" t="s">
        <v>61</v>
      </c>
      <c r="J57" s="11">
        <v>38.409999999999997</v>
      </c>
      <c r="K57" s="7">
        <v>1.5</v>
      </c>
      <c r="L57" s="7">
        <v>2</v>
      </c>
      <c r="M57" s="1" t="s">
        <v>39</v>
      </c>
      <c r="N57" s="1" t="s">
        <v>123</v>
      </c>
      <c r="O57" s="6">
        <v>560</v>
      </c>
      <c r="P57" s="6"/>
      <c r="Q57" s="6"/>
      <c r="R57" s="6">
        <v>175.25</v>
      </c>
      <c r="S57" s="6"/>
      <c r="T57" s="6"/>
      <c r="U57" s="9">
        <v>1</v>
      </c>
      <c r="V57" s="6" t="s">
        <v>10</v>
      </c>
      <c r="W57" s="6">
        <f>Table1[[#This Row],[Observed Non-Pregnant]]/1000/Table1[[#This Row],[AVERAGE_MASS]]*1000000</f>
        <v>1743.4620174346205</v>
      </c>
      <c r="X57" s="6"/>
      <c r="Y57" s="6"/>
      <c r="Z57" s="6">
        <f>Table1[[#This Row],[Observed Pregnant]]/1000/Table1[[#This Row],[AVERAGE_MASS]]*1000000</f>
        <v>545.61021170610206</v>
      </c>
      <c r="AA57" s="6"/>
      <c r="AB57" s="6"/>
      <c r="AC57" s="6" t="s">
        <v>127</v>
      </c>
      <c r="AD57" s="6" t="s">
        <v>129</v>
      </c>
    </row>
    <row r="58" spans="1:30" x14ac:dyDescent="0.25">
      <c r="A58" t="s">
        <v>126</v>
      </c>
      <c r="B58" s="16" t="s">
        <v>154</v>
      </c>
      <c r="C58" t="s">
        <v>126</v>
      </c>
      <c r="D58" t="s">
        <v>128</v>
      </c>
      <c r="E58" s="11">
        <v>321.2</v>
      </c>
      <c r="F58" s="3">
        <v>2</v>
      </c>
      <c r="G58" s="3" t="s">
        <v>59</v>
      </c>
      <c r="H58" s="3" t="s">
        <v>91</v>
      </c>
      <c r="I58" s="3" t="s">
        <v>61</v>
      </c>
      <c r="J58" s="11">
        <v>38.409999999999997</v>
      </c>
      <c r="K58" s="7">
        <v>1.5</v>
      </c>
      <c r="L58" s="7">
        <v>2</v>
      </c>
      <c r="M58" s="1" t="s">
        <v>40</v>
      </c>
      <c r="N58" s="1" t="s">
        <v>124</v>
      </c>
      <c r="O58" s="6">
        <v>26.7</v>
      </c>
      <c r="P58" s="6"/>
      <c r="Q58" s="6"/>
      <c r="R58" s="6">
        <v>12.96</v>
      </c>
      <c r="S58" s="6"/>
      <c r="T58" s="6"/>
      <c r="U58" s="9">
        <v>1</v>
      </c>
      <c r="V58" s="6" t="s">
        <v>56</v>
      </c>
      <c r="W58" s="6">
        <f>Table1[[#This Row],[Observed Non-Pregnant]]/1000/Table1[[#This Row],[AVERAGE_MASS]]*1000000</f>
        <v>83.125778331257777</v>
      </c>
      <c r="X58" s="6"/>
      <c r="Y58" s="6"/>
      <c r="Z58" s="6">
        <f>Table1[[#This Row],[Observed Pregnant]]/1000/Table1[[#This Row],[AVERAGE_MASS]]*1000000</f>
        <v>40.348692403486929</v>
      </c>
      <c r="AA58" s="6"/>
      <c r="AB58" s="6"/>
      <c r="AC58" s="6" t="s">
        <v>127</v>
      </c>
      <c r="AD58" s="6" t="s">
        <v>129</v>
      </c>
    </row>
    <row r="59" spans="1:30" x14ac:dyDescent="0.25">
      <c r="A59" t="s">
        <v>130</v>
      </c>
      <c r="B59" s="16" t="s">
        <v>155</v>
      </c>
      <c r="C59" t="s">
        <v>130</v>
      </c>
      <c r="D59" t="s">
        <v>131</v>
      </c>
      <c r="E59" s="11">
        <v>365.4</v>
      </c>
      <c r="F59" s="3">
        <v>2000</v>
      </c>
      <c r="G59" s="3" t="s">
        <v>59</v>
      </c>
      <c r="H59" s="3" t="s">
        <v>91</v>
      </c>
      <c r="I59" s="3" t="s">
        <v>62</v>
      </c>
      <c r="J59" s="11">
        <v>35.1</v>
      </c>
      <c r="K59" s="7">
        <v>0.25</v>
      </c>
      <c r="L59" s="7">
        <v>0.1666667</v>
      </c>
      <c r="M59" s="1" t="s">
        <v>39</v>
      </c>
      <c r="N59" s="1" t="s">
        <v>42</v>
      </c>
      <c r="O59" s="6">
        <f>GEOMEAN(12.1/250, 24/500, 33.9/500, 54.4/1000, 42.8/1000)*2000</f>
        <v>103.25278819280904</v>
      </c>
      <c r="P59" s="6"/>
      <c r="Q59" s="6"/>
      <c r="R59" s="6">
        <v>87</v>
      </c>
      <c r="S59" s="6"/>
      <c r="T59" s="6"/>
      <c r="U59" s="9">
        <f>1/1000</f>
        <v>1E-3</v>
      </c>
      <c r="V59" s="6" t="s">
        <v>10</v>
      </c>
      <c r="W59" s="6">
        <f>Table1[[#This Row],[Observed Non-Pregnant]]/1000/Table1[[#This Row],[AVERAGE_MASS]]*1000000</f>
        <v>282.57468033062133</v>
      </c>
      <c r="X59" s="6"/>
      <c r="Y59" s="6"/>
      <c r="Z59" s="6">
        <f>Table1[[#This Row],[Observed Pregnant]]/1000/Table1[[#This Row],[AVERAGE_MASS]]*1000000</f>
        <v>238.0952380952381</v>
      </c>
      <c r="AA59" s="6"/>
      <c r="AB59" s="6"/>
      <c r="AC59" s="6" t="s">
        <v>132</v>
      </c>
      <c r="AD59" s="6" t="s">
        <v>132</v>
      </c>
    </row>
    <row r="60" spans="1:30" x14ac:dyDescent="0.25">
      <c r="A60" t="s">
        <v>133</v>
      </c>
      <c r="B60" s="16" t="s">
        <v>156</v>
      </c>
      <c r="C60" t="s">
        <v>133</v>
      </c>
      <c r="D60" t="s">
        <v>134</v>
      </c>
      <c r="E60" s="13">
        <v>272.36239999999998</v>
      </c>
      <c r="F60" s="3">
        <v>100</v>
      </c>
      <c r="G60" s="3" t="s">
        <v>59</v>
      </c>
      <c r="H60" s="3" t="s">
        <v>91</v>
      </c>
      <c r="I60" s="3" t="s">
        <v>62</v>
      </c>
      <c r="J60" s="11">
        <v>34</v>
      </c>
      <c r="K60" s="7">
        <v>1.5</v>
      </c>
      <c r="L60" s="7">
        <v>1</v>
      </c>
      <c r="M60" s="1" t="s">
        <v>39</v>
      </c>
      <c r="N60" s="1" t="s">
        <v>42</v>
      </c>
      <c r="O60" s="6">
        <v>15.3</v>
      </c>
      <c r="P60" s="6"/>
      <c r="Q60" s="6"/>
      <c r="R60" s="6">
        <v>9.3000000000000007</v>
      </c>
      <c r="S60" s="6"/>
      <c r="T60" s="6"/>
      <c r="U60" s="9">
        <f>1/1000</f>
        <v>1E-3</v>
      </c>
      <c r="V60" s="6" t="s">
        <v>10</v>
      </c>
      <c r="W60" s="6">
        <f>Table1[[#This Row],[Observed Non-Pregnant]]/1000/Table1[[#This Row],[AVERAGE_MASS]]*1000000</f>
        <v>56.175154867191658</v>
      </c>
      <c r="X60" s="6"/>
      <c r="Y60" s="6"/>
      <c r="Z60" s="6">
        <f>Table1[[#This Row],[Observed Pregnant]]/1000/Table1[[#This Row],[AVERAGE_MASS]]*1000000</f>
        <v>34.145682370253759</v>
      </c>
      <c r="AA60" s="6"/>
      <c r="AB60" s="6"/>
      <c r="AC60" s="6" t="s">
        <v>135</v>
      </c>
      <c r="AD60" s="6" t="s">
        <v>135</v>
      </c>
    </row>
    <row r="61" spans="1:30" x14ac:dyDescent="0.25">
      <c r="A61" t="s">
        <v>133</v>
      </c>
      <c r="B61" s="16" t="s">
        <v>156</v>
      </c>
      <c r="C61" t="s">
        <v>133</v>
      </c>
      <c r="D61" t="s">
        <v>134</v>
      </c>
      <c r="E61" s="13">
        <v>272.36239999999998</v>
      </c>
      <c r="F61" s="3">
        <v>100</v>
      </c>
      <c r="G61" s="3" t="s">
        <v>59</v>
      </c>
      <c r="H61" s="3" t="s">
        <v>91</v>
      </c>
      <c r="I61" s="3" t="s">
        <v>61</v>
      </c>
      <c r="J61" s="11">
        <v>34</v>
      </c>
      <c r="K61" s="7">
        <v>2</v>
      </c>
      <c r="L61" s="7">
        <v>2</v>
      </c>
      <c r="M61" s="1" t="s">
        <v>39</v>
      </c>
      <c r="N61" s="1" t="s">
        <v>42</v>
      </c>
      <c r="O61" s="6">
        <v>55.8</v>
      </c>
      <c r="P61" s="6"/>
      <c r="Q61" s="6"/>
      <c r="R61" s="6">
        <v>31.1</v>
      </c>
      <c r="S61" s="6"/>
      <c r="T61" s="6"/>
      <c r="U61" s="9">
        <f>1/1000</f>
        <v>1E-3</v>
      </c>
      <c r="V61" s="6" t="s">
        <v>10</v>
      </c>
      <c r="W61" s="6">
        <f>Table1[[#This Row],[Observed Non-Pregnant]]/1000/Table1[[#This Row],[AVERAGE_MASS]]*1000000</f>
        <v>204.87409422152251</v>
      </c>
      <c r="X61" s="6"/>
      <c r="Y61" s="6"/>
      <c r="Z61" s="6">
        <f>Table1[[#This Row],[Observed Pregnant]]/1000/Table1[[#This Row],[AVERAGE_MASS]]*1000000</f>
        <v>114.18609910912815</v>
      </c>
      <c r="AA61" s="6"/>
      <c r="AB61" s="6"/>
      <c r="AC61" s="6" t="s">
        <v>135</v>
      </c>
      <c r="AD61" s="6" t="s">
        <v>135</v>
      </c>
    </row>
  </sheetData>
  <phoneticPr fontId="19" type="noConversion"/>
  <hyperlinks>
    <hyperlink ref="B2" r:id="rId1" xr:uid="{45C1F1ED-2E1C-49F8-B1E9-21D002762FB9}"/>
    <hyperlink ref="B3" r:id="rId2" xr:uid="{C2CC37EC-D684-4D77-86FA-97EC4062A979}"/>
    <hyperlink ref="B4" r:id="rId3" xr:uid="{632C3C2D-7EED-46C7-AC66-2DD8AB476E74}"/>
    <hyperlink ref="B5" r:id="rId4" xr:uid="{924B73DC-231F-4B8E-B763-B2F9E1EA5855}"/>
    <hyperlink ref="B6" r:id="rId5" xr:uid="{B929A21C-23A2-4D52-AECD-3C5CF6E2F09A}"/>
    <hyperlink ref="B7" r:id="rId6" xr:uid="{546AF8D9-C054-47B4-A173-0404EE725877}"/>
    <hyperlink ref="B8" r:id="rId7" xr:uid="{B94BCFCD-B5AA-4798-BECA-C6FCAC34A5BC}"/>
    <hyperlink ref="B9" r:id="rId8" xr:uid="{B68E5BE4-3A4C-471D-9C0D-BA9252B3C4A6}"/>
    <hyperlink ref="B10" r:id="rId9" xr:uid="{DC7A392C-8E55-4528-AF73-24CAF057333B}"/>
    <hyperlink ref="B11" r:id="rId10" xr:uid="{64B326F1-BDBA-4C0A-B887-2156A7B044F5}"/>
    <hyperlink ref="B12" r:id="rId11" xr:uid="{8B3A6F00-A2BE-41CE-99FF-DB9198FF13E2}"/>
    <hyperlink ref="B13" r:id="rId12" xr:uid="{E6C517D2-5CBE-4AB0-989A-74C4D3ADFBA7}"/>
    <hyperlink ref="B14" r:id="rId13" xr:uid="{77CA3A25-3555-419D-8050-BA556AC121DA}"/>
    <hyperlink ref="B15" r:id="rId14" xr:uid="{740B99A7-B449-4118-B775-99C8EC8C8B60}"/>
    <hyperlink ref="B16" r:id="rId15" xr:uid="{BCD1042B-0155-44F5-8EA6-79625D879207}"/>
    <hyperlink ref="B17" r:id="rId16" xr:uid="{AF106C0A-AB7C-40E7-880C-FF32C8F0B133}"/>
    <hyperlink ref="B18" r:id="rId17" xr:uid="{D09BCA88-B1C9-43CB-9B92-64B5BD0671C8}"/>
    <hyperlink ref="B19" r:id="rId18" xr:uid="{5E608208-A034-41BC-87C6-2376D07B0BBC}"/>
    <hyperlink ref="B20" r:id="rId19" xr:uid="{3A2DE2B8-77A4-4CD5-8622-8977762F6458}"/>
    <hyperlink ref="B21" r:id="rId20" xr:uid="{B975700C-BC46-4AF3-B2CE-5A8A0F1EC45B}"/>
    <hyperlink ref="B22" r:id="rId21" xr:uid="{5360F9AF-C316-4BA8-937B-690EB10E80A7}"/>
    <hyperlink ref="B23" r:id="rId22" xr:uid="{2BE13D97-2AA5-42FF-B604-DE5E77C4051A}"/>
    <hyperlink ref="B24" r:id="rId23" xr:uid="{1A2D66AA-8463-4A56-B6C2-15707880F06B}"/>
    <hyperlink ref="B25" r:id="rId24" xr:uid="{488E9E85-C9B6-4BBE-8295-68454D3B78C8}"/>
    <hyperlink ref="B26" r:id="rId25" xr:uid="{C29F912B-6A67-4750-9FCA-1560A9053F05}"/>
    <hyperlink ref="B27" r:id="rId26" xr:uid="{862AC26F-0493-44B1-82E5-3337E052F79C}"/>
    <hyperlink ref="B28" r:id="rId27" xr:uid="{808CAAE8-98FF-4D97-9F46-AC395CE86ABC}"/>
    <hyperlink ref="B29" r:id="rId28" xr:uid="{2180A54A-1E4C-43F3-8344-7DE676703269}"/>
    <hyperlink ref="B30" r:id="rId29" xr:uid="{416FE0F3-3A94-4262-B5E8-A178B60F3928}"/>
    <hyperlink ref="B31" r:id="rId30" xr:uid="{A8A4AF4F-022E-46C8-908A-3C9EA67ED1AD}"/>
    <hyperlink ref="B32" r:id="rId31" xr:uid="{A82EA56D-F3C7-4F7B-B0B9-E5251BF186B5}"/>
    <hyperlink ref="B33" r:id="rId32" xr:uid="{AB680EBF-E434-4D97-B0FB-F27E7D40F3D6}"/>
    <hyperlink ref="B34" r:id="rId33" xr:uid="{BB9DC942-B420-467D-A57F-339140CA2936}"/>
    <hyperlink ref="B35" r:id="rId34" xr:uid="{FC7686F6-00F8-4747-BF03-021B0875D4C8}"/>
    <hyperlink ref="B36" r:id="rId35" xr:uid="{F984C0F3-EA34-4F6A-BB95-CDBFBFE340E5}"/>
    <hyperlink ref="B37" r:id="rId36" xr:uid="{C52BDA34-D1F2-42B0-BA76-5F247F30553B}"/>
    <hyperlink ref="B38" r:id="rId37" xr:uid="{64616AA3-983C-4DBB-84C7-98317F1CF513}"/>
    <hyperlink ref="B39" r:id="rId38" xr:uid="{121A8E36-0ED0-412C-9E91-7FE255916EA6}"/>
    <hyperlink ref="B40" r:id="rId39" xr:uid="{708A54D9-9FE4-43ED-82A8-5600D1E86619}"/>
    <hyperlink ref="B41" r:id="rId40" xr:uid="{595EDC46-AC26-4A3B-A532-E7D6ED4525C2}"/>
    <hyperlink ref="B42" r:id="rId41" xr:uid="{F719A8F2-A89C-4A9F-80B8-E50E31BB7F4F}"/>
    <hyperlink ref="B43" r:id="rId42" xr:uid="{D93494A5-5A69-424D-A1FE-84FEB8EE2104}"/>
    <hyperlink ref="B44" r:id="rId43" xr:uid="{F6A9EA19-9849-4EEA-8211-F025F5424736}"/>
    <hyperlink ref="B45" r:id="rId44" xr:uid="{AC2E723C-A074-4015-8BC1-1FD245D77BF1}"/>
    <hyperlink ref="B46" r:id="rId45" xr:uid="{181B34DF-12AF-4C35-BF5D-6F4DC9E667B3}"/>
    <hyperlink ref="B47" r:id="rId46" xr:uid="{D2C074F3-E6FA-4F52-9816-9D43E59BDB04}"/>
    <hyperlink ref="B48" r:id="rId47" xr:uid="{1EFF8FB0-4566-49B9-87F5-4F5B8A753600}"/>
    <hyperlink ref="B49" r:id="rId48" xr:uid="{167FD15B-8683-435E-A53D-A6D2D7B77FAA}"/>
    <hyperlink ref="B50" r:id="rId49" xr:uid="{B34F6220-A1EA-49F3-97D4-B3CE7C5AC0BD}"/>
    <hyperlink ref="B51" r:id="rId50" xr:uid="{F9E15E54-CCCB-4DD4-9F04-36D6E5604230}"/>
    <hyperlink ref="B52" r:id="rId51" xr:uid="{1E3359E6-4A0C-45DD-94B5-EB1E2B5B9B52}"/>
    <hyperlink ref="B53" r:id="rId52" xr:uid="{D1189C11-B742-4BEA-B831-98E68D865A48}"/>
    <hyperlink ref="B54" r:id="rId53" xr:uid="{C5F4238F-C14B-4A83-9742-213AE6259FD9}"/>
    <hyperlink ref="B55" r:id="rId54" xr:uid="{D5F5E2BD-802D-44A1-824C-DB9D734D5A11}"/>
    <hyperlink ref="B56" r:id="rId55" xr:uid="{28012CC0-51E4-458A-BE57-B04807E521F2}"/>
    <hyperlink ref="B57" r:id="rId56" xr:uid="{AC243153-9381-4257-A921-E6AD1249F271}"/>
    <hyperlink ref="B58" r:id="rId57" xr:uid="{477B3CAC-905C-4011-A079-3929ABE44B0F}"/>
    <hyperlink ref="B59" r:id="rId58" xr:uid="{6B48B639-04E2-43D1-83FB-2F07A54D3737}"/>
    <hyperlink ref="B60" r:id="rId59" xr:uid="{A7FCA394-FFC5-4B23-8323-BBC0A5EF3873}"/>
    <hyperlink ref="B61" r:id="rId60" xr:uid="{1B1E2FD5-4C18-4832-96E5-C2DCDBAD993D}"/>
  </hyperlinks>
  <pageMargins left="0.7" right="0.7" top="0.75" bottom="0.75" header="0.3" footer="0.3"/>
  <pageSetup orientation="portrait" r:id="rId61"/>
  <ignoredErrors>
    <ignoredError sqref="U33:U55 U13:U32 U56:U61 W13 Z13" calculatedColumn="1"/>
    <ignoredError sqref="R21 O27:O32 O39:O40 O35:O36" formula="1"/>
    <ignoredError sqref="L11" unlockedFormula="1"/>
  </ignoredErrors>
  <legacyDrawing r:id="rId62"/>
  <tableParts count="1">
    <tablePart r:id="rId6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Dallmann2018Table5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Wambaugh, John</dc:creator>
  <cp:lastModifiedBy>Wambaugh, John</cp:lastModifiedBy>
  <dcterms:created xsi:type="dcterms:W3CDTF">2021-03-10T02:16:47Z</dcterms:created>
  <dcterms:modified xsi:type="dcterms:W3CDTF">2021-10-20T20:09:19Z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850223-87a8-40c3-9eb2-432606efca2a_Enabled">
    <vt:lpwstr>True</vt:lpwstr>
  </property>
  <property fmtid="{D5CDD505-2E9C-101B-9397-08002B2CF9AE}" pid="3" name="MSIP_Label_7f850223-87a8-40c3-9eb2-432606efca2a_SiteId">
    <vt:lpwstr>fcb2b37b-5da0-466b-9b83-0014b67a7c78</vt:lpwstr>
  </property>
  <property fmtid="{D5CDD505-2E9C-101B-9397-08002B2CF9AE}" pid="4" name="MSIP_Label_7f850223-87a8-40c3-9eb2-432606efca2a_Owner">
    <vt:lpwstr>andre.dallmann@bayer.com</vt:lpwstr>
  </property>
  <property fmtid="{D5CDD505-2E9C-101B-9397-08002B2CF9AE}" pid="5" name="MSIP_Label_7f850223-87a8-40c3-9eb2-432606efca2a_SetDate">
    <vt:lpwstr>2021-06-24T07:00:37.1862059Z</vt:lpwstr>
  </property>
  <property fmtid="{D5CDD505-2E9C-101B-9397-08002B2CF9AE}" pid="6" name="MSIP_Label_7f850223-87a8-40c3-9eb2-432606efca2a_Name">
    <vt:lpwstr>NO CLASSIFICATION</vt:lpwstr>
  </property>
  <property fmtid="{D5CDD505-2E9C-101B-9397-08002B2CF9AE}" pid="7" name="MSIP_Label_7f850223-87a8-40c3-9eb2-432606efca2a_Application">
    <vt:lpwstr>Microsoft Azure Information Protection</vt:lpwstr>
  </property>
  <property fmtid="{D5CDD505-2E9C-101B-9397-08002B2CF9AE}" pid="8" name="MSIP_Label_7f850223-87a8-40c3-9eb2-432606efca2a_Extended_MSFT_Method">
    <vt:lpwstr>Automatic</vt:lpwstr>
  </property>
  <property fmtid="{D5CDD505-2E9C-101B-9397-08002B2CF9AE}" pid="9" name="Sensitivity">
    <vt:lpwstr>NO CLASSIFICATION</vt:lpwstr>
  </property>
</Properties>
</file>