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CCT_ExpoCast\ExpoCast2016\HTTKDataTable\"/>
    </mc:Choice>
  </mc:AlternateContent>
  <bookViews>
    <workbookView xWindow="5115" yWindow="8925" windowWidth="31380" windowHeight="12780" activeTab="2"/>
  </bookViews>
  <sheets>
    <sheet name="Input parameters" sheetId="1" r:id="rId1"/>
    <sheet name="In vivo PK references" sheetId="2" r:id="rId2"/>
    <sheet name="In vivo datasets" sheetId="4" r:id="rId3"/>
  </sheets>
  <calcPr calcId="171027"/>
</workbook>
</file>

<file path=xl/calcChain.xml><?xml version="1.0" encoding="utf-8"?>
<calcChain xmlns="http://schemas.openxmlformats.org/spreadsheetml/2006/main">
  <c r="I113" i="1" l="1"/>
  <c r="I106" i="1"/>
  <c r="I101" i="1"/>
  <c r="I93" i="1"/>
  <c r="I89" i="1"/>
  <c r="I86" i="1"/>
  <c r="I119" i="1"/>
  <c r="I118" i="1"/>
  <c r="I117" i="1"/>
  <c r="I116" i="1"/>
  <c r="I115" i="1"/>
  <c r="I114" i="1"/>
  <c r="I112" i="1"/>
  <c r="I111" i="1"/>
  <c r="I110" i="1"/>
  <c r="I109" i="1"/>
  <c r="I108" i="1"/>
  <c r="I107" i="1"/>
  <c r="I105" i="1"/>
  <c r="I104" i="1"/>
  <c r="I103" i="1"/>
  <c r="I102" i="1"/>
  <c r="I100" i="1"/>
  <c r="I99" i="1"/>
  <c r="I98" i="1"/>
  <c r="I97" i="1"/>
  <c r="I96" i="1"/>
  <c r="I95" i="1"/>
  <c r="I94" i="1"/>
  <c r="I92" i="1"/>
  <c r="I91" i="1"/>
  <c r="I90" i="1"/>
  <c r="I88" i="1"/>
  <c r="I87" i="1"/>
  <c r="I82" i="1"/>
  <c r="I76" i="1"/>
  <c r="I75" i="1"/>
  <c r="I74" i="1"/>
  <c r="I72" i="1"/>
  <c r="I66" i="1"/>
  <c r="I64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J4" i="4"/>
  <c r="AF4" i="4"/>
  <c r="Z4" i="4"/>
  <c r="W4" i="4"/>
  <c r="T4" i="4"/>
  <c r="R4" i="4"/>
  <c r="L4" i="4"/>
  <c r="F4" i="4"/>
  <c r="C4" i="4"/>
  <c r="A4" i="4"/>
  <c r="O85" i="1"/>
  <c r="O80" i="1"/>
  <c r="O71" i="1"/>
  <c r="O113" i="1"/>
  <c r="O92" i="1"/>
  <c r="O75" i="1"/>
  <c r="O72" i="1"/>
  <c r="O68" i="1"/>
  <c r="O67" i="1"/>
  <c r="O65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8" i="1"/>
  <c r="D89" i="1"/>
  <c r="D87" i="1"/>
  <c r="D86" i="1"/>
  <c r="K113" i="1"/>
  <c r="K117" i="1"/>
  <c r="K116" i="1"/>
  <c r="K114" i="1"/>
  <c r="K112" i="1"/>
  <c r="K110" i="1"/>
  <c r="K109" i="1"/>
  <c r="K108" i="1"/>
  <c r="K105" i="1"/>
  <c r="K104" i="1"/>
  <c r="K102" i="1"/>
  <c r="K101" i="1"/>
  <c r="K99" i="1"/>
  <c r="K96" i="1"/>
  <c r="K95" i="1"/>
  <c r="K94" i="1"/>
  <c r="K93" i="1"/>
  <c r="K92" i="1"/>
  <c r="K91" i="1"/>
  <c r="K90" i="1"/>
  <c r="K89" i="1"/>
  <c r="K88" i="1"/>
  <c r="K84" i="1"/>
  <c r="K79" i="1"/>
  <c r="K77" i="1"/>
  <c r="K74" i="1"/>
  <c r="K73" i="1"/>
  <c r="K51" i="1"/>
  <c r="K67" i="1"/>
  <c r="K66" i="1"/>
  <c r="K65" i="1"/>
  <c r="K64" i="1"/>
  <c r="K63" i="1"/>
  <c r="K62" i="1"/>
  <c r="K59" i="1"/>
  <c r="K58" i="1"/>
  <c r="K57" i="1"/>
  <c r="K56" i="1"/>
  <c r="K55" i="1"/>
  <c r="K54" i="1"/>
  <c r="K52" i="1"/>
  <c r="K47" i="1"/>
  <c r="K46" i="1"/>
  <c r="K45" i="1"/>
  <c r="K44" i="1"/>
  <c r="K4" i="1"/>
  <c r="K42" i="1"/>
  <c r="K41" i="1"/>
  <c r="K40" i="1"/>
  <c r="K39" i="1"/>
  <c r="K38" i="1"/>
  <c r="K37" i="1"/>
  <c r="K32" i="1"/>
  <c r="K28" i="1"/>
  <c r="K27" i="1"/>
  <c r="K26" i="1"/>
  <c r="K25" i="1"/>
  <c r="K23" i="1"/>
  <c r="K21" i="1"/>
  <c r="K20" i="1"/>
  <c r="K18" i="1"/>
  <c r="K17" i="1"/>
  <c r="K16" i="1"/>
  <c r="K15" i="1"/>
  <c r="K14" i="1"/>
  <c r="K13" i="1"/>
  <c r="K12" i="1"/>
  <c r="K5" i="1"/>
  <c r="K11" i="1"/>
  <c r="K10" i="1"/>
  <c r="K9" i="1"/>
  <c r="K6" i="1"/>
  <c r="K8" i="1"/>
  <c r="K7" i="1"/>
  <c r="M68" i="1"/>
  <c r="M85" i="1"/>
  <c r="M84" i="1"/>
  <c r="M83" i="1"/>
  <c r="M82" i="1"/>
  <c r="M81" i="1"/>
  <c r="M80" i="1"/>
  <c r="M79" i="1"/>
  <c r="M78" i="1"/>
  <c r="M77" i="1"/>
  <c r="M76" i="1"/>
  <c r="M75" i="1"/>
  <c r="M72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71" i="1"/>
  <c r="D66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M74" i="1"/>
  <c r="M73" i="1"/>
  <c r="M71" i="1"/>
  <c r="M66" i="1"/>
  <c r="M86" i="1"/>
  <c r="M65" i="1"/>
  <c r="D64" i="1"/>
  <c r="D65" i="1"/>
  <c r="D63" i="1"/>
  <c r="D42" i="1"/>
  <c r="D5" i="1"/>
  <c r="D4" i="1"/>
</calcChain>
</file>

<file path=xl/comments1.xml><?xml version="1.0" encoding="utf-8"?>
<comments xmlns="http://schemas.openxmlformats.org/spreadsheetml/2006/main">
  <authors>
    <author>Joost Westerhout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Joost Westerhout:</t>
        </r>
        <r>
          <rPr>
            <sz val="9"/>
            <color indexed="81"/>
            <rFont val="Tahoma"/>
            <family val="2"/>
          </rPr>
          <t xml:space="preserve">
EPA compounds: now human fup, to be substituted by Hamner data rat plasma?  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Papps from  ToxCast_QikProp</t>
        </r>
      </text>
    </comment>
  </commentList>
</comments>
</file>

<file path=xl/sharedStrings.xml><?xml version="1.0" encoding="utf-8"?>
<sst xmlns="http://schemas.openxmlformats.org/spreadsheetml/2006/main" count="1601" uniqueCount="468">
  <si>
    <t>2,4-D</t>
  </si>
  <si>
    <t>94-75-7</t>
  </si>
  <si>
    <t>Acetochlor</t>
  </si>
  <si>
    <t>34256-82-1</t>
  </si>
  <si>
    <t>Acifluorfen</t>
  </si>
  <si>
    <t>50594-66-6</t>
  </si>
  <si>
    <t>Ametryn</t>
  </si>
  <si>
    <t>834-12-8</t>
  </si>
  <si>
    <t>Bensulide</t>
  </si>
  <si>
    <t>741-58-2</t>
  </si>
  <si>
    <t>Bentazone</t>
  </si>
  <si>
    <t>25057-89-0</t>
  </si>
  <si>
    <t>Boscalid</t>
  </si>
  <si>
    <t>188425-85-6</t>
  </si>
  <si>
    <t>Carbaryl</t>
  </si>
  <si>
    <t>63-25-2</t>
  </si>
  <si>
    <t>Chloridazon</t>
  </si>
  <si>
    <t>1698-60-8</t>
  </si>
  <si>
    <t>Cyclanilide</t>
  </si>
  <si>
    <t>113136-77-9</t>
  </si>
  <si>
    <t>Cyprodinil</t>
  </si>
  <si>
    <t>121552-61-2</t>
  </si>
  <si>
    <t>Diazoxon</t>
  </si>
  <si>
    <t>962-58-3</t>
  </si>
  <si>
    <t>Diuron</t>
  </si>
  <si>
    <t>330-54-1</t>
  </si>
  <si>
    <t>Ethoprop</t>
  </si>
  <si>
    <t>13194-48-4</t>
  </si>
  <si>
    <t>Fenarimol</t>
  </si>
  <si>
    <t>60168-88-9</t>
  </si>
  <si>
    <t>Fludioxonil</t>
  </si>
  <si>
    <t>131341-86-1</t>
  </si>
  <si>
    <t>Flufenacet</t>
  </si>
  <si>
    <t>142459-58-3</t>
  </si>
  <si>
    <t>Formetanate hydrochloride</t>
  </si>
  <si>
    <t>23422-53-9</t>
  </si>
  <si>
    <t>Halosulfuron-methyl</t>
  </si>
  <si>
    <t>100784-20-1</t>
  </si>
  <si>
    <t>Hexaconazole</t>
  </si>
  <si>
    <t>79983-71-4</t>
  </si>
  <si>
    <t>Imazalil</t>
  </si>
  <si>
    <t>35554-44-0</t>
  </si>
  <si>
    <t>Imidacloprid</t>
  </si>
  <si>
    <t>138261-41-3</t>
  </si>
  <si>
    <t>Isoxaflutole</t>
  </si>
  <si>
    <t>141112-29-0</t>
  </si>
  <si>
    <t>MCPA</t>
  </si>
  <si>
    <t>94-74-6</t>
  </si>
  <si>
    <t>Perfluorooctane sulfonic acid</t>
  </si>
  <si>
    <t>1763-23-1</t>
  </si>
  <si>
    <t>Perfluorooctanoic acid</t>
  </si>
  <si>
    <t>335-67-1</t>
  </si>
  <si>
    <t>Propamocarb hydrochloride</t>
  </si>
  <si>
    <t>25606-41-1</t>
  </si>
  <si>
    <t>Pryrithiobac-sodium</t>
  </si>
  <si>
    <t>123343-16-8</t>
  </si>
  <si>
    <t>Rimsulfuron</t>
  </si>
  <si>
    <t>122931-48-0</t>
  </si>
  <si>
    <t>Simazine</t>
  </si>
  <si>
    <t>122-34-9</t>
  </si>
  <si>
    <t>Tetraconazole</t>
  </si>
  <si>
    <t>112281-77-3</t>
  </si>
  <si>
    <t>Thidiazuron</t>
  </si>
  <si>
    <t>51707-55-2</t>
  </si>
  <si>
    <t>Triflumizole</t>
  </si>
  <si>
    <t>68694-11-1</t>
  </si>
  <si>
    <t>Zoxamide</t>
  </si>
  <si>
    <t>156052-68-5</t>
  </si>
  <si>
    <t>Alachlor</t>
  </si>
  <si>
    <t>15972-60-8</t>
  </si>
  <si>
    <t>Bisphenol-A</t>
  </si>
  <si>
    <t>80-05-7</t>
  </si>
  <si>
    <t>Chlorpropham</t>
  </si>
  <si>
    <t>101-21-3</t>
  </si>
  <si>
    <t>Cyproconazole</t>
  </si>
  <si>
    <t>94361-06-5</t>
  </si>
  <si>
    <t>Dichlobenil</t>
  </si>
  <si>
    <t>1194-65-6</t>
  </si>
  <si>
    <t>Diethylhexyl phthalate (DEHP)</t>
  </si>
  <si>
    <t>117-81-7</t>
  </si>
  <si>
    <t>Dimethanimid</t>
  </si>
  <si>
    <t>87674-68-8</t>
  </si>
  <si>
    <t>Diphenylamine</t>
  </si>
  <si>
    <t>122-39-4</t>
  </si>
  <si>
    <t>Dithiopyr</t>
  </si>
  <si>
    <t>97886-45-8</t>
  </si>
  <si>
    <t>Ethofumesate</t>
  </si>
  <si>
    <t>26225-79-6</t>
  </si>
  <si>
    <t>Etoxazole</t>
  </si>
  <si>
    <t>153233-91-1</t>
  </si>
  <si>
    <t>Fenbuconazole</t>
  </si>
  <si>
    <t>114369-43-6</t>
  </si>
  <si>
    <t>85509-19-9</t>
  </si>
  <si>
    <t>Isazofos</t>
  </si>
  <si>
    <t>42509-80-8</t>
  </si>
  <si>
    <t>Lindane</t>
  </si>
  <si>
    <t>58-89-9</t>
  </si>
  <si>
    <t>Novaluron</t>
  </si>
  <si>
    <t>116714-46-6</t>
  </si>
  <si>
    <t>Oxadiazon</t>
  </si>
  <si>
    <t>19666-30-9</t>
  </si>
  <si>
    <t>Permethrin</t>
  </si>
  <si>
    <t>52645-53-1</t>
  </si>
  <si>
    <t>Propyzamide</t>
  </si>
  <si>
    <t>23950-58-5</t>
  </si>
  <si>
    <t>Pyrimethanil</t>
  </si>
  <si>
    <t>53112-28-0</t>
  </si>
  <si>
    <t>Resmethrin</t>
  </si>
  <si>
    <t>10453-86-8</t>
  </si>
  <si>
    <t>S-Bioallethrin</t>
  </si>
  <si>
    <t>28434-00-6</t>
  </si>
  <si>
    <t>Triclosan</t>
  </si>
  <si>
    <t>3380-34-5</t>
  </si>
  <si>
    <t>Triadimefon</t>
  </si>
  <si>
    <t>43121-43-3</t>
  </si>
  <si>
    <t>Triticonazole</t>
  </si>
  <si>
    <t>131983-72-7</t>
  </si>
  <si>
    <t>Compound name</t>
  </si>
  <si>
    <t>MW</t>
  </si>
  <si>
    <t>logP</t>
  </si>
  <si>
    <t>pKa1</t>
  </si>
  <si>
    <t>pKa2</t>
  </si>
  <si>
    <t>References</t>
  </si>
  <si>
    <t>ion</t>
  </si>
  <si>
    <t>mpa</t>
  </si>
  <si>
    <t>NA</t>
  </si>
  <si>
    <t>fup</t>
  </si>
  <si>
    <t>Cabral (2003) Chemosphere 51:47–54; Van Ravenzwaay (2003) Xenobiotica 33(8):805–821</t>
  </si>
  <si>
    <t>Rbp</t>
  </si>
  <si>
    <t xml:space="preserve">Cabral (2003) Chemosphere 51:47–54; Schaddelee (2004) Pharmacol Exp Ther 311(3):1138-1146 </t>
  </si>
  <si>
    <t>neu</t>
  </si>
  <si>
    <t>VP</t>
  </si>
  <si>
    <t>fvol</t>
  </si>
  <si>
    <t>Papp</t>
  </si>
  <si>
    <t>Warfarin</t>
  </si>
  <si>
    <t>Phenytoin</t>
  </si>
  <si>
    <t>g/mol</t>
  </si>
  <si>
    <t>Valproic acid</t>
  </si>
  <si>
    <t xml:space="preserve">81-81-2 </t>
  </si>
  <si>
    <t>2,5-Hexanedione</t>
  </si>
  <si>
    <t>Acetylsalicylic acid</t>
  </si>
  <si>
    <t>Acrylamide</t>
  </si>
  <si>
    <t>CAS #</t>
  </si>
  <si>
    <t>Misumi (1997) Neurochem Res 22(1):27-32</t>
  </si>
  <si>
    <t>Yoovathaworn (1986) Eur J Drug Metab Pharmacokin 11(1):71-76</t>
  </si>
  <si>
    <t>Doerge (2005) Toxicol Appl Pharmacol 208:199-209</t>
  </si>
  <si>
    <t>Antipyrine</t>
  </si>
  <si>
    <t>Modica (1983) Toxicol Lett 18:103-109</t>
  </si>
  <si>
    <t>Benz(a)anthracene</t>
  </si>
  <si>
    <t>Benzene</t>
  </si>
  <si>
    <t>Bisphenol A</t>
  </si>
  <si>
    <t>Haddad (2000) Toxicol Appl Pharmacol 167:199-209</t>
  </si>
  <si>
    <t>Yoo (2000) J Toxicol Environ Health A 61(2):131-139</t>
  </si>
  <si>
    <t>Krechniak (1986) Xenobiotica 16:809-815</t>
  </si>
  <si>
    <t>Carbendazim</t>
  </si>
  <si>
    <t>Jia (2003) J Pharmaceut Sci 92(1):161-172</t>
  </si>
  <si>
    <t>Chlorpyrifos</t>
  </si>
  <si>
    <t>Anadon (1996) Toxicol Appl Pharmacol 141(1):8-16</t>
  </si>
  <si>
    <t>Deltamethrin</t>
  </si>
  <si>
    <t>Diethylene glycol</t>
  </si>
  <si>
    <t>Heilmair (1993) Arch Toxicol 67:655-666</t>
  </si>
  <si>
    <t>Charles (1978) Toxicol 9:59-67</t>
  </si>
  <si>
    <t>Suzuki (1993) Food Chem Toxicol 31(10):701-706</t>
  </si>
  <si>
    <t>Truelove (1994) Bull Environ Contam Toxicol 52:479-486</t>
  </si>
  <si>
    <t>Diquat</t>
  </si>
  <si>
    <t>Domoic acid</t>
  </si>
  <si>
    <t>Chan (2005) Environ Toxicol 20:533-541</t>
  </si>
  <si>
    <t>Endosulfan</t>
  </si>
  <si>
    <t>Flutamide</t>
  </si>
  <si>
    <t>Zuo (2002) J Pharm Pharmaceut Sci 5(3):292-298</t>
  </si>
  <si>
    <t>Anjum (1999) Br J Clin Pharmacol 47(1):43-47</t>
  </si>
  <si>
    <t>Coldham (2002) Eur J Drug Metab Pharmacokin 27(4):249-258</t>
  </si>
  <si>
    <t>Busby (2002) Am J Clin Nutr 75:126-136</t>
  </si>
  <si>
    <t>Glycidamide</t>
  </si>
  <si>
    <t>Gossypol</t>
  </si>
  <si>
    <t>Othman (1988) Proc Soc Exp Bio Med 188:17-22</t>
  </si>
  <si>
    <t>Hexachlorobenzene</t>
  </si>
  <si>
    <t>Scheufler (1984) Toxicol Appl Pharmacol 75:190-197</t>
  </si>
  <si>
    <t>Hexachlorophene</t>
  </si>
  <si>
    <t>Klaassen (1979) Toxicol Appl Pharmacol 49(1):113-117</t>
  </si>
  <si>
    <t>Matthew (1993) Pharmaceut Res 10(3):418-422</t>
  </si>
  <si>
    <t>Ketoconazole</t>
  </si>
  <si>
    <t>Huang (1986) Antimicrob Agents Chemother 30(2):206-210</t>
  </si>
  <si>
    <t>Lead acetate</t>
  </si>
  <si>
    <t>Tusell (1987) Arch Toxicol 60:432-437</t>
  </si>
  <si>
    <t>Nicotine</t>
  </si>
  <si>
    <t>Plowchalk (1992) Toxicol Appl Pharmacol 116:177-188</t>
  </si>
  <si>
    <t>Ochratoxin A</t>
  </si>
  <si>
    <t>Hagelberg (1989) J Appl Toxicol 9(2):91-96</t>
  </si>
  <si>
    <t>Paraben</t>
  </si>
  <si>
    <t>Kiwada (1980) J Pharm Dyn 3:353-363</t>
  </si>
  <si>
    <t>Parathion</t>
  </si>
  <si>
    <t>Eigenberg (1983) Drug Metab Dispos 11(4):366-370</t>
  </si>
  <si>
    <t>Pentachlorophenol</t>
  </si>
  <si>
    <t>Phenanthrene</t>
  </si>
  <si>
    <t>Kadry (1995) Toxicol Lett 78:153-163</t>
  </si>
  <si>
    <t>Potassium cyanide</t>
  </si>
  <si>
    <t>Pyrene</t>
  </si>
  <si>
    <t>Withey (1991) J Toxicol Environ Health 32:429-447</t>
  </si>
  <si>
    <t>Toluene</t>
  </si>
  <si>
    <t>Turkall (1991) Arch Environ Contam Toxicol 20(2):155-160</t>
  </si>
  <si>
    <t>Trimethadione</t>
  </si>
  <si>
    <t>Tanaka (1981) J Pharm Dyn 4(8):567-583</t>
  </si>
  <si>
    <t>Kobayashi (1984) J Pharm Dyn 7(5):329-335</t>
  </si>
  <si>
    <t>Trimethyltin</t>
  </si>
  <si>
    <t>Lipscomb (1989) Neurotoxicol Teratol 11:185-191</t>
  </si>
  <si>
    <t xml:space="preserve">Fu (1991) J Pharmacokin Biopharm 19(2):157-173  </t>
  </si>
  <si>
    <t xml:space="preserve"> Hoffmann (2006) Intensive Care Med 32:464-468</t>
  </si>
  <si>
    <t>Timchalk (2006) Toxicol 222(1):86-94</t>
  </si>
  <si>
    <t>Sousa (2003) Arch Toxicol 77(6):330-334</t>
  </si>
  <si>
    <t>79-06-1</t>
  </si>
  <si>
    <t>2921-88-2</t>
  </si>
  <si>
    <t>Genistein</t>
  </si>
  <si>
    <t>Haddad (1998) Exp Toxicol Pharmacol 5:245-255</t>
  </si>
  <si>
    <t>zwi</t>
  </si>
  <si>
    <t>mpb</t>
  </si>
  <si>
    <t>dpa</t>
  </si>
  <si>
    <t>ppa &amp; zwi</t>
  </si>
  <si>
    <t>ppa</t>
  </si>
  <si>
    <t>dpb</t>
  </si>
  <si>
    <t>4.28 (acid)</t>
  </si>
  <si>
    <t>9.70 (base)</t>
  </si>
  <si>
    <t>1.68 (acid)</t>
  </si>
  <si>
    <t>4.22 (acid) &amp; 4.86 (acid) &amp; 11.59 (base)</t>
  </si>
  <si>
    <t>8.79 &amp; 9.46</t>
  </si>
  <si>
    <t>8.29 &amp; 8.74 &amp; 9.32 &amp; 11.77 &amp; 12.37</t>
  </si>
  <si>
    <t>0.75 (BSA)</t>
  </si>
  <si>
    <t>0.26 - 0.4 (rat)</t>
  </si>
  <si>
    <t>0.01 (rat)</t>
  </si>
  <si>
    <t>0.037 (rat)</t>
  </si>
  <si>
    <t>0.014 (mouse)</t>
  </si>
  <si>
    <t>Roberts 1983</t>
  </si>
  <si>
    <t>Dixit 1986</t>
  </si>
  <si>
    <t>Csanády 2002</t>
  </si>
  <si>
    <t>Jia 2003</t>
  </si>
  <si>
    <t>Lowe 2009</t>
  </si>
  <si>
    <t>Kodaira 2011</t>
  </si>
  <si>
    <t>Kimbrough 1976</t>
  </si>
  <si>
    <t>Matthew 1993</t>
  </si>
  <si>
    <t>Maliwal 1981</t>
  </si>
  <si>
    <t>Hagelberg 1989 (N.A.)</t>
  </si>
  <si>
    <t>Sultatos 1986</t>
  </si>
  <si>
    <t>Reigner 1992</t>
  </si>
  <si>
    <t>50-78-2</t>
  </si>
  <si>
    <t>58-08-2</t>
  </si>
  <si>
    <t>10605-21-7</t>
  </si>
  <si>
    <t>87-86-5</t>
  </si>
  <si>
    <t>110-13-4</t>
  </si>
  <si>
    <t>60-80-0</t>
  </si>
  <si>
    <t>56-55-3</t>
  </si>
  <si>
    <t>71-43-2</t>
  </si>
  <si>
    <t>52918-63-5</t>
  </si>
  <si>
    <t>111-46-6</t>
  </si>
  <si>
    <t>2764-72-9</t>
  </si>
  <si>
    <t>14277-97-5</t>
  </si>
  <si>
    <t>115-29-7</t>
  </si>
  <si>
    <t>13311-84-7</t>
  </si>
  <si>
    <t>446-72-0</t>
  </si>
  <si>
    <t>5694-00-8</t>
  </si>
  <si>
    <t>303-45-7</t>
  </si>
  <si>
    <t>118-74-1</t>
  </si>
  <si>
    <t>70-30-4</t>
  </si>
  <si>
    <t>65277-42-1</t>
  </si>
  <si>
    <t>6080-56-4</t>
  </si>
  <si>
    <t>54-11-5</t>
  </si>
  <si>
    <t>303-47-9</t>
  </si>
  <si>
    <t>120-47-8</t>
  </si>
  <si>
    <t>56-38-2</t>
  </si>
  <si>
    <t>85-01-8</t>
  </si>
  <si>
    <t>151-50-8</t>
  </si>
  <si>
    <t>129-00-0</t>
  </si>
  <si>
    <t>108-88-3</t>
  </si>
  <si>
    <t>127-48-0</t>
  </si>
  <si>
    <t>1066-45-1</t>
  </si>
  <si>
    <t>Diazepam</t>
  </si>
  <si>
    <t>Cotinine</t>
  </si>
  <si>
    <t>486-56-6</t>
  </si>
  <si>
    <t>Paraoxon</t>
  </si>
  <si>
    <t>Timchalk (2002) Toxicol Sci 66(1):34-53; Abdel-Rahman (2002) Arch Toxicol 76(8):452-9</t>
  </si>
  <si>
    <t>Plowchalk (1992) Toxicol Appl Pharmacol 116(2):177-88</t>
  </si>
  <si>
    <t>Braun (1977) Toxicol Appl Pharmacol 41:295-406;  Uhl (1986) Arch Toxicol 58(3):182-6.</t>
  </si>
  <si>
    <t>Reigner (1991) Xenobiotica 21(12):1547-1558; Schmieder and Henry (1988) Comp Biochem
Physiol C 91(2):413-8</t>
  </si>
  <si>
    <t>57-41-0</t>
  </si>
  <si>
    <t>99-66-1</t>
  </si>
  <si>
    <t>CLint,h</t>
  </si>
  <si>
    <t>cm/s</t>
  </si>
  <si>
    <t>Cyclosporin A</t>
  </si>
  <si>
    <t>Methoxyacetic acid</t>
  </si>
  <si>
    <t>625-45-6</t>
  </si>
  <si>
    <t>59865-13-3</t>
  </si>
  <si>
    <t>Plasma concentration</t>
  </si>
  <si>
    <t>Time</t>
  </si>
  <si>
    <t>(h)</t>
  </si>
  <si>
    <t>(ug/mL)</t>
  </si>
  <si>
    <t>mg/kg po</t>
  </si>
  <si>
    <t>Anadon 1996</t>
  </si>
  <si>
    <t>mg/kg iv</t>
  </si>
  <si>
    <t>rat</t>
  </si>
  <si>
    <t>Aanderud 1983</t>
  </si>
  <si>
    <t>Ito (2004) Pharm Res 21(5):785-92</t>
  </si>
  <si>
    <t>Paixao (2010) Eur J Pharm Sci 41:107-17</t>
  </si>
  <si>
    <t>Treijtel (2005) Drug Metab Dispos 33:1325-32   Ito (2004) Pharm Res 21(5):785-92</t>
  </si>
  <si>
    <t>Chiou 1988; Ito (2004) Pharm Res 21(5):785-92</t>
  </si>
  <si>
    <t>Bosentan</t>
  </si>
  <si>
    <t>Diltiazem</t>
  </si>
  <si>
    <t>Horiuchi (2009); Treiber (2004)</t>
  </si>
  <si>
    <t>Imipramine</t>
  </si>
  <si>
    <t xml:space="preserve">Metoprolol </t>
  </si>
  <si>
    <t>Boralli (2005)</t>
  </si>
  <si>
    <t>Nicardipine</t>
  </si>
  <si>
    <t>Du (2010)</t>
  </si>
  <si>
    <t>Nilvadipine</t>
  </si>
  <si>
    <t>Phenacetin</t>
  </si>
  <si>
    <t>Cruz (2002)</t>
  </si>
  <si>
    <t>Caffeine</t>
  </si>
  <si>
    <t>Ibuprofen</t>
  </si>
  <si>
    <t>Diclofenac</t>
  </si>
  <si>
    <t>Leon-Reyes (2009)</t>
  </si>
  <si>
    <t>Alprazolam</t>
  </si>
  <si>
    <t>Wang (1999)</t>
  </si>
  <si>
    <t>Musteata (2008)</t>
  </si>
  <si>
    <t xml:space="preserve">Midazolam </t>
  </si>
  <si>
    <t>Kotegawa (2002)</t>
  </si>
  <si>
    <t>Della Paschoa (1998)</t>
  </si>
  <si>
    <t xml:space="preserve">Tolbutamide </t>
  </si>
  <si>
    <t>Wang (2010)</t>
  </si>
  <si>
    <t>Ondansetron</t>
  </si>
  <si>
    <t>Furukori (1998)</t>
  </si>
  <si>
    <t>Van Giersbergen (2002)</t>
  </si>
  <si>
    <t>Hasan (2005)</t>
  </si>
  <si>
    <t>al-Talla (2011)</t>
  </si>
  <si>
    <t>http://www.ncbi.nlm.nih.gov/pubmed/17896891</t>
  </si>
  <si>
    <t>http://www.ncbi.nlm.nih.gov/pubmed/21612746</t>
  </si>
  <si>
    <t>28981-97-7</t>
  </si>
  <si>
    <t>147536-97-8</t>
  </si>
  <si>
    <t>64118-84-9</t>
  </si>
  <si>
    <t>42399-41-7</t>
  </si>
  <si>
    <t>56-29-1</t>
  </si>
  <si>
    <t>15687-27-1</t>
  </si>
  <si>
    <t>50-49-7</t>
  </si>
  <si>
    <t>59467-70-8</t>
  </si>
  <si>
    <t>55985-32-5</t>
  </si>
  <si>
    <t>75530-68-6</t>
  </si>
  <si>
    <t>99614-02-5</t>
  </si>
  <si>
    <t>62-44-2</t>
  </si>
  <si>
    <t>64-77-7</t>
  </si>
  <si>
    <t>Source</t>
  </si>
  <si>
    <t>EPA/Hamner</t>
  </si>
  <si>
    <t>TNO</t>
  </si>
  <si>
    <t>Ito/Riley</t>
  </si>
  <si>
    <t>ECVAM</t>
  </si>
  <si>
    <t>Publications RAT</t>
  </si>
  <si>
    <t>Publications HUMAN</t>
  </si>
  <si>
    <t>Wang 1999</t>
  </si>
  <si>
    <t>Plasma conc</t>
  </si>
  <si>
    <t>Treiber 2004</t>
  </si>
  <si>
    <t xml:space="preserve">rat </t>
  </si>
  <si>
    <t>Pelissier-Alicot (2002)</t>
  </si>
  <si>
    <t>Igari (1982)</t>
  </si>
  <si>
    <t>Satterwhite (1991)</t>
  </si>
  <si>
    <t>Nieciecki (1992)</t>
  </si>
  <si>
    <t>Tokuma (1988)</t>
  </si>
  <si>
    <t>Yang (2008)</t>
  </si>
  <si>
    <t>Chandler (1988)</t>
  </si>
  <si>
    <t>Yeung (2009); Tsui (1994)</t>
  </si>
  <si>
    <t>Uchida (2006)</t>
  </si>
  <si>
    <t>Aanderud (1983)</t>
  </si>
  <si>
    <t>Szymura-Oleksiak (1983); Okiyama (1988)</t>
  </si>
  <si>
    <t>Inotsume (1997)</t>
  </si>
  <si>
    <t>VanDenBerg (2000)</t>
  </si>
  <si>
    <t>Xiong (2010)</t>
  </si>
  <si>
    <t>L/h/xx</t>
  </si>
  <si>
    <t>hep</t>
  </si>
  <si>
    <t>mic</t>
  </si>
  <si>
    <t>Pelissier-Alicot 2002</t>
  </si>
  <si>
    <t>mg/kg sc</t>
  </si>
  <si>
    <t>Leon-Reyes 2009</t>
  </si>
  <si>
    <t>2.26 (base)</t>
  </si>
  <si>
    <t>13.34 (acid)</t>
  </si>
  <si>
    <t>3.63 (base)</t>
  </si>
  <si>
    <t>13.63 (acid)</t>
  </si>
  <si>
    <t>1.04 (base)</t>
  </si>
  <si>
    <t>12.13 (acid)</t>
  </si>
  <si>
    <t>Flusilazole</t>
  </si>
  <si>
    <t>8.89 (base)</t>
  </si>
  <si>
    <t>14.77 (acid)</t>
  </si>
  <si>
    <t>1.69 (base)</t>
  </si>
  <si>
    <t>5.03 (acid)</t>
  </si>
  <si>
    <t>13.35 (acid)</t>
  </si>
  <si>
    <t>5.28 (base)</t>
  </si>
  <si>
    <t>9.39 (acid)</t>
  </si>
  <si>
    <t>0.53 (base)</t>
  </si>
  <si>
    <t>2.21 (acid)</t>
  </si>
  <si>
    <t>3.96 (base)</t>
  </si>
  <si>
    <t>13.67 (acid)</t>
  </si>
  <si>
    <t>4.95 (acid)</t>
  </si>
  <si>
    <t>13.33 (acid)</t>
  </si>
  <si>
    <t>8.18 (base)</t>
  </si>
  <si>
    <t>12.86 (acid)</t>
  </si>
  <si>
    <t>9.67 (base)</t>
  </si>
  <si>
    <t>14.09 (acid)</t>
  </si>
  <si>
    <t>(L/h/kg) in vivo human</t>
  </si>
  <si>
    <t>http://dougneubauer.com/pbpkdiazepam/; Riley (2005) DMD 33(9):1304-11</t>
  </si>
  <si>
    <t>hep /1E6 cells; mic /mg prot</t>
  </si>
  <si>
    <t>kg</t>
  </si>
  <si>
    <t>&lt;&lt;1.33E-05</t>
  </si>
  <si>
    <t>Pentachlorophenol (=2,4-D)</t>
  </si>
  <si>
    <t>Schabacker (2004) J Agric Food Chem 52(12):4021-5 (Papp)</t>
  </si>
  <si>
    <t>Ito (2004) Pharm Res 21(5):785-92; Gertz (2010) DMD 38(7):1147-58 (Papp)</t>
  </si>
  <si>
    <t>Ito (2004) Pharm Res 21(5):785-92; Paixao (2010) Eur J Pharm Sci 41:107-17 (Papp)</t>
  </si>
  <si>
    <t>Yeung 2009</t>
  </si>
  <si>
    <t>5x mg/kg sc</t>
  </si>
  <si>
    <t>Tsui 1994</t>
  </si>
  <si>
    <t>Igari 1982</t>
  </si>
  <si>
    <t>Hexobarbitone</t>
  </si>
  <si>
    <t>Satterwhite 1991</t>
  </si>
  <si>
    <t>Szymura 1983</t>
  </si>
  <si>
    <t>Okiyama 1988</t>
  </si>
  <si>
    <t>Metoprolol</t>
  </si>
  <si>
    <t>Boralli 2005</t>
  </si>
  <si>
    <t>Midazolam</t>
  </si>
  <si>
    <t>Kotegawa 2002</t>
  </si>
  <si>
    <t>Tokuma 1988</t>
  </si>
  <si>
    <t>m</t>
  </si>
  <si>
    <t>f</t>
  </si>
  <si>
    <t>0.24; 0.18</t>
  </si>
  <si>
    <t>Yang 2008</t>
  </si>
  <si>
    <t>Cruz 2002</t>
  </si>
  <si>
    <t>Tolbutamide</t>
  </si>
  <si>
    <t>Wang 2010</t>
  </si>
  <si>
    <t>Nagata 2007</t>
  </si>
  <si>
    <t>Uchimura (2010) Biopharm Drug Dispos 31(5-6):286-297</t>
  </si>
  <si>
    <t>133.3224 mmHg / Pa</t>
  </si>
  <si>
    <t>http://www.ncbi.nlm.nih.gov/pccompound</t>
  </si>
  <si>
    <t>\\tsn.tno.nl\Data\Projects\031\2\20496\ToxCast\Relevant information from ToxCast database\ToxCast_QikProp_20091214.xlsx</t>
  </si>
  <si>
    <t>Della Paschoa 1998</t>
  </si>
  <si>
    <t>Timchalk 2002</t>
  </si>
  <si>
    <t>Kim 2008</t>
  </si>
  <si>
    <t>Diethylstilbestrol</t>
  </si>
  <si>
    <t>Retinoic acid</t>
  </si>
  <si>
    <t>Kawai 1998</t>
  </si>
  <si>
    <t>Tanaka 2000</t>
  </si>
  <si>
    <t>Ako 2011</t>
  </si>
  <si>
    <t>Chan 2005</t>
  </si>
  <si>
    <t>Hays 2000</t>
  </si>
  <si>
    <t>Aasmoe 1995</t>
  </si>
  <si>
    <t>Pollack 1985</t>
  </si>
  <si>
    <t>Saadeddin 2004</t>
  </si>
  <si>
    <t>Binkerd 1988</t>
  </si>
  <si>
    <t>Kobayashi 1991</t>
  </si>
  <si>
    <t>(ug/ml)</t>
  </si>
  <si>
    <t>51384-51-1</t>
  </si>
  <si>
    <t>81-81-2</t>
  </si>
  <si>
    <t>439-14-5</t>
  </si>
  <si>
    <t>15307-86-5</t>
  </si>
  <si>
    <t>15347-57-6</t>
  </si>
  <si>
    <t>311-45-5</t>
  </si>
  <si>
    <t>1631-73-8</t>
  </si>
  <si>
    <t>Ethyl Paraben</t>
  </si>
  <si>
    <t>Dimethenamid</t>
  </si>
  <si>
    <t>56-53-1</t>
  </si>
  <si>
    <t>Monoethylhexyl phthalate</t>
  </si>
  <si>
    <t>4376-20-9 </t>
  </si>
  <si>
    <t>302-79-4</t>
  </si>
  <si>
    <r>
      <t>Ako, Roland, Shi-Ming Tu, and Diana Chow. "Comparative pharmacokinetics of diethylstilbestrol from oral suspension and oral dissolving film (ODF)." </t>
    </r>
    <r>
      <rPr>
        <i/>
        <sz val="9"/>
        <color rgb="FF222222"/>
        <rFont val="Arial"/>
        <family val="2"/>
      </rPr>
      <t>Cancer Research</t>
    </r>
    <r>
      <rPr>
        <sz val="9"/>
        <color rgb="FF222222"/>
        <rFont val="Arial"/>
        <family val="2"/>
      </rPr>
      <t> 71.8 Supplement (2011): 1312-1312.</t>
    </r>
  </si>
  <si>
    <r>
      <t>Pollack, Gary M., et al. "Circulating concentrations of di (2-ethylhexyl) phthalate and its de-esterified phthalic acid products following plasticizer exposure in patients receiving hemodialysis." </t>
    </r>
    <r>
      <rPr>
        <i/>
        <sz val="9"/>
        <color rgb="FF222222"/>
        <rFont val="Arial"/>
        <family val="2"/>
      </rPr>
      <t>Toxicology and applied pharmacology</t>
    </r>
    <r>
      <rPr>
        <sz val="9"/>
        <color rgb="FF222222"/>
        <rFont val="Arial"/>
        <family val="2"/>
      </rPr>
      <t> 79.2 (1985): 257-267.</t>
    </r>
  </si>
  <si>
    <r>
      <t>Saadeddin, Anas, et al. "Pharmacokinetics of the time-dependent elimination of all-trans-retinoic acid in rats." </t>
    </r>
    <r>
      <rPr>
        <i/>
        <sz val="9"/>
        <color rgb="FF222222"/>
        <rFont val="Arial"/>
        <family val="2"/>
      </rPr>
      <t>AAPS PharmSci</t>
    </r>
    <r>
      <rPr>
        <sz val="9"/>
        <color rgb="FF222222"/>
        <rFont val="Arial"/>
        <family val="2"/>
      </rPr>
      <t> 6.1 (2004): 1-9.</t>
    </r>
  </si>
  <si>
    <t>4376-20-9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</si>
</sst>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i/>
      <sz val="8"/>
      <color theme="1"/>
      <name val="Tahoma"/>
      <family val="2"/>
    </font>
    <font>
      <i/>
      <sz val="8"/>
      <color theme="1"/>
      <name val="Tahoma"/>
      <family val="2"/>
    </font>
    <font>
      <sz val="11"/>
      <color theme="1"/>
      <name val="Tahoma"/>
      <family val="2"/>
    </font>
    <font>
      <sz val="8"/>
      <color rgb="FFFF0000"/>
      <name val="Tahoma"/>
      <family val="2"/>
    </font>
    <font>
      <i/>
      <sz val="8"/>
      <color theme="4"/>
      <name val="Tahoma"/>
      <family val="2"/>
    </font>
    <font>
      <i/>
      <u/>
      <sz val="8"/>
      <color theme="1"/>
      <name val="Tahoma"/>
      <family val="2"/>
    </font>
    <font>
      <sz val="8"/>
      <color theme="4"/>
      <name val="Tahoma"/>
      <family val="2"/>
    </font>
    <font>
      <sz val="8"/>
      <color theme="1"/>
      <name val="Calibri"/>
      <family val="2"/>
      <scheme val="minor"/>
    </font>
    <font>
      <sz val="8"/>
      <color theme="3" tint="0.39997558519241921"/>
      <name val="Tahom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21">
    <xf numFmtId="0" fontId="0" fillId="0" borderId="0"/>
    <xf numFmtId="0" fontId="11" fillId="5" borderId="1" applyNumberFormat="0" applyAlignment="0" applyProtection="0"/>
    <xf numFmtId="0" fontId="13" fillId="6" borderId="2" applyNumberFormat="0" applyAlignment="0" applyProtection="0"/>
    <xf numFmtId="0" fontId="12" fillId="0" borderId="3" applyNumberFormat="0" applyFill="0" applyAlignment="0" applyProtection="0"/>
    <xf numFmtId="0" fontId="6" fillId="3" borderId="0" applyNumberFormat="0" applyBorder="0" applyAlignment="0" applyProtection="0"/>
    <xf numFmtId="0" fontId="9" fillId="4" borderId="1" applyNumberFormat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" fillId="8" borderId="7" applyNumberFormat="0" applyFont="0" applyAlignment="0" applyProtection="0"/>
    <xf numFmtId="0" fontId="7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0" fillId="5" borderId="8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46">
    <xf numFmtId="0" fontId="0" fillId="0" borderId="0" xfId="0"/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2" fontId="25" fillId="0" borderId="0" xfId="0" applyNumberFormat="1" applyFont="1" applyAlignment="1">
      <alignment horizontal="center" vertical="top" wrapText="1"/>
    </xf>
    <xf numFmtId="11" fontId="25" fillId="0" borderId="0" xfId="0" applyNumberFormat="1" applyFont="1" applyAlignment="1">
      <alignment horizontal="center"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2" fontId="24" fillId="0" borderId="0" xfId="0" applyNumberFormat="1" applyFont="1" applyAlignment="1">
      <alignment horizontal="center" vertical="top" wrapText="1"/>
    </xf>
    <xf numFmtId="164" fontId="24" fillId="0" borderId="0" xfId="0" applyNumberFormat="1" applyFont="1" applyAlignment="1">
      <alignment horizontal="center" vertical="top" wrapText="1"/>
    </xf>
    <xf numFmtId="164" fontId="25" fillId="0" borderId="0" xfId="0" applyNumberFormat="1" applyFont="1" applyAlignment="1">
      <alignment horizontal="center" vertical="top" wrapText="1"/>
    </xf>
    <xf numFmtId="2" fontId="28" fillId="0" borderId="0" xfId="0" applyNumberFormat="1" applyFont="1" applyAlignment="1">
      <alignment horizontal="center" vertical="top" wrapText="1"/>
    </xf>
    <xf numFmtId="2" fontId="25" fillId="0" borderId="0" xfId="0" applyNumberFormat="1" applyFont="1" applyAlignment="1">
      <alignment vertical="top" wrapText="1"/>
    </xf>
    <xf numFmtId="0" fontId="29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5" fillId="0" borderId="0" xfId="0" applyFont="1"/>
    <xf numFmtId="0" fontId="18" fillId="0" borderId="0" xfId="0" applyFont="1"/>
    <xf numFmtId="49" fontId="24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11" fontId="24" fillId="0" borderId="0" xfId="0" applyNumberFormat="1" applyFont="1" applyAlignment="1">
      <alignment horizontal="center" vertical="top" wrapText="1"/>
    </xf>
    <xf numFmtId="0" fontId="30" fillId="0" borderId="0" xfId="0" applyFont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31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center" vertical="top" wrapText="1"/>
    </xf>
    <xf numFmtId="2" fontId="27" fillId="0" borderId="10" xfId="0" applyNumberFormat="1" applyFont="1" applyBorder="1" applyAlignment="1">
      <alignment horizontal="center" vertical="top" wrapText="1"/>
    </xf>
    <xf numFmtId="11" fontId="27" fillId="0" borderId="10" xfId="0" applyNumberFormat="1" applyFont="1" applyBorder="1" applyAlignment="1">
      <alignment horizontal="center" vertical="top" wrapText="1"/>
    </xf>
    <xf numFmtId="49" fontId="27" fillId="0" borderId="10" xfId="0" applyNumberFormat="1" applyFont="1" applyBorder="1" applyAlignment="1">
      <alignment horizontal="left" vertical="top" wrapText="1"/>
    </xf>
    <xf numFmtId="0" fontId="27" fillId="9" borderId="0" xfId="0" applyFont="1" applyFill="1" applyAlignment="1">
      <alignment vertical="top" wrapText="1"/>
    </xf>
    <xf numFmtId="0" fontId="25" fillId="9" borderId="0" xfId="0" applyFont="1" applyFill="1" applyAlignment="1">
      <alignment vertical="top" wrapText="1"/>
    </xf>
    <xf numFmtId="0" fontId="25" fillId="9" borderId="0" xfId="0" applyFont="1" applyFill="1" applyAlignment="1">
      <alignment horizontal="center" vertical="top" wrapText="1"/>
    </xf>
    <xf numFmtId="0" fontId="27" fillId="0" borderId="0" xfId="0" applyFont="1" applyFill="1" applyAlignment="1">
      <alignment vertical="top" wrapText="1"/>
    </xf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center" vertical="top" wrapText="1"/>
    </xf>
    <xf numFmtId="2" fontId="25" fillId="0" borderId="0" xfId="0" applyNumberFormat="1" applyFont="1" applyFill="1" applyAlignment="1">
      <alignment horizontal="center" vertical="top" wrapText="1"/>
    </xf>
    <xf numFmtId="0" fontId="25" fillId="0" borderId="0" xfId="0" applyNumberFormat="1" applyFont="1" applyFill="1" applyAlignment="1">
      <alignment horizontal="center" vertical="top" wrapText="1"/>
    </xf>
    <xf numFmtId="11" fontId="25" fillId="0" borderId="0" xfId="0" applyNumberFormat="1" applyFont="1" applyFill="1" applyAlignment="1">
      <alignment horizontal="center" vertical="top" wrapText="1"/>
    </xf>
    <xf numFmtId="49" fontId="18" fillId="0" borderId="0" xfId="0" applyNumberFormat="1" applyFont="1" applyFill="1" applyAlignment="1">
      <alignment horizontal="left" vertical="top" wrapText="1"/>
    </xf>
    <xf numFmtId="0" fontId="18" fillId="9" borderId="0" xfId="0" applyFont="1" applyFill="1" applyAlignment="1">
      <alignment vertical="top" wrapText="1"/>
    </xf>
    <xf numFmtId="0" fontId="18" fillId="9" borderId="0" xfId="0" applyFont="1" applyFill="1" applyAlignment="1">
      <alignment horizontal="center" vertical="top" wrapText="1"/>
    </xf>
    <xf numFmtId="0" fontId="18" fillId="9" borderId="0" xfId="0" applyFont="1" applyFill="1"/>
    <xf numFmtId="0" fontId="29" fillId="9" borderId="0" xfId="0" applyFont="1" applyFill="1" applyAlignment="1">
      <alignment vertical="top" wrapText="1"/>
    </xf>
    <xf numFmtId="0" fontId="29" fillId="9" borderId="0" xfId="0" applyFont="1" applyFill="1"/>
    <xf numFmtId="0" fontId="20" fillId="0" borderId="0" xfId="13" applyFont="1" applyAlignment="1">
      <alignment horizontal="center"/>
    </xf>
    <xf numFmtId="0" fontId="20" fillId="0" borderId="11" xfId="13" applyFont="1" applyBorder="1" applyAlignment="1">
      <alignment horizontal="center"/>
    </xf>
    <xf numFmtId="0" fontId="18" fillId="0" borderId="0" xfId="12" applyFont="1" applyAlignment="1">
      <alignment wrapText="1"/>
    </xf>
    <xf numFmtId="0" fontId="18" fillId="0" borderId="0" xfId="0" applyFont="1" applyAlignment="1">
      <alignment wrapText="1"/>
    </xf>
    <xf numFmtId="1" fontId="24" fillId="0" borderId="0" xfId="0" applyNumberFormat="1" applyFont="1" applyAlignment="1">
      <alignment horizontal="center" vertical="top" wrapText="1"/>
    </xf>
    <xf numFmtId="1" fontId="27" fillId="0" borderId="10" xfId="0" applyNumberFormat="1" applyFont="1" applyBorder="1" applyAlignment="1">
      <alignment horizontal="center" vertical="top" wrapText="1"/>
    </xf>
    <xf numFmtId="1" fontId="25" fillId="0" borderId="0" xfId="0" applyNumberFormat="1" applyFont="1" applyAlignment="1">
      <alignment horizontal="center" vertical="top" wrapText="1"/>
    </xf>
    <xf numFmtId="1" fontId="25" fillId="0" borderId="0" xfId="0" applyNumberFormat="1" applyFont="1" applyFill="1" applyAlignment="1">
      <alignment horizontal="center" vertical="top" wrapText="1"/>
    </xf>
    <xf numFmtId="0" fontId="18" fillId="0" borderId="0" xfId="0" applyNumberFormat="1" applyFont="1" applyAlignment="1">
      <alignment horizontal="center" vertical="top" wrapText="1"/>
    </xf>
    <xf numFmtId="11" fontId="18" fillId="0" borderId="0" xfId="0" applyNumberFormat="1" applyFont="1" applyAlignment="1">
      <alignment horizontal="center" vertical="top" wrapText="1"/>
    </xf>
    <xf numFmtId="0" fontId="25" fillId="0" borderId="0" xfId="0" applyFont="1" applyAlignment="1">
      <alignment wrapText="1"/>
    </xf>
    <xf numFmtId="0" fontId="27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applyFont="1" applyBorder="1" applyAlignment="1">
      <alignment horizontal="center" vertical="top" wrapText="1"/>
    </xf>
    <xf numFmtId="2" fontId="25" fillId="0" borderId="0" xfId="0" applyNumberFormat="1" applyFont="1" applyBorder="1" applyAlignment="1">
      <alignment horizontal="center" vertical="top" wrapText="1"/>
    </xf>
    <xf numFmtId="11" fontId="25" fillId="0" borderId="0" xfId="0" applyNumberFormat="1" applyFont="1" applyBorder="1" applyAlignment="1">
      <alignment horizontal="center" vertical="top" wrapText="1"/>
    </xf>
    <xf numFmtId="1" fontId="25" fillId="0" borderId="0" xfId="0" applyNumberFormat="1" applyFont="1" applyBorder="1" applyAlignment="1">
      <alignment horizontal="center" vertical="top" wrapText="1"/>
    </xf>
    <xf numFmtId="0" fontId="20" fillId="0" borderId="0" xfId="13" applyFont="1" applyBorder="1" applyAlignment="1">
      <alignment horizontal="center"/>
    </xf>
    <xf numFmtId="0" fontId="20" fillId="0" borderId="10" xfId="13" applyFont="1" applyBorder="1" applyAlignment="1">
      <alignment horizontal="center"/>
    </xf>
    <xf numFmtId="0" fontId="20" fillId="0" borderId="12" xfId="13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9" fillId="0" borderId="0" xfId="13" applyFont="1" applyAlignment="1"/>
    <xf numFmtId="0" fontId="19" fillId="0" borderId="11" xfId="13" applyFont="1" applyBorder="1" applyAlignment="1"/>
    <xf numFmtId="0" fontId="20" fillId="0" borderId="0" xfId="13" applyFont="1" applyAlignment="1"/>
    <xf numFmtId="0" fontId="20" fillId="0" borderId="11" xfId="13" applyFont="1" applyBorder="1" applyAlignment="1"/>
    <xf numFmtId="0" fontId="24" fillId="0" borderId="0" xfId="0" applyFont="1" applyBorder="1" applyAlignment="1"/>
    <xf numFmtId="0" fontId="21" fillId="0" borderId="0" xfId="13" applyFont="1" applyAlignment="1"/>
    <xf numFmtId="0" fontId="21" fillId="0" borderId="11" xfId="13" applyFont="1" applyBorder="1" applyAlignment="1"/>
    <xf numFmtId="0" fontId="27" fillId="0" borderId="0" xfId="0" applyFont="1" applyBorder="1" applyAlignment="1"/>
    <xf numFmtId="0" fontId="20" fillId="0" borderId="12" xfId="13" applyFont="1" applyBorder="1" applyAlignment="1">
      <alignment horizontal="center" wrapText="1"/>
    </xf>
    <xf numFmtId="0" fontId="20" fillId="0" borderId="0" xfId="13" applyFont="1" applyBorder="1" applyAlignment="1"/>
    <xf numFmtId="0" fontId="20" fillId="0" borderId="13" xfId="13" applyFont="1" applyBorder="1" applyAlignment="1"/>
    <xf numFmtId="0" fontId="25" fillId="0" borderId="0" xfId="0" applyFont="1" applyBorder="1" applyAlignment="1"/>
    <xf numFmtId="11" fontId="20" fillId="0" borderId="0" xfId="13" applyNumberFormat="1" applyFont="1" applyAlignment="1"/>
    <xf numFmtId="2" fontId="20" fillId="0" borderId="0" xfId="13" applyNumberFormat="1" applyFont="1" applyAlignment="1"/>
    <xf numFmtId="0" fontId="19" fillId="0" borderId="14" xfId="13" applyFont="1" applyBorder="1" applyAlignment="1"/>
    <xf numFmtId="0" fontId="21" fillId="0" borderId="14" xfId="13" applyFont="1" applyBorder="1" applyAlignment="1"/>
    <xf numFmtId="0" fontId="20" fillId="0" borderId="14" xfId="13" applyFont="1" applyBorder="1" applyAlignment="1">
      <alignment horizontal="center"/>
    </xf>
    <xf numFmtId="0" fontId="20" fillId="0" borderId="15" xfId="13" applyFont="1" applyBorder="1" applyAlignment="1">
      <alignment horizontal="center"/>
    </xf>
    <xf numFmtId="0" fontId="20" fillId="0" borderId="14" xfId="13" applyFont="1" applyBorder="1" applyAlignment="1"/>
    <xf numFmtId="2" fontId="32" fillId="0" borderId="0" xfId="0" applyNumberFormat="1" applyFont="1" applyAlignment="1">
      <alignment horizontal="center" vertical="top"/>
    </xf>
    <xf numFmtId="0" fontId="25" fillId="0" borderId="10" xfId="0" applyFont="1" applyBorder="1" applyAlignment="1">
      <alignment horizontal="center" vertical="top" wrapText="1"/>
    </xf>
    <xf numFmtId="0" fontId="25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19" fillId="0" borderId="0" xfId="13" applyFont="1"/>
    <xf numFmtId="0" fontId="19" fillId="0" borderId="11" xfId="13" applyFont="1" applyBorder="1"/>
    <xf numFmtId="0" fontId="19" fillId="0" borderId="0" xfId="13" applyFont="1" applyBorder="1"/>
    <xf numFmtId="0" fontId="20" fillId="0" borderId="0" xfId="13" applyFont="1"/>
    <xf numFmtId="0" fontId="21" fillId="0" borderId="0" xfId="13" applyFont="1"/>
    <xf numFmtId="0" fontId="21" fillId="0" borderId="11" xfId="13" applyFont="1" applyBorder="1"/>
    <xf numFmtId="0" fontId="21" fillId="0" borderId="0" xfId="13" applyFont="1" applyBorder="1"/>
    <xf numFmtId="0" fontId="20" fillId="0" borderId="11" xfId="13" applyFont="1" applyBorder="1"/>
    <xf numFmtId="0" fontId="20" fillId="0" borderId="0" xfId="13" applyFont="1" applyBorder="1"/>
    <xf numFmtId="0" fontId="20" fillId="0" borderId="16" xfId="13" applyFont="1" applyBorder="1"/>
    <xf numFmtId="0" fontId="20" fillId="0" borderId="0" xfId="13" applyFont="1" applyFill="1" applyBorder="1"/>
    <xf numFmtId="164" fontId="27" fillId="0" borderId="0" xfId="0" applyNumberFormat="1" applyFont="1" applyBorder="1" applyAlignment="1">
      <alignment horizontal="center" vertical="top" wrapText="1"/>
    </xf>
    <xf numFmtId="164" fontId="25" fillId="0" borderId="17" xfId="0" applyNumberFormat="1" applyFont="1" applyBorder="1" applyAlignment="1">
      <alignment horizontal="center" vertical="top" wrapText="1"/>
    </xf>
    <xf numFmtId="164" fontId="25" fillId="0" borderId="18" xfId="0" applyNumberFormat="1" applyFont="1" applyBorder="1" applyAlignment="1">
      <alignment horizontal="center" vertical="top" wrapText="1"/>
    </xf>
    <xf numFmtId="164" fontId="32" fillId="0" borderId="18" xfId="0" applyNumberFormat="1" applyFont="1" applyBorder="1" applyAlignment="1">
      <alignment horizontal="center" vertical="top" wrapText="1"/>
    </xf>
    <xf numFmtId="164" fontId="25" fillId="0" borderId="19" xfId="0" applyNumberFormat="1" applyFont="1" applyBorder="1" applyAlignment="1">
      <alignment horizontal="center" vertical="top" wrapText="1"/>
    </xf>
    <xf numFmtId="0" fontId="27" fillId="0" borderId="0" xfId="0" applyFont="1" applyBorder="1" applyAlignment="1">
      <alignment horizontal="center" vertical="top" wrapText="1"/>
    </xf>
    <xf numFmtId="11" fontId="25" fillId="0" borderId="17" xfId="0" applyNumberFormat="1" applyFont="1" applyBorder="1" applyAlignment="1">
      <alignment horizontal="center" vertical="top" wrapText="1"/>
    </xf>
    <xf numFmtId="11" fontId="25" fillId="0" borderId="18" xfId="0" applyNumberFormat="1" applyFont="1" applyBorder="1" applyAlignment="1">
      <alignment horizontal="center" vertical="top" wrapText="1"/>
    </xf>
    <xf numFmtId="11" fontId="25" fillId="0" borderId="19" xfId="0" applyNumberFormat="1" applyFont="1" applyBorder="1" applyAlignment="1">
      <alignment horizontal="center" vertical="top" wrapText="1"/>
    </xf>
    <xf numFmtId="0" fontId="27" fillId="10" borderId="0" xfId="0" applyFont="1" applyFill="1" applyAlignment="1">
      <alignment vertical="top" wrapText="1"/>
    </xf>
    <xf numFmtId="0" fontId="25" fillId="10" borderId="0" xfId="0" applyFont="1" applyFill="1" applyAlignment="1">
      <alignment vertical="top" wrapText="1"/>
    </xf>
    <xf numFmtId="0" fontId="25" fillId="10" borderId="0" xfId="0" applyFont="1" applyFill="1" applyAlignment="1">
      <alignment horizontal="center" vertical="top" wrapText="1"/>
    </xf>
    <xf numFmtId="2" fontId="25" fillId="10" borderId="0" xfId="0" applyNumberFormat="1" applyFont="1" applyFill="1" applyAlignment="1">
      <alignment horizontal="center" vertical="top" wrapText="1"/>
    </xf>
    <xf numFmtId="0" fontId="34" fillId="10" borderId="0" xfId="0" applyNumberFormat="1" applyFont="1" applyFill="1" applyAlignment="1">
      <alignment horizontal="center" vertical="top" wrapText="1"/>
    </xf>
    <xf numFmtId="2" fontId="32" fillId="10" borderId="0" xfId="0" applyNumberFormat="1" applyFont="1" applyFill="1" applyAlignment="1">
      <alignment horizontal="center" vertical="top"/>
    </xf>
    <xf numFmtId="11" fontId="25" fillId="10" borderId="0" xfId="0" applyNumberFormat="1" applyFont="1" applyFill="1" applyAlignment="1">
      <alignment horizontal="center" vertical="top" wrapText="1"/>
    </xf>
    <xf numFmtId="1" fontId="25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horizontal="center" vertical="top" wrapText="1"/>
    </xf>
    <xf numFmtId="49" fontId="18" fillId="10" borderId="0" xfId="0" applyNumberFormat="1" applyFont="1" applyFill="1" applyAlignment="1">
      <alignment horizontal="left" vertical="top" wrapText="1"/>
    </xf>
    <xf numFmtId="0" fontId="25" fillId="10" borderId="0" xfId="0" applyNumberFormat="1" applyFont="1" applyFill="1" applyAlignment="1">
      <alignment horizontal="center" vertical="top" wrapText="1"/>
    </xf>
    <xf numFmtId="11" fontId="18" fillId="10" borderId="0" xfId="0" applyNumberFormat="1" applyFont="1" applyFill="1" applyAlignment="1">
      <alignment horizontal="center" vertical="top" wrapText="1"/>
    </xf>
    <xf numFmtId="2" fontId="18" fillId="10" borderId="0" xfId="0" applyNumberFormat="1" applyFont="1" applyFill="1" applyAlignment="1">
      <alignment horizontal="center" vertical="top" wrapText="1"/>
    </xf>
    <xf numFmtId="0" fontId="18" fillId="10" borderId="0" xfId="0" applyNumberFormat="1" applyFont="1" applyFill="1" applyAlignment="1">
      <alignment horizontal="center" vertical="top" wrapText="1"/>
    </xf>
    <xf numFmtId="2" fontId="34" fillId="10" borderId="0" xfId="0" applyNumberFormat="1" applyFont="1" applyFill="1" applyAlignment="1">
      <alignment horizontal="center" vertical="top" wrapText="1"/>
    </xf>
    <xf numFmtId="0" fontId="19" fillId="0" borderId="0" xfId="0" applyFont="1" applyBorder="1" applyAlignment="1"/>
    <xf numFmtId="0" fontId="19" fillId="0" borderId="11" xfId="0" applyFont="1" applyBorder="1" applyAlignment="1"/>
    <xf numFmtId="0" fontId="19" fillId="0" borderId="14" xfId="0" applyFont="1" applyBorder="1" applyAlignment="1"/>
    <xf numFmtId="0" fontId="21" fillId="0" borderId="0" xfId="0" applyFont="1" applyBorder="1" applyAlignment="1"/>
    <xf numFmtId="0" fontId="21" fillId="0" borderId="11" xfId="0" applyFont="1" applyBorder="1" applyAlignment="1"/>
    <xf numFmtId="0" fontId="21" fillId="0" borderId="14" xfId="0" applyFont="1" applyBorder="1" applyAlignment="1"/>
    <xf numFmtId="0" fontId="20" fillId="0" borderId="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0" fillId="0" borderId="14" xfId="0" applyFont="1" applyBorder="1" applyAlignment="1"/>
    <xf numFmtId="0" fontId="20" fillId="0" borderId="0" xfId="0" applyFont="1"/>
    <xf numFmtId="0" fontId="20" fillId="0" borderId="14" xfId="0" applyFont="1" applyBorder="1"/>
    <xf numFmtId="0" fontId="20" fillId="0" borderId="11" xfId="0" applyFont="1" applyBorder="1"/>
    <xf numFmtId="164" fontId="20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20" fillId="0" borderId="11" xfId="0" applyFont="1" applyBorder="1" applyAlignment="1">
      <alignment horizontal="right"/>
    </xf>
    <xf numFmtId="0" fontId="24" fillId="0" borderId="0" xfId="0" applyFont="1"/>
    <xf numFmtId="0" fontId="19" fillId="0" borderId="0" xfId="13" applyFont="1" applyFill="1" applyBorder="1" applyAlignment="1"/>
    <xf numFmtId="0" fontId="35" fillId="0" borderId="0" xfId="0" applyFont="1"/>
  </cellXfs>
  <cellStyles count="21">
    <cellStyle name="Berekening" xfId="1"/>
    <cellStyle name="Controlecel" xfId="2"/>
    <cellStyle name="Gekoppelde cel" xfId="3"/>
    <cellStyle name="Goed" xfId="4"/>
    <cellStyle name="Invoer" xfId="5"/>
    <cellStyle name="Kop 1" xfId="6"/>
    <cellStyle name="Kop 2" xfId="7"/>
    <cellStyle name="Kop 3" xfId="8"/>
    <cellStyle name="Kop 4" xfId="9"/>
    <cellStyle name="Neutraal" xfId="10"/>
    <cellStyle name="Normal" xfId="0" builtinId="0"/>
    <cellStyle name="Normal 3 2" xfId="11"/>
    <cellStyle name="Normal_Additional compounds PK DB" xfId="12"/>
    <cellStyle name="Normal_In vivo datasets" xfId="13"/>
    <cellStyle name="Notitie" xfId="14"/>
    <cellStyle name="Ongeldig" xfId="15"/>
    <cellStyle name="Titel" xfId="16"/>
    <cellStyle name="Totaal" xfId="17"/>
    <cellStyle name="Uitvoer" xfId="18"/>
    <cellStyle name="Verklarende tekst" xfId="19"/>
    <cellStyle name="Waarschuwingsteks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1"/>
  <sheetViews>
    <sheetView zoomScaleNormal="100" workbookViewId="0">
      <pane ySplit="1" topLeftCell="A66" activePane="bottomLeft" state="frozen"/>
      <selection pane="bottomLeft" activeCell="C79" sqref="C79"/>
    </sheetView>
  </sheetViews>
  <sheetFormatPr defaultRowHeight="14.25" x14ac:dyDescent="0.25"/>
  <cols>
    <col min="1" max="1" width="10.140625" style="8" customWidth="1"/>
    <col min="2" max="2" width="22.140625" style="3" bestFit="1" customWidth="1"/>
    <col min="3" max="3" width="14.85546875" style="4" bestFit="1" customWidth="1"/>
    <col min="4" max="4" width="11" style="5" bestFit="1" customWidth="1"/>
    <col min="5" max="5" width="9.140625" style="5"/>
    <col min="6" max="6" width="9.28515625" style="5" bestFit="1" customWidth="1"/>
    <col min="7" max="7" width="9.140625" style="12"/>
    <col min="8" max="8" width="9.28515625" style="11" bestFit="1" customWidth="1"/>
    <col min="9" max="10" width="9.28515625" style="5" bestFit="1" customWidth="1"/>
    <col min="11" max="11" width="10.140625" style="4" bestFit="1" customWidth="1"/>
    <col min="12" max="12" width="9.28515625" style="4" bestFit="1" customWidth="1"/>
    <col min="13" max="13" width="9.28515625" style="6" customWidth="1"/>
    <col min="14" max="14" width="11.42578125" style="49" customWidth="1"/>
    <col min="15" max="15" width="10.140625" style="4" bestFit="1" customWidth="1"/>
    <col min="16" max="16" width="9.140625" style="4"/>
    <col min="17" max="17" width="34.7109375" style="19" bestFit="1" customWidth="1"/>
    <col min="18" max="18" width="9.140625" style="3" customWidth="1"/>
    <col min="19" max="16384" width="9.140625" style="3"/>
  </cols>
  <sheetData>
    <row r="1" spans="1:21" s="1" customFormat="1" ht="10.5" x14ac:dyDescent="0.25">
      <c r="A1" s="7" t="s">
        <v>346</v>
      </c>
      <c r="B1" s="1" t="s">
        <v>117</v>
      </c>
      <c r="C1" s="2" t="s">
        <v>142</v>
      </c>
      <c r="D1" s="9" t="s">
        <v>119</v>
      </c>
      <c r="E1" s="2" t="s">
        <v>123</v>
      </c>
      <c r="F1" s="9" t="s">
        <v>120</v>
      </c>
      <c r="G1" s="9" t="s">
        <v>121</v>
      </c>
      <c r="H1" s="10" t="s">
        <v>126</v>
      </c>
      <c r="I1" s="9" t="s">
        <v>128</v>
      </c>
      <c r="J1" s="9" t="s">
        <v>118</v>
      </c>
      <c r="K1" s="2" t="s">
        <v>131</v>
      </c>
      <c r="L1" s="2" t="s">
        <v>132</v>
      </c>
      <c r="M1" s="20" t="s">
        <v>284</v>
      </c>
      <c r="N1" s="47"/>
      <c r="O1" s="2" t="s">
        <v>133</v>
      </c>
      <c r="Q1" s="18" t="s">
        <v>122</v>
      </c>
      <c r="R1" s="2"/>
      <c r="S1" s="2"/>
      <c r="T1" s="2"/>
      <c r="U1" s="2"/>
    </row>
    <row r="2" spans="1:21" s="1" customFormat="1" ht="24" customHeight="1" x14ac:dyDescent="0.25">
      <c r="A2" s="7"/>
      <c r="C2" s="2"/>
      <c r="D2" s="9"/>
      <c r="E2" s="2"/>
      <c r="F2" s="9"/>
      <c r="G2" s="9"/>
      <c r="H2" s="3"/>
      <c r="I2" s="55" t="s">
        <v>431</v>
      </c>
      <c r="J2" s="9"/>
      <c r="K2" s="85" t="s">
        <v>433</v>
      </c>
      <c r="L2" s="2"/>
      <c r="M2" s="20"/>
      <c r="N2" s="47"/>
      <c r="O2" s="86" t="s">
        <v>434</v>
      </c>
      <c r="Q2" s="18"/>
      <c r="R2" s="2"/>
      <c r="S2" s="2"/>
      <c r="T2" s="2"/>
      <c r="U2" s="2"/>
    </row>
    <row r="3" spans="1:21" s="22" customFormat="1" ht="21" x14ac:dyDescent="0.25">
      <c r="B3" s="23"/>
      <c r="C3" s="24"/>
      <c r="D3" s="25"/>
      <c r="E3" s="24"/>
      <c r="F3" s="25"/>
      <c r="G3" s="25"/>
      <c r="H3" s="98"/>
      <c r="J3" s="25" t="s">
        <v>136</v>
      </c>
      <c r="K3" s="84" t="s">
        <v>432</v>
      </c>
      <c r="L3" s="24"/>
      <c r="M3" s="26" t="s">
        <v>371</v>
      </c>
      <c r="N3" s="48" t="s">
        <v>403</v>
      </c>
      <c r="O3" s="103" t="s">
        <v>285</v>
      </c>
      <c r="Q3" s="27"/>
      <c r="R3" s="24"/>
      <c r="S3" s="24"/>
      <c r="T3" s="24"/>
      <c r="U3" s="24"/>
    </row>
    <row r="4" spans="1:21" ht="10.5" customHeight="1" x14ac:dyDescent="0.25">
      <c r="A4" s="8" t="s">
        <v>347</v>
      </c>
      <c r="B4" s="3" t="s">
        <v>0</v>
      </c>
      <c r="C4" s="4" t="s">
        <v>1</v>
      </c>
      <c r="D4" s="5">
        <f>10^2.8</f>
        <v>630.95734448019323</v>
      </c>
      <c r="E4" s="4" t="s">
        <v>124</v>
      </c>
      <c r="F4" s="5">
        <v>2.73</v>
      </c>
      <c r="G4" s="5" t="s">
        <v>125</v>
      </c>
      <c r="H4" s="99">
        <v>0.04</v>
      </c>
      <c r="I4" s="5">
        <v>2.11</v>
      </c>
      <c r="J4" s="5">
        <v>221.04</v>
      </c>
      <c r="K4" s="6">
        <f>0.0000000825*133.3224</f>
        <v>1.0999097999999999E-5</v>
      </c>
      <c r="L4" s="4">
        <v>0</v>
      </c>
      <c r="O4" s="104">
        <f>232.031/10000000</f>
        <v>2.3203100000000002E-5</v>
      </c>
      <c r="P4" s="3"/>
      <c r="Q4" s="19" t="s">
        <v>127</v>
      </c>
    </row>
    <row r="5" spans="1:21" ht="10.5" customHeight="1" x14ac:dyDescent="0.25">
      <c r="A5" s="54" t="s">
        <v>347</v>
      </c>
      <c r="B5" s="55" t="s">
        <v>2</v>
      </c>
      <c r="C5" s="56" t="s">
        <v>3</v>
      </c>
      <c r="D5" s="57">
        <f>10^4.14</f>
        <v>13803.842646028841</v>
      </c>
      <c r="E5" s="56" t="s">
        <v>130</v>
      </c>
      <c r="F5" s="57" t="s">
        <v>125</v>
      </c>
      <c r="G5" s="57" t="s">
        <v>125</v>
      </c>
      <c r="H5" s="100">
        <v>0.16</v>
      </c>
      <c r="I5" s="83">
        <f t="shared" ref="I5:I20" si="0">(10^(0.616*LOG((1-H5)/H5)+0.203)*H5-1)*0.45+1</f>
        <v>0.86911750464596083</v>
      </c>
      <c r="J5" s="57">
        <v>269.77</v>
      </c>
      <c r="K5" s="58">
        <f>0.000000034*133.3224</f>
        <v>4.5329615999999992E-6</v>
      </c>
      <c r="L5" s="56">
        <v>0</v>
      </c>
      <c r="N5" s="59"/>
      <c r="O5" s="105">
        <f>6359.742/10000000</f>
        <v>6.3597420000000005E-4</v>
      </c>
      <c r="P5" s="3"/>
    </row>
    <row r="6" spans="1:21" ht="10.5" x14ac:dyDescent="0.25">
      <c r="A6" s="8" t="s">
        <v>347</v>
      </c>
      <c r="B6" s="3" t="s">
        <v>4</v>
      </c>
      <c r="C6" s="4" t="s">
        <v>5</v>
      </c>
      <c r="D6" s="5">
        <f>10^4.55</f>
        <v>35481.33892335758</v>
      </c>
      <c r="E6" s="4" t="s">
        <v>124</v>
      </c>
      <c r="F6" s="5">
        <v>2.0299999999999998</v>
      </c>
      <c r="G6" s="5" t="s">
        <v>125</v>
      </c>
      <c r="H6" s="101">
        <v>5.0000000000000001E-3</v>
      </c>
      <c r="I6" s="83">
        <f t="shared" si="0"/>
        <v>0.64360003544079136</v>
      </c>
      <c r="J6" s="5">
        <v>361.66</v>
      </c>
      <c r="K6" s="6">
        <f>0.000000015*133.3224</f>
        <v>1.9998359999999996E-6</v>
      </c>
      <c r="L6" s="4">
        <v>1</v>
      </c>
      <c r="O6" s="105">
        <f>53.556/10000000</f>
        <v>5.3556E-6</v>
      </c>
      <c r="P6" s="3"/>
    </row>
    <row r="7" spans="1:21" ht="10.5" x14ac:dyDescent="0.25">
      <c r="A7" s="8" t="s">
        <v>347</v>
      </c>
      <c r="B7" s="3" t="s">
        <v>68</v>
      </c>
      <c r="C7" s="4" t="s">
        <v>69</v>
      </c>
      <c r="D7" s="5">
        <f>10^3.59</f>
        <v>3890.451449942811</v>
      </c>
      <c r="E7" s="4" t="s">
        <v>130</v>
      </c>
      <c r="F7" s="5" t="s">
        <v>125</v>
      </c>
      <c r="G7" s="5" t="s">
        <v>125</v>
      </c>
      <c r="H7" s="100">
        <v>0.13300000000000001</v>
      </c>
      <c r="I7" s="83">
        <f t="shared" si="0"/>
        <v>0.85310374892469687</v>
      </c>
      <c r="J7" s="5">
        <v>269.77</v>
      </c>
      <c r="K7" s="6">
        <f>0.0000229*133.3224</f>
        <v>3.05308296E-3</v>
      </c>
      <c r="L7" s="4">
        <v>1</v>
      </c>
      <c r="O7" s="105">
        <f>5535.517/10000000</f>
        <v>5.5355170000000002E-4</v>
      </c>
      <c r="P7" s="3"/>
    </row>
    <row r="8" spans="1:21" ht="10.5" x14ac:dyDescent="0.25">
      <c r="A8" s="8" t="s">
        <v>347</v>
      </c>
      <c r="B8" s="3" t="s">
        <v>6</v>
      </c>
      <c r="C8" s="4" t="s">
        <v>7</v>
      </c>
      <c r="D8" s="5">
        <f>10^2.6</f>
        <v>398.10717055349761</v>
      </c>
      <c r="E8" s="4" t="s">
        <v>215</v>
      </c>
      <c r="F8" s="5">
        <v>5.74</v>
      </c>
      <c r="G8" s="5" t="s">
        <v>125</v>
      </c>
      <c r="H8" s="101">
        <v>5.0000000000000001E-3</v>
      </c>
      <c r="I8" s="83">
        <f t="shared" si="0"/>
        <v>0.64360003544079136</v>
      </c>
      <c r="J8" s="5">
        <v>227.33</v>
      </c>
      <c r="K8" s="6">
        <f>0.00000274*133.3224</f>
        <v>3.6530337599999994E-4</v>
      </c>
      <c r="L8" s="4">
        <v>1</v>
      </c>
      <c r="O8" s="105">
        <f>2973.548/10000000</f>
        <v>2.973548E-4</v>
      </c>
      <c r="P8" s="3"/>
    </row>
    <row r="9" spans="1:21" ht="10.5" x14ac:dyDescent="0.25">
      <c r="A9" s="8" t="s">
        <v>347</v>
      </c>
      <c r="B9" s="3" t="s">
        <v>8</v>
      </c>
      <c r="C9" s="4" t="s">
        <v>9</v>
      </c>
      <c r="D9" s="5">
        <f>10^3.45</f>
        <v>2818.3829312644561</v>
      </c>
      <c r="E9" s="4" t="s">
        <v>215</v>
      </c>
      <c r="F9" s="5">
        <v>10.18</v>
      </c>
      <c r="G9" s="5" t="s">
        <v>125</v>
      </c>
      <c r="H9" s="100">
        <v>6.0000000000000001E-3</v>
      </c>
      <c r="I9" s="83">
        <f t="shared" si="0"/>
        <v>0.65032579427527248</v>
      </c>
      <c r="J9" s="5">
        <v>397.51</v>
      </c>
      <c r="K9" s="6">
        <f>0.0000008*133.3224</f>
        <v>1.0665791999999999E-4</v>
      </c>
      <c r="L9" s="4">
        <v>1</v>
      </c>
      <c r="O9" s="105">
        <f>2137.036/10000000</f>
        <v>2.137036E-4</v>
      </c>
      <c r="P9" s="3"/>
    </row>
    <row r="10" spans="1:21" ht="10.5" x14ac:dyDescent="0.25">
      <c r="A10" s="8" t="s">
        <v>347</v>
      </c>
      <c r="B10" s="3" t="s">
        <v>10</v>
      </c>
      <c r="C10" s="4" t="s">
        <v>11</v>
      </c>
      <c r="D10" s="5">
        <f>10^0.76</f>
        <v>5.7543993733715713</v>
      </c>
      <c r="E10" s="4" t="s">
        <v>215</v>
      </c>
      <c r="F10" s="5">
        <v>8.02</v>
      </c>
      <c r="G10" s="5" t="s">
        <v>125</v>
      </c>
      <c r="H10" s="100">
        <v>0.02</v>
      </c>
      <c r="I10" s="83">
        <f t="shared" si="0"/>
        <v>0.70790769522114005</v>
      </c>
      <c r="J10" s="5">
        <v>240.28</v>
      </c>
      <c r="K10" s="6">
        <f>0.000000069*133.3224</f>
        <v>9.1992455999999993E-6</v>
      </c>
      <c r="L10" s="4">
        <v>0</v>
      </c>
      <c r="O10" s="105">
        <f>770.754/10000000</f>
        <v>7.7075400000000004E-5</v>
      </c>
      <c r="P10" s="3"/>
    </row>
    <row r="11" spans="1:21" ht="10.5" x14ac:dyDescent="0.25">
      <c r="A11" s="8" t="s">
        <v>347</v>
      </c>
      <c r="B11" s="3" t="s">
        <v>70</v>
      </c>
      <c r="C11" s="4" t="s">
        <v>71</v>
      </c>
      <c r="D11" s="5">
        <f>10^4.04</f>
        <v>10964.781961431856</v>
      </c>
      <c r="E11" s="4" t="s">
        <v>216</v>
      </c>
      <c r="F11" s="5">
        <v>9.7799999999999994</v>
      </c>
      <c r="G11" s="5">
        <v>10.39</v>
      </c>
      <c r="H11" s="100">
        <v>6.8000000000000005E-2</v>
      </c>
      <c r="I11" s="83">
        <f t="shared" si="0"/>
        <v>0.79493798358894052</v>
      </c>
      <c r="J11" s="5">
        <v>228.29</v>
      </c>
      <c r="K11" s="6">
        <f>0.00000039*133.3224</f>
        <v>5.1995735999999999E-5</v>
      </c>
      <c r="L11" s="4">
        <v>1</v>
      </c>
      <c r="O11" s="105">
        <f>908.396/10000000</f>
        <v>9.083959999999999E-5</v>
      </c>
      <c r="P11" s="3"/>
    </row>
    <row r="12" spans="1:21" ht="10.5" x14ac:dyDescent="0.25">
      <c r="A12" s="8" t="s">
        <v>347</v>
      </c>
      <c r="B12" s="3" t="s">
        <v>12</v>
      </c>
      <c r="C12" s="4" t="s">
        <v>13</v>
      </c>
      <c r="D12" s="5">
        <f>10^4.92</f>
        <v>83176.377110267174</v>
      </c>
      <c r="E12" s="4" t="s">
        <v>124</v>
      </c>
      <c r="F12" s="5">
        <v>10.7</v>
      </c>
      <c r="G12" s="5" t="s">
        <v>125</v>
      </c>
      <c r="H12" s="100">
        <v>3.2000000000000001E-2</v>
      </c>
      <c r="I12" s="83">
        <f t="shared" si="0"/>
        <v>0.73771082806930655</v>
      </c>
      <c r="J12" s="5">
        <v>343.21</v>
      </c>
      <c r="K12" s="6">
        <f>0.0000000054*133.3224</f>
        <v>7.1994096000000001E-7</v>
      </c>
      <c r="L12" s="4">
        <v>0</v>
      </c>
      <c r="O12" s="105">
        <f>2849.024/10000000</f>
        <v>2.8490239999999999E-4</v>
      </c>
      <c r="P12" s="3"/>
    </row>
    <row r="13" spans="1:21" ht="10.5" x14ac:dyDescent="0.25">
      <c r="A13" s="8" t="s">
        <v>347</v>
      </c>
      <c r="B13" s="3" t="s">
        <v>14</v>
      </c>
      <c r="C13" s="4" t="s">
        <v>15</v>
      </c>
      <c r="D13" s="5">
        <f>10^2.46</f>
        <v>288.40315031266073</v>
      </c>
      <c r="E13" s="4" t="s">
        <v>124</v>
      </c>
      <c r="F13" s="5">
        <v>14.77</v>
      </c>
      <c r="G13" s="5" t="s">
        <v>125</v>
      </c>
      <c r="H13" s="100">
        <v>0.69199999999999995</v>
      </c>
      <c r="I13" s="83">
        <f t="shared" si="0"/>
        <v>0.85182867374887217</v>
      </c>
      <c r="J13" s="5">
        <v>201.23</v>
      </c>
      <c r="K13" s="6">
        <f>0.00000136*133.3224</f>
        <v>1.8131846399999996E-4</v>
      </c>
      <c r="L13" s="4">
        <v>1</v>
      </c>
      <c r="O13" s="105">
        <f>2944.128/10000000</f>
        <v>2.9441280000000003E-4</v>
      </c>
      <c r="P13" s="3"/>
    </row>
    <row r="14" spans="1:21" ht="10.5" x14ac:dyDescent="0.25">
      <c r="A14" s="8" t="s">
        <v>347</v>
      </c>
      <c r="B14" s="3" t="s">
        <v>16</v>
      </c>
      <c r="C14" s="4" t="s">
        <v>17</v>
      </c>
      <c r="D14" s="5">
        <f>10^1.11</f>
        <v>12.882495516931346</v>
      </c>
      <c r="E14" s="4" t="s">
        <v>130</v>
      </c>
      <c r="F14" s="5" t="s">
        <v>125</v>
      </c>
      <c r="G14" s="5" t="s">
        <v>125</v>
      </c>
      <c r="H14" s="100">
        <v>0.42699999999999999</v>
      </c>
      <c r="I14" s="83">
        <f t="shared" si="0"/>
        <v>0.91755307876459324</v>
      </c>
      <c r="J14" s="5">
        <v>221.65</v>
      </c>
      <c r="K14" s="6">
        <f>0.00000045*133.3224</f>
        <v>5.9995079999999989E-5</v>
      </c>
      <c r="L14" s="4">
        <v>1</v>
      </c>
      <c r="O14" s="105">
        <f>919.194/10000000</f>
        <v>9.19194E-5</v>
      </c>
      <c r="P14" s="3"/>
    </row>
    <row r="15" spans="1:21" ht="10.5" x14ac:dyDescent="0.25">
      <c r="A15" s="8" t="s">
        <v>347</v>
      </c>
      <c r="B15" s="3" t="s">
        <v>72</v>
      </c>
      <c r="C15" s="4" t="s">
        <v>73</v>
      </c>
      <c r="D15" s="5">
        <f>10^3.9</f>
        <v>7943.2823472428154</v>
      </c>
      <c r="E15" s="4" t="s">
        <v>124</v>
      </c>
      <c r="F15" s="5">
        <v>5.22</v>
      </c>
      <c r="G15" s="5" t="s">
        <v>125</v>
      </c>
      <c r="H15" s="101">
        <v>5.0000000000000001E-3</v>
      </c>
      <c r="I15" s="83">
        <f t="shared" si="0"/>
        <v>0.64360003544079136</v>
      </c>
      <c r="J15" s="5">
        <v>213.67</v>
      </c>
      <c r="K15" s="6">
        <f>0.00018*133.3224</f>
        <v>2.3998031999999999E-2</v>
      </c>
      <c r="L15" s="4">
        <v>1</v>
      </c>
      <c r="O15" s="105">
        <f>2118.019/10000000</f>
        <v>2.1180189999999997E-4</v>
      </c>
      <c r="P15" s="3"/>
    </row>
    <row r="16" spans="1:21" ht="10.5" x14ac:dyDescent="0.25">
      <c r="A16" s="8" t="s">
        <v>347</v>
      </c>
      <c r="B16" s="3" t="s">
        <v>18</v>
      </c>
      <c r="C16" s="4" t="s">
        <v>19</v>
      </c>
      <c r="D16" s="5">
        <f>10^2.42</f>
        <v>263.02679918953817</v>
      </c>
      <c r="E16" s="4" t="s">
        <v>216</v>
      </c>
      <c r="F16" s="5">
        <v>3.56</v>
      </c>
      <c r="G16" s="5">
        <v>12.61</v>
      </c>
      <c r="H16" s="100">
        <v>0.98399999999999999</v>
      </c>
      <c r="I16" s="83">
        <f t="shared" si="0"/>
        <v>0.60588053313345214</v>
      </c>
      <c r="J16" s="5">
        <v>274.11</v>
      </c>
      <c r="K16" s="6">
        <f>0.0000000091*133.3224</f>
        <v>1.21323384E-6</v>
      </c>
      <c r="L16" s="4">
        <v>0</v>
      </c>
      <c r="O16" s="105">
        <f>178.621/10000000</f>
        <v>1.78621E-5</v>
      </c>
      <c r="P16" s="3"/>
    </row>
    <row r="17" spans="1:16" ht="21" x14ac:dyDescent="0.25">
      <c r="A17" s="8" t="s">
        <v>347</v>
      </c>
      <c r="B17" s="3" t="s">
        <v>74</v>
      </c>
      <c r="C17" s="4" t="s">
        <v>75</v>
      </c>
      <c r="D17" s="5">
        <f>10^2.85</f>
        <v>707.94578438413873</v>
      </c>
      <c r="E17" s="4" t="s">
        <v>214</v>
      </c>
      <c r="F17" s="5" t="s">
        <v>377</v>
      </c>
      <c r="G17" s="5" t="s">
        <v>378</v>
      </c>
      <c r="H17" s="100">
        <v>0.109</v>
      </c>
      <c r="I17" s="83">
        <f t="shared" si="0"/>
        <v>0.83556761516540057</v>
      </c>
      <c r="J17" s="5">
        <v>291.77999999999997</v>
      </c>
      <c r="K17" s="6">
        <f>0.00000000336*133.3224</f>
        <v>4.4796326399999998E-7</v>
      </c>
      <c r="L17" s="4">
        <v>1</v>
      </c>
      <c r="O17" s="105">
        <f>2487.347/10000000</f>
        <v>2.4873470000000004E-4</v>
      </c>
      <c r="P17" s="3"/>
    </row>
    <row r="18" spans="1:16" ht="21" x14ac:dyDescent="0.25">
      <c r="A18" s="8" t="s">
        <v>347</v>
      </c>
      <c r="B18" s="3" t="s">
        <v>20</v>
      </c>
      <c r="C18" s="4" t="s">
        <v>21</v>
      </c>
      <c r="D18" s="5">
        <f>10^3.21</f>
        <v>1621.8100973589308</v>
      </c>
      <c r="E18" s="4" t="s">
        <v>214</v>
      </c>
      <c r="F18" s="5" t="s">
        <v>379</v>
      </c>
      <c r="G18" s="5" t="s">
        <v>380</v>
      </c>
      <c r="H18" s="101">
        <v>5.0000000000000001E-3</v>
      </c>
      <c r="I18" s="83">
        <f t="shared" si="0"/>
        <v>0.64360003544079136</v>
      </c>
      <c r="J18" s="5">
        <v>225.3</v>
      </c>
      <c r="K18" s="6">
        <f>0.00000368*133.3224</f>
        <v>4.9062643199999998E-4</v>
      </c>
      <c r="L18" s="4">
        <v>1</v>
      </c>
      <c r="O18" s="105">
        <f>5186.837/10000000</f>
        <v>5.1868370000000006E-4</v>
      </c>
      <c r="P18" s="3"/>
    </row>
    <row r="19" spans="1:16" ht="10.5" x14ac:dyDescent="0.25">
      <c r="A19" s="8" t="s">
        <v>347</v>
      </c>
      <c r="B19" s="3" t="s">
        <v>22</v>
      </c>
      <c r="C19" s="4" t="s">
        <v>23</v>
      </c>
      <c r="D19" s="5">
        <f>10^3.38</f>
        <v>2398.8329190194918</v>
      </c>
      <c r="E19" s="4" t="s">
        <v>215</v>
      </c>
      <c r="F19" s="5">
        <v>3.8</v>
      </c>
      <c r="G19" s="5" t="s">
        <v>125</v>
      </c>
      <c r="H19" s="100">
        <v>0.32700000000000001</v>
      </c>
      <c r="I19" s="83">
        <f t="shared" si="0"/>
        <v>0.91631620421068216</v>
      </c>
      <c r="J19" s="5">
        <v>288.29000000000002</v>
      </c>
      <c r="K19" s="6" t="s">
        <v>125</v>
      </c>
      <c r="L19" s="4">
        <v>0</v>
      </c>
      <c r="O19" s="105">
        <f>3931.416/10000000</f>
        <v>3.931416E-4</v>
      </c>
      <c r="P19" s="3"/>
    </row>
    <row r="20" spans="1:16" ht="10.5" x14ac:dyDescent="0.25">
      <c r="A20" s="8" t="s">
        <v>347</v>
      </c>
      <c r="B20" s="3" t="s">
        <v>76</v>
      </c>
      <c r="C20" s="4" t="s">
        <v>77</v>
      </c>
      <c r="D20" s="5">
        <f>10^3.04</f>
        <v>1096.4781961431863</v>
      </c>
      <c r="E20" s="4" t="s">
        <v>130</v>
      </c>
      <c r="F20" s="5" t="s">
        <v>125</v>
      </c>
      <c r="G20" s="5" t="s">
        <v>125</v>
      </c>
      <c r="H20" s="100">
        <v>6.2E-2</v>
      </c>
      <c r="I20" s="83">
        <f t="shared" si="0"/>
        <v>0.78733832387955149</v>
      </c>
      <c r="J20" s="5">
        <v>172.01</v>
      </c>
      <c r="K20" s="6">
        <f>0.00066*133.3224</f>
        <v>8.7992783999999991E-2</v>
      </c>
      <c r="L20" s="4">
        <v>1</v>
      </c>
      <c r="O20" s="105">
        <f>2477.902/10000000</f>
        <v>2.4779020000000003E-4</v>
      </c>
      <c r="P20" s="3"/>
    </row>
    <row r="21" spans="1:16" ht="10.5" x14ac:dyDescent="0.25">
      <c r="A21" s="8" t="s">
        <v>347</v>
      </c>
      <c r="B21" s="3" t="s">
        <v>78</v>
      </c>
      <c r="C21" s="4" t="s">
        <v>79</v>
      </c>
      <c r="D21" s="5">
        <f>10^8.03</f>
        <v>107151930.5237608</v>
      </c>
      <c r="E21" s="4" t="s">
        <v>130</v>
      </c>
      <c r="F21" s="5" t="s">
        <v>125</v>
      </c>
      <c r="G21" s="5" t="s">
        <v>125</v>
      </c>
      <c r="H21" s="100"/>
      <c r="J21" s="5">
        <v>390.57</v>
      </c>
      <c r="K21" s="6">
        <f>0.000000142*133.3224</f>
        <v>1.8931780799999999E-5</v>
      </c>
      <c r="L21" s="4">
        <v>1</v>
      </c>
      <c r="O21" s="105">
        <f>998.8/10000000</f>
        <v>9.9879999999999999E-5</v>
      </c>
      <c r="P21" s="3"/>
    </row>
    <row r="22" spans="1:16" ht="10.5" x14ac:dyDescent="0.25">
      <c r="A22" s="8" t="s">
        <v>347</v>
      </c>
      <c r="B22" s="3" t="s">
        <v>80</v>
      </c>
      <c r="C22" s="4" t="s">
        <v>81</v>
      </c>
      <c r="D22" s="5">
        <f>10^2.92</f>
        <v>831.7637711026714</v>
      </c>
      <c r="E22" s="4" t="s">
        <v>130</v>
      </c>
      <c r="F22" s="5" t="s">
        <v>125</v>
      </c>
      <c r="G22" s="5" t="s">
        <v>125</v>
      </c>
      <c r="H22" s="100">
        <v>0.23200000000000001</v>
      </c>
      <c r="I22" s="83">
        <f t="shared" ref="I22:I41" si="1">(10^(0.616*LOG((1-H22)/H22)+0.203)*H22-1)*0.45+1</f>
        <v>0.8982911277371507</v>
      </c>
      <c r="J22" s="5">
        <v>275.8</v>
      </c>
      <c r="K22" s="6" t="s">
        <v>125</v>
      </c>
      <c r="L22" s="4">
        <v>0</v>
      </c>
      <c r="O22" s="105">
        <f>6197.241/10000000</f>
        <v>6.1972410000000003E-4</v>
      </c>
      <c r="P22" s="3"/>
    </row>
    <row r="23" spans="1:16" ht="10.5" x14ac:dyDescent="0.25">
      <c r="A23" s="8" t="s">
        <v>347</v>
      </c>
      <c r="B23" s="3" t="s">
        <v>82</v>
      </c>
      <c r="C23" s="4" t="s">
        <v>83</v>
      </c>
      <c r="D23" s="5">
        <f>10^3.41</f>
        <v>2570.3957827688669</v>
      </c>
      <c r="E23" s="4" t="s">
        <v>215</v>
      </c>
      <c r="F23" s="5">
        <v>0.78</v>
      </c>
      <c r="G23" s="5" t="s">
        <v>125</v>
      </c>
      <c r="H23" s="101">
        <v>5.0000000000000001E-3</v>
      </c>
      <c r="I23" s="83">
        <f t="shared" si="1"/>
        <v>0.64360003544079136</v>
      </c>
      <c r="J23" s="5">
        <v>169.23</v>
      </c>
      <c r="K23" s="6">
        <f>0.00067*133.3224</f>
        <v>8.9326007999999998E-2</v>
      </c>
      <c r="L23" s="4">
        <v>1</v>
      </c>
      <c r="O23" s="105">
        <f>7834.322/10000000</f>
        <v>7.8343219999999999E-4</v>
      </c>
      <c r="P23" s="3"/>
    </row>
    <row r="24" spans="1:16" ht="10.5" x14ac:dyDescent="0.25">
      <c r="A24" s="8" t="s">
        <v>347</v>
      </c>
      <c r="B24" s="3" t="s">
        <v>84</v>
      </c>
      <c r="C24" s="4" t="s">
        <v>85</v>
      </c>
      <c r="D24" s="5">
        <f>10^5.77</f>
        <v>588843.65535558888</v>
      </c>
      <c r="E24" s="4" t="s">
        <v>130</v>
      </c>
      <c r="F24" s="5" t="s">
        <v>125</v>
      </c>
      <c r="G24" s="5" t="s">
        <v>125</v>
      </c>
      <c r="H24" s="101">
        <v>5.0000000000000001E-3</v>
      </c>
      <c r="I24" s="83">
        <f t="shared" si="1"/>
        <v>0.64360003544079136</v>
      </c>
      <c r="J24" s="5">
        <v>401.41</v>
      </c>
      <c r="K24" s="6" t="s">
        <v>125</v>
      </c>
      <c r="L24" s="4">
        <v>0</v>
      </c>
      <c r="O24" s="105">
        <f>3395.652/10000000</f>
        <v>3.3956520000000002E-4</v>
      </c>
      <c r="P24" s="3"/>
    </row>
    <row r="25" spans="1:16" ht="10.5" x14ac:dyDescent="0.25">
      <c r="A25" s="8" t="s">
        <v>347</v>
      </c>
      <c r="B25" s="3" t="s">
        <v>24</v>
      </c>
      <c r="C25" s="4" t="s">
        <v>25</v>
      </c>
      <c r="D25" s="5">
        <f>10^2.53</f>
        <v>338.84415613920248</v>
      </c>
      <c r="E25" s="4" t="s">
        <v>124</v>
      </c>
      <c r="F25" s="5">
        <v>13.18</v>
      </c>
      <c r="G25" s="5" t="s">
        <v>125</v>
      </c>
      <c r="H25" s="100">
        <v>0.161</v>
      </c>
      <c r="I25" s="83">
        <f t="shared" si="1"/>
        <v>0.86964728355715515</v>
      </c>
      <c r="J25" s="5">
        <v>233.1</v>
      </c>
      <c r="K25" s="6">
        <f>0.000000069*133.3224</f>
        <v>9.1992455999999993E-6</v>
      </c>
      <c r="L25" s="4">
        <v>0</v>
      </c>
      <c r="O25" s="105">
        <f>2524.364/10000000</f>
        <v>2.5243640000000001E-4</v>
      </c>
      <c r="P25" s="3"/>
    </row>
    <row r="26" spans="1:16" ht="10.5" x14ac:dyDescent="0.25">
      <c r="A26" s="8" t="s">
        <v>347</v>
      </c>
      <c r="B26" s="3" t="s">
        <v>86</v>
      </c>
      <c r="C26" s="4" t="s">
        <v>87</v>
      </c>
      <c r="D26" s="5">
        <f>10^2.34</f>
        <v>218.77616239495524</v>
      </c>
      <c r="E26" s="4" t="s">
        <v>130</v>
      </c>
      <c r="F26" s="5" t="s">
        <v>125</v>
      </c>
      <c r="G26" s="5" t="s">
        <v>125</v>
      </c>
      <c r="H26" s="100">
        <v>0.13100000000000001</v>
      </c>
      <c r="I26" s="83">
        <f t="shared" si="1"/>
        <v>0.85177334276052963</v>
      </c>
      <c r="J26" s="5">
        <v>286.35000000000002</v>
      </c>
      <c r="K26" s="6">
        <f>0.0000049*133.3224</f>
        <v>6.5327975999999988E-4</v>
      </c>
      <c r="L26" s="4">
        <v>1</v>
      </c>
      <c r="O26" s="105">
        <f>1682.525/10000000</f>
        <v>1.6825250000000001E-4</v>
      </c>
      <c r="P26" s="3"/>
    </row>
    <row r="27" spans="1:16" ht="10.5" x14ac:dyDescent="0.25">
      <c r="A27" s="8" t="s">
        <v>347</v>
      </c>
      <c r="B27" s="3" t="s">
        <v>26</v>
      </c>
      <c r="C27" s="4" t="s">
        <v>27</v>
      </c>
      <c r="D27" s="5">
        <f>10^3.22</f>
        <v>1659.5869074375626</v>
      </c>
      <c r="E27" s="4" t="s">
        <v>130</v>
      </c>
      <c r="F27" s="5" t="s">
        <v>125</v>
      </c>
      <c r="G27" s="5" t="s">
        <v>125</v>
      </c>
      <c r="H27" s="100">
        <v>9.2999999999999999E-2</v>
      </c>
      <c r="I27" s="83">
        <f t="shared" si="1"/>
        <v>0.8216414592692669</v>
      </c>
      <c r="J27" s="5">
        <v>242.33</v>
      </c>
      <c r="K27" s="6">
        <f>0.00038*133.3224</f>
        <v>5.0662512E-2</v>
      </c>
      <c r="L27" s="4">
        <v>1</v>
      </c>
      <c r="O27" s="105">
        <f>4364.939/10000000</f>
        <v>4.3649390000000002E-4</v>
      </c>
      <c r="P27" s="3"/>
    </row>
    <row r="28" spans="1:16" ht="10.5" x14ac:dyDescent="0.25">
      <c r="A28" s="8" t="s">
        <v>347</v>
      </c>
      <c r="B28" s="3" t="s">
        <v>88</v>
      </c>
      <c r="C28" s="4" t="s">
        <v>89</v>
      </c>
      <c r="D28" s="5">
        <f>10^5.62</f>
        <v>416869.38347033598</v>
      </c>
      <c r="E28" s="4" t="s">
        <v>215</v>
      </c>
      <c r="F28" s="5">
        <v>0.74</v>
      </c>
      <c r="G28" s="5" t="s">
        <v>125</v>
      </c>
      <c r="H28" s="101">
        <v>5.0000000000000001E-3</v>
      </c>
      <c r="I28" s="83">
        <f t="shared" si="1"/>
        <v>0.64360003544079136</v>
      </c>
      <c r="J28" s="5">
        <v>359.42</v>
      </c>
      <c r="K28" s="6">
        <f>0.0000000164*133.3224</f>
        <v>2.18648736E-6</v>
      </c>
      <c r="L28" s="4">
        <v>0</v>
      </c>
      <c r="O28" s="105">
        <f>7954.226/10000000</f>
        <v>7.9542259999999994E-4</v>
      </c>
      <c r="P28" s="3"/>
    </row>
    <row r="29" spans="1:16" ht="21" x14ac:dyDescent="0.25">
      <c r="A29" s="8" t="s">
        <v>347</v>
      </c>
      <c r="B29" s="3" t="s">
        <v>28</v>
      </c>
      <c r="C29" s="4" t="s">
        <v>29</v>
      </c>
      <c r="D29" s="5">
        <f>10^3.92</f>
        <v>8317.6377110267094</v>
      </c>
      <c r="E29" s="4" t="s">
        <v>214</v>
      </c>
      <c r="F29" s="5" t="s">
        <v>381</v>
      </c>
      <c r="G29" s="5" t="s">
        <v>382</v>
      </c>
      <c r="H29" s="100">
        <v>3.6999999999999998E-2</v>
      </c>
      <c r="I29" s="83">
        <f t="shared" si="1"/>
        <v>0.74784075863276089</v>
      </c>
      <c r="J29" s="5">
        <v>331.2</v>
      </c>
      <c r="K29" s="6" t="s">
        <v>125</v>
      </c>
      <c r="L29" s="4">
        <v>0</v>
      </c>
      <c r="O29" s="105">
        <f>1698.579/10000000</f>
        <v>1.6985789999999999E-4</v>
      </c>
      <c r="P29" s="3"/>
    </row>
    <row r="30" spans="1:16" ht="10.5" x14ac:dyDescent="0.25">
      <c r="A30" s="8" t="s">
        <v>347</v>
      </c>
      <c r="B30" s="3" t="s">
        <v>90</v>
      </c>
      <c r="C30" s="4" t="s">
        <v>91</v>
      </c>
      <c r="D30" s="5">
        <f>10^4.35</f>
        <v>22387.211385683382</v>
      </c>
      <c r="E30" s="4" t="s">
        <v>215</v>
      </c>
      <c r="F30" s="5">
        <v>2.27</v>
      </c>
      <c r="G30" s="5" t="s">
        <v>125</v>
      </c>
      <c r="H30" s="101">
        <v>5.0000000000000001E-3</v>
      </c>
      <c r="I30" s="83">
        <f t="shared" si="1"/>
        <v>0.64360003544079136</v>
      </c>
      <c r="J30" s="5">
        <v>336.83</v>
      </c>
      <c r="K30" s="6" t="s">
        <v>125</v>
      </c>
      <c r="L30" s="4">
        <v>0</v>
      </c>
      <c r="O30" s="105">
        <f>1325.775/10000000</f>
        <v>1.325775E-4</v>
      </c>
      <c r="P30" s="3"/>
    </row>
    <row r="31" spans="1:16" ht="10.5" x14ac:dyDescent="0.25">
      <c r="A31" s="8" t="s">
        <v>347</v>
      </c>
      <c r="B31" s="3" t="s">
        <v>30</v>
      </c>
      <c r="C31" s="4" t="s">
        <v>31</v>
      </c>
      <c r="D31" s="5">
        <f>10^3.57</f>
        <v>3715.352290971724</v>
      </c>
      <c r="E31" s="4" t="s">
        <v>124</v>
      </c>
      <c r="F31" s="5">
        <v>14.66</v>
      </c>
      <c r="G31" s="5" t="s">
        <v>125</v>
      </c>
      <c r="H31" s="101">
        <v>5.0000000000000001E-3</v>
      </c>
      <c r="I31" s="83">
        <f t="shared" si="1"/>
        <v>0.64360003544079136</v>
      </c>
      <c r="J31" s="5">
        <v>248.19</v>
      </c>
      <c r="K31" s="6" t="s">
        <v>125</v>
      </c>
      <c r="L31" s="4">
        <v>0</v>
      </c>
      <c r="O31" s="105">
        <f>1241.874/10000000</f>
        <v>1.241874E-4</v>
      </c>
      <c r="P31" s="3"/>
    </row>
    <row r="32" spans="1:16" ht="10.5" x14ac:dyDescent="0.25">
      <c r="A32" s="8" t="s">
        <v>347</v>
      </c>
      <c r="B32" s="3" t="s">
        <v>32</v>
      </c>
      <c r="C32" s="4" t="s">
        <v>33</v>
      </c>
      <c r="D32" s="5">
        <f>10^3.22</f>
        <v>1659.5869074375626</v>
      </c>
      <c r="E32" s="4" t="s">
        <v>124</v>
      </c>
      <c r="F32" s="5">
        <v>12.58</v>
      </c>
      <c r="G32" s="5" t="s">
        <v>125</v>
      </c>
      <c r="H32" s="100">
        <v>0.13700000000000001</v>
      </c>
      <c r="I32" s="83">
        <f t="shared" si="1"/>
        <v>0.8557002977484669</v>
      </c>
      <c r="J32" s="5">
        <v>363.33</v>
      </c>
      <c r="K32" s="6">
        <f>0.000000675*133.3224</f>
        <v>8.9992619999999991E-5</v>
      </c>
      <c r="L32" s="4">
        <v>1</v>
      </c>
      <c r="O32" s="105">
        <f>1396.435/10000000</f>
        <v>1.3964349999999999E-4</v>
      </c>
      <c r="P32" s="3"/>
    </row>
    <row r="33" spans="1:17" ht="10.5" x14ac:dyDescent="0.25">
      <c r="A33" s="8" t="s">
        <v>347</v>
      </c>
      <c r="B33" s="3" t="s">
        <v>383</v>
      </c>
      <c r="C33" s="4" t="s">
        <v>92</v>
      </c>
      <c r="D33" s="5">
        <f>10^4.68</f>
        <v>47863.009232263823</v>
      </c>
      <c r="E33" s="4" t="s">
        <v>215</v>
      </c>
      <c r="F33" s="5">
        <v>2.3199999999999998</v>
      </c>
      <c r="G33" s="5" t="s">
        <v>125</v>
      </c>
      <c r="H33" s="100">
        <v>2.9000000000000001E-2</v>
      </c>
      <c r="I33" s="83">
        <f t="shared" si="1"/>
        <v>0.73109246928565264</v>
      </c>
      <c r="J33" s="5">
        <v>315.39999999999998</v>
      </c>
      <c r="K33" s="6" t="s">
        <v>125</v>
      </c>
      <c r="L33" s="4">
        <v>0</v>
      </c>
      <c r="O33" s="105">
        <f>3787.172/10000000</f>
        <v>3.787172E-4</v>
      </c>
      <c r="P33" s="3"/>
    </row>
    <row r="34" spans="1:17" ht="21" x14ac:dyDescent="0.25">
      <c r="A34" s="8" t="s">
        <v>347</v>
      </c>
      <c r="B34" s="3" t="s">
        <v>34</v>
      </c>
      <c r="C34" s="4" t="s">
        <v>35</v>
      </c>
      <c r="D34" s="5">
        <f>10^1.08</f>
        <v>12.022644346174133</v>
      </c>
      <c r="E34" s="4" t="s">
        <v>214</v>
      </c>
      <c r="F34" s="5" t="s">
        <v>384</v>
      </c>
      <c r="G34" s="5" t="s">
        <v>385</v>
      </c>
      <c r="H34" s="100">
        <v>0.88500000000000001</v>
      </c>
      <c r="I34" s="83">
        <f t="shared" si="1"/>
        <v>0.7308125617797494</v>
      </c>
      <c r="J34" s="5">
        <v>257.7</v>
      </c>
      <c r="K34" s="6">
        <v>0</v>
      </c>
      <c r="L34" s="4">
        <v>0</v>
      </c>
      <c r="O34" s="105">
        <f>1534.072/10000000</f>
        <v>1.5340719999999998E-4</v>
      </c>
      <c r="P34" s="3"/>
    </row>
    <row r="35" spans="1:17" ht="10.5" x14ac:dyDescent="0.25">
      <c r="A35" s="8" t="s">
        <v>347</v>
      </c>
      <c r="B35" s="3" t="s">
        <v>36</v>
      </c>
      <c r="C35" s="4" t="s">
        <v>37</v>
      </c>
      <c r="D35" s="5">
        <f>10^1.45</f>
        <v>28.183829312644548</v>
      </c>
      <c r="E35" s="4" t="s">
        <v>214</v>
      </c>
      <c r="F35" s="5" t="s">
        <v>386</v>
      </c>
      <c r="G35" s="5" t="s">
        <v>387</v>
      </c>
      <c r="H35" s="100">
        <v>8.9999999999999993E-3</v>
      </c>
      <c r="I35" s="83">
        <f t="shared" si="1"/>
        <v>0.66701000787167652</v>
      </c>
      <c r="J35" s="5">
        <v>434.81</v>
      </c>
      <c r="K35" s="6" t="s">
        <v>125</v>
      </c>
      <c r="L35" s="4">
        <v>0</v>
      </c>
      <c r="O35" s="105">
        <f>94.357/10000000</f>
        <v>9.4357000000000001E-6</v>
      </c>
      <c r="P35" s="3"/>
    </row>
    <row r="36" spans="1:17" ht="21" x14ac:dyDescent="0.25">
      <c r="A36" s="8" t="s">
        <v>347</v>
      </c>
      <c r="B36" s="3" t="s">
        <v>38</v>
      </c>
      <c r="C36" s="4" t="s">
        <v>39</v>
      </c>
      <c r="D36" s="5">
        <f>10^3.71</f>
        <v>5128.6138399136489</v>
      </c>
      <c r="E36" s="4" t="s">
        <v>214</v>
      </c>
      <c r="F36" s="5" t="s">
        <v>377</v>
      </c>
      <c r="G36" s="5" t="s">
        <v>388</v>
      </c>
      <c r="H36" s="100">
        <v>4.1000000000000002E-2</v>
      </c>
      <c r="I36" s="83">
        <f t="shared" si="1"/>
        <v>0.75526824857682862</v>
      </c>
      <c r="J36" s="5">
        <v>314.22000000000003</v>
      </c>
      <c r="K36" s="6" t="s">
        <v>125</v>
      </c>
      <c r="L36" s="4">
        <v>0</v>
      </c>
      <c r="O36" s="105">
        <f>2631.264/10000000</f>
        <v>2.631264E-4</v>
      </c>
      <c r="P36" s="3"/>
    </row>
    <row r="37" spans="1:17" ht="10.5" x14ac:dyDescent="0.25">
      <c r="A37" s="8" t="s">
        <v>347</v>
      </c>
      <c r="B37" s="3" t="s">
        <v>40</v>
      </c>
      <c r="C37" s="4" t="s">
        <v>41</v>
      </c>
      <c r="D37" s="5">
        <f>10^3.76</f>
        <v>5754.399373371567</v>
      </c>
      <c r="E37" s="4" t="s">
        <v>215</v>
      </c>
      <c r="F37" s="5">
        <v>6.77</v>
      </c>
      <c r="G37" s="5" t="s">
        <v>125</v>
      </c>
      <c r="H37" s="100">
        <v>0.03</v>
      </c>
      <c r="I37" s="83">
        <f t="shared" si="1"/>
        <v>0.73334896549516504</v>
      </c>
      <c r="J37" s="5">
        <v>297.19</v>
      </c>
      <c r="K37" s="6">
        <f>0.0000012*133.3224</f>
        <v>1.5998687999999999E-4</v>
      </c>
      <c r="L37" s="4">
        <v>1</v>
      </c>
      <c r="O37" s="105">
        <f>4728.362/10000000</f>
        <v>4.7283619999999998E-4</v>
      </c>
      <c r="P37" s="3"/>
    </row>
    <row r="38" spans="1:17" ht="10.5" x14ac:dyDescent="0.25">
      <c r="A38" s="8" t="s">
        <v>347</v>
      </c>
      <c r="B38" s="3" t="s">
        <v>42</v>
      </c>
      <c r="C38" s="4" t="s">
        <v>43</v>
      </c>
      <c r="D38" s="5">
        <f>10^1.1</f>
        <v>12.58925411794168</v>
      </c>
      <c r="E38" s="4" t="s">
        <v>214</v>
      </c>
      <c r="F38" s="5" t="s">
        <v>389</v>
      </c>
      <c r="G38" s="5" t="s">
        <v>390</v>
      </c>
      <c r="H38" s="100">
        <v>0.65600000000000003</v>
      </c>
      <c r="I38" s="83">
        <f t="shared" si="1"/>
        <v>0.86653634893835885</v>
      </c>
      <c r="J38" s="5">
        <v>255.67</v>
      </c>
      <c r="K38" s="6">
        <f>0.000000000003*133.3224</f>
        <v>3.999672E-10</v>
      </c>
      <c r="L38" s="4">
        <v>0</v>
      </c>
      <c r="O38" s="105">
        <f>345.034/10000000</f>
        <v>3.4503399999999999E-5</v>
      </c>
      <c r="P38" s="3"/>
    </row>
    <row r="39" spans="1:17" ht="10.5" x14ac:dyDescent="0.25">
      <c r="A39" s="8" t="s">
        <v>347</v>
      </c>
      <c r="B39" s="3" t="s">
        <v>93</v>
      </c>
      <c r="C39" s="4" t="s">
        <v>94</v>
      </c>
      <c r="D39" s="5">
        <f>10^3.48</f>
        <v>3019.9517204020176</v>
      </c>
      <c r="E39" s="4" t="s">
        <v>130</v>
      </c>
      <c r="F39" s="5" t="s">
        <v>125</v>
      </c>
      <c r="G39" s="5" t="s">
        <v>125</v>
      </c>
      <c r="H39" s="100">
        <v>6.5000000000000002E-2</v>
      </c>
      <c r="I39" s="83">
        <f t="shared" si="1"/>
        <v>0.79120771526447686</v>
      </c>
      <c r="J39" s="5">
        <v>313.74</v>
      </c>
      <c r="K39" s="6">
        <f>0.000087*133.3224</f>
        <v>1.1599048799999999E-2</v>
      </c>
      <c r="L39" s="4">
        <v>1</v>
      </c>
      <c r="O39" s="105">
        <f>5587.054/10000000</f>
        <v>5.5870539999999997E-4</v>
      </c>
      <c r="P39" s="3"/>
    </row>
    <row r="40" spans="1:17" ht="10.5" x14ac:dyDescent="0.25">
      <c r="A40" s="8" t="s">
        <v>347</v>
      </c>
      <c r="B40" s="3" t="s">
        <v>44</v>
      </c>
      <c r="C40" s="4" t="s">
        <v>45</v>
      </c>
      <c r="D40" s="5">
        <f>10^2.14</f>
        <v>138.0384264602886</v>
      </c>
      <c r="E40" s="4" t="s">
        <v>130</v>
      </c>
      <c r="F40" s="5" t="s">
        <v>125</v>
      </c>
      <c r="G40" s="5" t="s">
        <v>125</v>
      </c>
      <c r="H40" s="100">
        <v>1.7000000000000001E-2</v>
      </c>
      <c r="I40" s="83">
        <f t="shared" si="1"/>
        <v>0.69863389766885442</v>
      </c>
      <c r="J40" s="5">
        <v>359.32</v>
      </c>
      <c r="K40" s="6">
        <f>0.0000000075*133.3224</f>
        <v>9.9991799999999981E-7</v>
      </c>
      <c r="L40" s="4">
        <v>0</v>
      </c>
      <c r="O40" s="105">
        <f>502.033/10000000</f>
        <v>5.0203300000000001E-5</v>
      </c>
      <c r="P40" s="3"/>
    </row>
    <row r="41" spans="1:17" ht="10.5" x14ac:dyDescent="0.25">
      <c r="A41" s="8" t="s">
        <v>347</v>
      </c>
      <c r="B41" s="3" t="s">
        <v>95</v>
      </c>
      <c r="C41" s="4" t="s">
        <v>96</v>
      </c>
      <c r="D41" s="5">
        <f>10^4.35</f>
        <v>22387.211385683382</v>
      </c>
      <c r="E41" s="4" t="s">
        <v>130</v>
      </c>
      <c r="F41" s="5" t="s">
        <v>125</v>
      </c>
      <c r="G41" s="5" t="s">
        <v>125</v>
      </c>
      <c r="H41" s="101">
        <v>5.0000000000000001E-3</v>
      </c>
      <c r="I41" s="83">
        <f t="shared" si="1"/>
        <v>0.64360003544079136</v>
      </c>
      <c r="J41" s="5">
        <v>290.83</v>
      </c>
      <c r="K41" s="6">
        <f>0.000042*133.3224</f>
        <v>5.5995407999999995E-3</v>
      </c>
      <c r="L41" s="4">
        <v>1</v>
      </c>
      <c r="O41" s="105">
        <f>9906.038/10000000</f>
        <v>9.9060380000000011E-4</v>
      </c>
      <c r="P41" s="3"/>
    </row>
    <row r="42" spans="1:17" ht="31.5" x14ac:dyDescent="0.25">
      <c r="A42" s="8" t="s">
        <v>347</v>
      </c>
      <c r="B42" s="3" t="s">
        <v>46</v>
      </c>
      <c r="C42" s="4" t="s">
        <v>47</v>
      </c>
      <c r="D42" s="5">
        <f>10^2.75</f>
        <v>562.34132519034927</v>
      </c>
      <c r="E42" s="4" t="s">
        <v>124</v>
      </c>
      <c r="F42" s="5">
        <v>3.07</v>
      </c>
      <c r="G42" s="5" t="s">
        <v>125</v>
      </c>
      <c r="H42" s="100">
        <v>0.59</v>
      </c>
      <c r="I42" s="5">
        <v>1.3</v>
      </c>
      <c r="J42" s="5">
        <v>200.62</v>
      </c>
      <c r="K42" s="6">
        <f>0.0000059*133.3224</f>
        <v>7.8660215999999997E-4</v>
      </c>
      <c r="L42" s="4">
        <v>1</v>
      </c>
      <c r="O42" s="105">
        <f>273.691/10000000</f>
        <v>2.7369099999999999E-5</v>
      </c>
      <c r="P42" s="3"/>
      <c r="Q42" s="19" t="s">
        <v>129</v>
      </c>
    </row>
    <row r="43" spans="1:17" ht="10.5" x14ac:dyDescent="0.25">
      <c r="A43" s="8" t="s">
        <v>347</v>
      </c>
      <c r="B43" s="3" t="s">
        <v>97</v>
      </c>
      <c r="C43" s="4" t="s">
        <v>98</v>
      </c>
      <c r="D43" s="5">
        <f>10^6.24</f>
        <v>1737800.8287493798</v>
      </c>
      <c r="E43" s="5" t="s">
        <v>216</v>
      </c>
      <c r="F43" s="5">
        <v>6.3</v>
      </c>
      <c r="G43" s="5">
        <v>13.89</v>
      </c>
      <c r="H43" s="101">
        <v>5.0000000000000001E-3</v>
      </c>
      <c r="I43" s="83">
        <f t="shared" ref="I43:I62" si="2">(10^(0.616*LOG((1-H43)/H43)+0.203)*H43-1)*0.45+1</f>
        <v>0.64360003544079136</v>
      </c>
      <c r="J43" s="5">
        <v>492.71</v>
      </c>
      <c r="K43" s="6" t="s">
        <v>125</v>
      </c>
      <c r="L43" s="4">
        <v>0</v>
      </c>
      <c r="O43" s="105">
        <f>856.285/10000000</f>
        <v>8.5628499999999995E-5</v>
      </c>
      <c r="P43" s="3"/>
    </row>
    <row r="44" spans="1:17" ht="10.5" x14ac:dyDescent="0.25">
      <c r="A44" s="8" t="s">
        <v>347</v>
      </c>
      <c r="B44" s="3" t="s">
        <v>99</v>
      </c>
      <c r="C44" s="4" t="s">
        <v>100</v>
      </c>
      <c r="D44" s="5">
        <f>10^5.31</f>
        <v>204173.79446695308</v>
      </c>
      <c r="E44" s="5" t="s">
        <v>130</v>
      </c>
      <c r="F44" s="5" t="s">
        <v>125</v>
      </c>
      <c r="G44" s="5" t="s">
        <v>125</v>
      </c>
      <c r="H44" s="101">
        <v>5.0000000000000001E-3</v>
      </c>
      <c r="I44" s="83">
        <f t="shared" si="2"/>
        <v>0.64360003544079136</v>
      </c>
      <c r="J44" s="5">
        <v>345.23</v>
      </c>
      <c r="K44" s="6">
        <f>0.000000115*133.3224</f>
        <v>1.5332075999999999E-5</v>
      </c>
      <c r="L44" s="4">
        <v>1</v>
      </c>
      <c r="O44" s="105">
        <f>2882.9/10000000</f>
        <v>2.8829000000000002E-4</v>
      </c>
    </row>
    <row r="45" spans="1:17" ht="10.5" x14ac:dyDescent="0.25">
      <c r="A45" s="8" t="s">
        <v>347</v>
      </c>
      <c r="B45" s="3" t="s">
        <v>48</v>
      </c>
      <c r="C45" s="4" t="s">
        <v>49</v>
      </c>
      <c r="D45" s="5">
        <f>10^5.43</f>
        <v>269153.48039269145</v>
      </c>
      <c r="E45" s="5" t="s">
        <v>124</v>
      </c>
      <c r="F45" s="5">
        <v>-3.32</v>
      </c>
      <c r="G45" s="5" t="s">
        <v>125</v>
      </c>
      <c r="H45" s="100">
        <v>5.0000000000000001E-3</v>
      </c>
      <c r="I45" s="83">
        <f t="shared" si="2"/>
        <v>0.64360003544079136</v>
      </c>
      <c r="J45" s="5">
        <v>500.13</v>
      </c>
      <c r="K45" s="6">
        <f>0.002*133.3224</f>
        <v>0.26664479999999996</v>
      </c>
      <c r="L45" s="4">
        <v>1</v>
      </c>
      <c r="O45" s="105">
        <f>150.714/10000000</f>
        <v>1.5071399999999999E-5</v>
      </c>
    </row>
    <row r="46" spans="1:17" ht="10.5" x14ac:dyDescent="0.25">
      <c r="A46" s="8" t="s">
        <v>347</v>
      </c>
      <c r="B46" s="3" t="s">
        <v>50</v>
      </c>
      <c r="C46" s="4" t="s">
        <v>51</v>
      </c>
      <c r="D46" s="5">
        <f>10^5.11</f>
        <v>128824.95516931375</v>
      </c>
      <c r="E46" s="5" t="s">
        <v>124</v>
      </c>
      <c r="F46" s="5">
        <v>-4.2</v>
      </c>
      <c r="G46" s="5" t="s">
        <v>125</v>
      </c>
      <c r="H46" s="100">
        <v>5.0000000000000001E-3</v>
      </c>
      <c r="I46" s="83">
        <f t="shared" si="2"/>
        <v>0.64360003544079136</v>
      </c>
      <c r="J46" s="5">
        <v>414.07</v>
      </c>
      <c r="K46" s="6">
        <f>0.15*133.3224</f>
        <v>19.998359999999998</v>
      </c>
      <c r="L46" s="4">
        <v>1</v>
      </c>
      <c r="O46" s="105">
        <f>294.399/10000000</f>
        <v>2.9439899999999999E-5</v>
      </c>
    </row>
    <row r="47" spans="1:17" ht="10.5" x14ac:dyDescent="0.25">
      <c r="A47" s="8" t="s">
        <v>347</v>
      </c>
      <c r="B47" s="3" t="s">
        <v>101</v>
      </c>
      <c r="C47" s="4" t="s">
        <v>102</v>
      </c>
      <c r="D47" s="5">
        <f>10^5.7</f>
        <v>501187.23362727347</v>
      </c>
      <c r="E47" s="5" t="s">
        <v>130</v>
      </c>
      <c r="F47" s="5" t="s">
        <v>125</v>
      </c>
      <c r="G47" s="5" t="s">
        <v>125</v>
      </c>
      <c r="H47" s="101">
        <v>5.0000000000000001E-3</v>
      </c>
      <c r="I47" s="83">
        <f t="shared" si="2"/>
        <v>0.64360003544079136</v>
      </c>
      <c r="J47" s="5">
        <v>391.3</v>
      </c>
      <c r="K47" s="6">
        <f>0.0000000218*133.3224</f>
        <v>2.9064283199999996E-6</v>
      </c>
      <c r="L47" s="4">
        <v>1</v>
      </c>
      <c r="O47" s="105">
        <f>4762.878/10000000</f>
        <v>4.7628779999999999E-4</v>
      </c>
    </row>
    <row r="48" spans="1:17" ht="10.5" x14ac:dyDescent="0.25">
      <c r="A48" s="8" t="s">
        <v>347</v>
      </c>
      <c r="B48" s="3" t="s">
        <v>52</v>
      </c>
      <c r="C48" s="4" t="s">
        <v>53</v>
      </c>
      <c r="D48" s="5">
        <f>10^0.77</f>
        <v>5.8884365535558905</v>
      </c>
      <c r="E48" s="5" t="s">
        <v>124</v>
      </c>
      <c r="F48" s="5">
        <v>9.3000000000000007</v>
      </c>
      <c r="G48" s="5" t="s">
        <v>125</v>
      </c>
      <c r="H48" s="100">
        <v>0.84299999999999997</v>
      </c>
      <c r="I48" s="83">
        <f t="shared" si="2"/>
        <v>0.76498318282016931</v>
      </c>
      <c r="J48" s="5">
        <v>224.77</v>
      </c>
      <c r="K48" s="6" t="s">
        <v>125</v>
      </c>
      <c r="L48" s="4">
        <v>0</v>
      </c>
      <c r="O48" s="105">
        <f>342.805/10000000</f>
        <v>3.4280499999999998E-5</v>
      </c>
    </row>
    <row r="49" spans="1:17" ht="10.5" x14ac:dyDescent="0.25">
      <c r="A49" s="8" t="s">
        <v>347</v>
      </c>
      <c r="B49" s="3" t="s">
        <v>103</v>
      </c>
      <c r="C49" s="4" t="s">
        <v>104</v>
      </c>
      <c r="D49" s="5">
        <f>10^3.18</f>
        <v>1513.5612484362093</v>
      </c>
      <c r="E49" s="5" t="s">
        <v>124</v>
      </c>
      <c r="F49" s="5">
        <v>14.21</v>
      </c>
      <c r="G49" s="5" t="s">
        <v>125</v>
      </c>
      <c r="H49" s="100">
        <v>6.8000000000000005E-2</v>
      </c>
      <c r="I49" s="83">
        <f t="shared" si="2"/>
        <v>0.79493798358894052</v>
      </c>
      <c r="J49" s="5">
        <v>256.13</v>
      </c>
      <c r="K49" s="6" t="s">
        <v>125</v>
      </c>
      <c r="L49" s="4">
        <v>0</v>
      </c>
      <c r="O49" s="105">
        <f>4957.331/10000000</f>
        <v>4.9573309999999997E-4</v>
      </c>
    </row>
    <row r="50" spans="1:17" ht="10.5" x14ac:dyDescent="0.25">
      <c r="A50" s="8" t="s">
        <v>347</v>
      </c>
      <c r="B50" s="3" t="s">
        <v>54</v>
      </c>
      <c r="C50" s="4" t="s">
        <v>55</v>
      </c>
      <c r="D50" s="5">
        <f>10^3.89</f>
        <v>7762.4711662869322</v>
      </c>
      <c r="E50" s="5" t="s">
        <v>214</v>
      </c>
      <c r="F50" s="5" t="s">
        <v>391</v>
      </c>
      <c r="G50" s="5" t="s">
        <v>392</v>
      </c>
      <c r="H50" s="100">
        <v>2.7E-2</v>
      </c>
      <c r="I50" s="83">
        <f t="shared" si="2"/>
        <v>0.72641426873684556</v>
      </c>
      <c r="J50" s="5">
        <v>348.74</v>
      </c>
      <c r="K50" s="6" t="s">
        <v>125</v>
      </c>
      <c r="L50" s="4">
        <v>0</v>
      </c>
      <c r="O50" s="105">
        <f>320.324/10000000</f>
        <v>3.2032400000000002E-5</v>
      </c>
      <c r="P50" s="3"/>
    </row>
    <row r="51" spans="1:17" ht="21" x14ac:dyDescent="0.25">
      <c r="A51" s="8" t="s">
        <v>347</v>
      </c>
      <c r="B51" s="3" t="s">
        <v>105</v>
      </c>
      <c r="C51" s="4" t="s">
        <v>106</v>
      </c>
      <c r="D51" s="5">
        <f>10^2.43</f>
        <v>269.15348039269179</v>
      </c>
      <c r="E51" s="5" t="s">
        <v>214</v>
      </c>
      <c r="F51" s="5" t="s">
        <v>393</v>
      </c>
      <c r="G51" s="5" t="s">
        <v>394</v>
      </c>
      <c r="H51" s="100">
        <v>1.7000000000000001E-2</v>
      </c>
      <c r="I51" s="83">
        <f t="shared" si="2"/>
        <v>0.69863389766885442</v>
      </c>
      <c r="J51" s="5">
        <v>199.26</v>
      </c>
      <c r="K51" s="6">
        <f>0.0000165*133.3224</f>
        <v>2.1998195999999998E-3</v>
      </c>
      <c r="L51" s="4">
        <v>1</v>
      </c>
      <c r="O51" s="105">
        <f>4818.102/10000000</f>
        <v>4.8181020000000001E-4</v>
      </c>
      <c r="P51" s="3"/>
    </row>
    <row r="52" spans="1:17" ht="10.5" x14ac:dyDescent="0.25">
      <c r="A52" s="8" t="s">
        <v>347</v>
      </c>
      <c r="B52" s="3" t="s">
        <v>107</v>
      </c>
      <c r="C52" s="4" t="s">
        <v>108</v>
      </c>
      <c r="D52" s="5">
        <f>10^5.07</f>
        <v>117489.75549395311</v>
      </c>
      <c r="E52" s="5" t="s">
        <v>130</v>
      </c>
      <c r="F52" s="5" t="s">
        <v>125</v>
      </c>
      <c r="G52" s="5" t="s">
        <v>125</v>
      </c>
      <c r="H52" s="101">
        <v>5.0000000000000001E-3</v>
      </c>
      <c r="I52" s="83">
        <f t="shared" si="2"/>
        <v>0.64360003544079136</v>
      </c>
      <c r="J52" s="5">
        <v>338.45</v>
      </c>
      <c r="K52" s="6">
        <f>0.0000000113*133.3224</f>
        <v>1.5065431199999998E-6</v>
      </c>
      <c r="L52" s="4">
        <v>0</v>
      </c>
      <c r="O52" s="105">
        <f>5626.414/10000000</f>
        <v>5.6264139999999993E-4</v>
      </c>
      <c r="P52" s="3"/>
    </row>
    <row r="53" spans="1:17" ht="10.5" x14ac:dyDescent="0.25">
      <c r="A53" s="8" t="s">
        <v>347</v>
      </c>
      <c r="B53" s="3" t="s">
        <v>56</v>
      </c>
      <c r="C53" s="4" t="s">
        <v>57</v>
      </c>
      <c r="D53" s="5">
        <f>10^0.83</f>
        <v>6.7608297539198183</v>
      </c>
      <c r="E53" s="5" t="s">
        <v>214</v>
      </c>
      <c r="F53" s="5" t="s">
        <v>386</v>
      </c>
      <c r="G53" s="5" t="s">
        <v>395</v>
      </c>
      <c r="H53" s="100">
        <v>0.628</v>
      </c>
      <c r="I53" s="83">
        <f t="shared" si="2"/>
        <v>0.87665060578255982</v>
      </c>
      <c r="J53" s="5">
        <v>431.44</v>
      </c>
      <c r="K53" s="6" t="s">
        <v>125</v>
      </c>
      <c r="L53" s="4">
        <v>0</v>
      </c>
      <c r="O53" s="105">
        <f>83.596/10000000</f>
        <v>8.3596000000000004E-6</v>
      </c>
      <c r="P53" s="3"/>
    </row>
    <row r="54" spans="1:17" ht="10.5" x14ac:dyDescent="0.25">
      <c r="A54" s="8" t="s">
        <v>347</v>
      </c>
      <c r="B54" s="3" t="s">
        <v>109</v>
      </c>
      <c r="C54" s="4" t="s">
        <v>110</v>
      </c>
      <c r="D54" s="5">
        <f>10^4.06</f>
        <v>11481.536214968832</v>
      </c>
      <c r="E54" s="5" t="s">
        <v>130</v>
      </c>
      <c r="F54" s="5" t="s">
        <v>125</v>
      </c>
      <c r="G54" s="5" t="s">
        <v>125</v>
      </c>
      <c r="H54" s="100">
        <v>0.23699999999999999</v>
      </c>
      <c r="I54" s="83">
        <f t="shared" si="2"/>
        <v>0.89974458086912867</v>
      </c>
      <c r="J54" s="5">
        <v>302.42</v>
      </c>
      <c r="K54" s="6">
        <f>0.00012*133.3224</f>
        <v>1.5998688E-2</v>
      </c>
      <c r="L54" s="4">
        <v>1</v>
      </c>
      <c r="O54" s="105">
        <f>1286.833/10000000</f>
        <v>1.2868330000000001E-4</v>
      </c>
      <c r="P54" s="3"/>
    </row>
    <row r="55" spans="1:17" ht="10.5" x14ac:dyDescent="0.25">
      <c r="A55" s="8" t="s">
        <v>347</v>
      </c>
      <c r="B55" s="3" t="s">
        <v>58</v>
      </c>
      <c r="C55" s="4" t="s">
        <v>59</v>
      </c>
      <c r="D55" s="5">
        <f>10^1.78</f>
        <v>60.255958607435822</v>
      </c>
      <c r="E55" s="5" t="s">
        <v>215</v>
      </c>
      <c r="F55" s="5">
        <v>3.23</v>
      </c>
      <c r="G55" s="5" t="s">
        <v>125</v>
      </c>
      <c r="H55" s="100">
        <v>0.28399999999999997</v>
      </c>
      <c r="I55" s="83">
        <f t="shared" si="2"/>
        <v>0.91050656521060214</v>
      </c>
      <c r="J55" s="5">
        <v>201.66</v>
      </c>
      <c r="K55" s="6">
        <f>0.000000022*133.3224</f>
        <v>2.9330927999999996E-6</v>
      </c>
      <c r="L55" s="4">
        <v>1</v>
      </c>
      <c r="O55" s="105">
        <f>2274.746/10000000</f>
        <v>2.2747460000000001E-4</v>
      </c>
      <c r="P55" s="3"/>
    </row>
    <row r="56" spans="1:17" ht="10.5" x14ac:dyDescent="0.25">
      <c r="A56" s="8" t="s">
        <v>347</v>
      </c>
      <c r="B56" s="3" t="s">
        <v>60</v>
      </c>
      <c r="C56" s="4" t="s">
        <v>61</v>
      </c>
      <c r="D56" s="5">
        <f>10^3.86</f>
        <v>7244.3596007499036</v>
      </c>
      <c r="E56" s="5" t="s">
        <v>215</v>
      </c>
      <c r="F56" s="5">
        <v>2.2799999999999998</v>
      </c>
      <c r="G56" s="5" t="s">
        <v>125</v>
      </c>
      <c r="H56" s="100">
        <v>2.5000000000000001E-2</v>
      </c>
      <c r="I56" s="83">
        <f t="shared" si="2"/>
        <v>0.72149375921793402</v>
      </c>
      <c r="J56" s="5">
        <v>372.15</v>
      </c>
      <c r="K56" s="6">
        <f>0.00000135*133.3224</f>
        <v>1.7998523999999998E-4</v>
      </c>
      <c r="L56" s="4">
        <v>1</v>
      </c>
      <c r="O56" s="105">
        <f>3302.008/10000000</f>
        <v>3.302008E-4</v>
      </c>
      <c r="P56" s="3"/>
    </row>
    <row r="57" spans="1:17" ht="10.5" x14ac:dyDescent="0.25">
      <c r="A57" s="8" t="s">
        <v>347</v>
      </c>
      <c r="B57" s="3" t="s">
        <v>62</v>
      </c>
      <c r="C57" s="4" t="s">
        <v>63</v>
      </c>
      <c r="D57" s="5">
        <f>10^1.87</f>
        <v>74.131024130091816</v>
      </c>
      <c r="E57" s="5" t="s">
        <v>124</v>
      </c>
      <c r="F57" s="5">
        <v>8.93</v>
      </c>
      <c r="G57" s="5" t="s">
        <v>125</v>
      </c>
      <c r="H57" s="100">
        <v>2.8000000000000001E-2</v>
      </c>
      <c r="I57" s="83">
        <f t="shared" si="2"/>
        <v>0.72878192823408305</v>
      </c>
      <c r="J57" s="5">
        <v>220.25</v>
      </c>
      <c r="K57" s="6">
        <f>0.000000000023*133.3224</f>
        <v>3.0664152E-9</v>
      </c>
      <c r="L57" s="4">
        <v>0</v>
      </c>
      <c r="O57" s="105">
        <f>346.218/10000000</f>
        <v>3.4621800000000001E-5</v>
      </c>
      <c r="P57" s="3"/>
    </row>
    <row r="58" spans="1:17" ht="10.5" x14ac:dyDescent="0.25">
      <c r="A58" s="8" t="s">
        <v>347</v>
      </c>
      <c r="B58" s="3" t="s">
        <v>113</v>
      </c>
      <c r="C58" s="4" t="s">
        <v>114</v>
      </c>
      <c r="D58" s="5">
        <f>10^3.97</f>
        <v>9332.5430079699217</v>
      </c>
      <c r="E58" s="5" t="s">
        <v>215</v>
      </c>
      <c r="F58" s="5">
        <v>1.93</v>
      </c>
      <c r="G58" s="5" t="s">
        <v>125</v>
      </c>
      <c r="H58" s="100">
        <v>0.114</v>
      </c>
      <c r="I58" s="83">
        <f t="shared" si="2"/>
        <v>0.8395230527615144</v>
      </c>
      <c r="J58" s="5">
        <v>293.76</v>
      </c>
      <c r="K58" s="6">
        <f>0.000000015*133.3224</f>
        <v>1.9998359999999996E-6</v>
      </c>
      <c r="L58" s="4">
        <v>0</v>
      </c>
      <c r="O58" s="105">
        <f>1840.358/10000000</f>
        <v>1.8403579999999998E-4</v>
      </c>
      <c r="P58" s="3"/>
    </row>
    <row r="59" spans="1:17" ht="10.5" x14ac:dyDescent="0.25">
      <c r="A59" s="8" t="s">
        <v>347</v>
      </c>
      <c r="B59" s="3" t="s">
        <v>111</v>
      </c>
      <c r="C59" s="4" t="s">
        <v>112</v>
      </c>
      <c r="D59" s="5">
        <f>10^4.98</f>
        <v>95499.258602143804</v>
      </c>
      <c r="E59" s="5" t="s">
        <v>124</v>
      </c>
      <c r="F59" s="5">
        <v>7.68</v>
      </c>
      <c r="G59" s="5" t="s">
        <v>125</v>
      </c>
      <c r="H59" s="101">
        <v>5.0000000000000001E-3</v>
      </c>
      <c r="I59" s="83">
        <f t="shared" si="2"/>
        <v>0.64360003544079136</v>
      </c>
      <c r="J59" s="5">
        <v>289.55</v>
      </c>
      <c r="K59" s="6">
        <f>0.000000000103*133.3224</f>
        <v>1.37322072E-8</v>
      </c>
      <c r="L59" s="4">
        <v>0</v>
      </c>
      <c r="O59" s="105">
        <f>4735.757/10000000</f>
        <v>4.7357569999999997E-4</v>
      </c>
      <c r="P59" s="3"/>
    </row>
    <row r="60" spans="1:17" ht="10.5" x14ac:dyDescent="0.25">
      <c r="A60" s="8" t="s">
        <v>347</v>
      </c>
      <c r="B60" s="3" t="s">
        <v>64</v>
      </c>
      <c r="C60" s="4" t="s">
        <v>65</v>
      </c>
      <c r="D60" s="5">
        <f>10^3.58</f>
        <v>3801.8939632056172</v>
      </c>
      <c r="E60" s="5" t="s">
        <v>219</v>
      </c>
      <c r="F60" s="5">
        <v>3.52</v>
      </c>
      <c r="G60" s="5">
        <v>6.31</v>
      </c>
      <c r="H60" s="101">
        <v>5.0000000000000001E-3</v>
      </c>
      <c r="I60" s="83">
        <f t="shared" si="2"/>
        <v>0.64360003544079136</v>
      </c>
      <c r="J60" s="5">
        <v>345.75</v>
      </c>
      <c r="K60" s="6" t="s">
        <v>125</v>
      </c>
      <c r="L60" s="4">
        <v>0</v>
      </c>
      <c r="O60" s="105">
        <f>4048.406/10000000</f>
        <v>4.0484059999999999E-4</v>
      </c>
      <c r="P60" s="3"/>
    </row>
    <row r="61" spans="1:17" ht="21" x14ac:dyDescent="0.25">
      <c r="A61" s="8" t="s">
        <v>347</v>
      </c>
      <c r="B61" s="3" t="s">
        <v>115</v>
      </c>
      <c r="C61" s="4" t="s">
        <v>116</v>
      </c>
      <c r="D61" s="5">
        <f>10^3.35</f>
        <v>2238.7211385683418</v>
      </c>
      <c r="E61" s="5" t="s">
        <v>214</v>
      </c>
      <c r="F61" s="5" t="s">
        <v>377</v>
      </c>
      <c r="G61" s="5" t="s">
        <v>396</v>
      </c>
      <c r="H61" s="100">
        <v>0.13700000000000001</v>
      </c>
      <c r="I61" s="83">
        <f t="shared" si="2"/>
        <v>0.8557002977484669</v>
      </c>
      <c r="J61" s="5">
        <v>317.82</v>
      </c>
      <c r="K61" s="6" t="s">
        <v>125</v>
      </c>
      <c r="L61" s="4">
        <v>0</v>
      </c>
      <c r="O61" s="105">
        <f>3899.55/10000000</f>
        <v>3.8995500000000004E-4</v>
      </c>
      <c r="P61" s="3"/>
    </row>
    <row r="62" spans="1:17" ht="10.5" x14ac:dyDescent="0.25">
      <c r="A62" s="8" t="s">
        <v>347</v>
      </c>
      <c r="B62" s="3" t="s">
        <v>66</v>
      </c>
      <c r="C62" s="4" t="s">
        <v>67</v>
      </c>
      <c r="D62" s="5">
        <f>10^4.64</f>
        <v>43651.583224016598</v>
      </c>
      <c r="E62" s="5" t="s">
        <v>130</v>
      </c>
      <c r="F62" s="5" t="s">
        <v>125</v>
      </c>
      <c r="G62" s="5" t="s">
        <v>125</v>
      </c>
      <c r="H62" s="102">
        <v>0.01</v>
      </c>
      <c r="I62" s="83">
        <f t="shared" si="2"/>
        <v>0.67176537024868965</v>
      </c>
      <c r="J62" s="5">
        <v>336.65</v>
      </c>
      <c r="K62" s="6">
        <f>0.0000000066*133.3224</f>
        <v>8.7992784000000002E-7</v>
      </c>
      <c r="L62" s="4">
        <v>1</v>
      </c>
      <c r="O62" s="106">
        <f>3001.175/10000000</f>
        <v>3.0011750000000003E-4</v>
      </c>
      <c r="P62" s="3"/>
    </row>
    <row r="63" spans="1:17" ht="21" x14ac:dyDescent="0.25">
      <c r="A63" s="8" t="s">
        <v>348</v>
      </c>
      <c r="B63" s="3" t="s">
        <v>141</v>
      </c>
      <c r="C63" s="4" t="s">
        <v>210</v>
      </c>
      <c r="D63" s="5">
        <f>10^-0.67</f>
        <v>0.21379620895022314</v>
      </c>
      <c r="E63" s="5" t="s">
        <v>130</v>
      </c>
      <c r="F63" s="5" t="s">
        <v>125</v>
      </c>
      <c r="G63" s="5" t="s">
        <v>125</v>
      </c>
      <c r="H63" s="4"/>
      <c r="I63" s="83"/>
      <c r="J63" s="5">
        <v>71.08</v>
      </c>
      <c r="K63" s="6">
        <f>0.007*133.3224</f>
        <v>0.93325679999999989</v>
      </c>
      <c r="L63" s="4">
        <v>1</v>
      </c>
      <c r="O63" s="6">
        <v>2.6999999999999999E-5</v>
      </c>
      <c r="Q63" s="19" t="s">
        <v>407</v>
      </c>
    </row>
    <row r="64" spans="1:17" ht="10.5" x14ac:dyDescent="0.25">
      <c r="A64" s="8" t="s">
        <v>348</v>
      </c>
      <c r="B64" s="3" t="s">
        <v>156</v>
      </c>
      <c r="C64" s="5" t="s">
        <v>211</v>
      </c>
      <c r="D64" s="4">
        <f>10^4.7</f>
        <v>50118.723362727294</v>
      </c>
      <c r="E64" s="5" t="s">
        <v>130</v>
      </c>
      <c r="F64" s="5" t="s">
        <v>125</v>
      </c>
      <c r="G64" s="5" t="s">
        <v>125</v>
      </c>
      <c r="H64" s="4">
        <v>0.03</v>
      </c>
      <c r="I64" s="83">
        <f>(10^(0.616*LOG((1-H64)/H64)+0.203)*H64-1)*0.45+1</f>
        <v>0.73334896549516504</v>
      </c>
      <c r="J64" s="5">
        <v>350.59</v>
      </c>
      <c r="K64" s="6">
        <f>0.0000202*133.3224</f>
        <v>2.6931124799999999E-3</v>
      </c>
      <c r="L64" s="4">
        <v>0</v>
      </c>
      <c r="O64" s="6" t="s">
        <v>125</v>
      </c>
    </row>
    <row r="65" spans="1:17" ht="21" x14ac:dyDescent="0.25">
      <c r="A65" s="8" t="s">
        <v>348</v>
      </c>
      <c r="B65" s="3" t="s">
        <v>134</v>
      </c>
      <c r="C65" s="4" t="s">
        <v>138</v>
      </c>
      <c r="D65" s="5">
        <f>10^3.51</f>
        <v>3235.9365692962833</v>
      </c>
      <c r="E65" s="5" t="s">
        <v>124</v>
      </c>
      <c r="F65" s="5">
        <v>5</v>
      </c>
      <c r="G65" s="5" t="s">
        <v>125</v>
      </c>
      <c r="H65" s="11">
        <v>7.0000000000000001E-3</v>
      </c>
      <c r="I65" s="5">
        <v>0.55000000000000004</v>
      </c>
      <c r="J65" s="5">
        <v>308.33</v>
      </c>
      <c r="K65" s="6">
        <f>0.000000116*133.3224</f>
        <v>1.54653984E-5</v>
      </c>
      <c r="L65" s="4">
        <v>1</v>
      </c>
      <c r="M65" s="6">
        <f>0.06*0.55</f>
        <v>3.3000000000000002E-2</v>
      </c>
      <c r="N65" s="49" t="s">
        <v>372</v>
      </c>
      <c r="O65" s="6">
        <f>0.00002447</f>
        <v>2.4470000000000001E-5</v>
      </c>
      <c r="Q65" s="19" t="s">
        <v>301</v>
      </c>
    </row>
    <row r="66" spans="1:17" ht="10.5" x14ac:dyDescent="0.25">
      <c r="A66" s="8" t="s">
        <v>348</v>
      </c>
      <c r="B66" s="3" t="s">
        <v>135</v>
      </c>
      <c r="C66" s="4" t="s">
        <v>282</v>
      </c>
      <c r="D66" s="5">
        <f>10^2.15</f>
        <v>141.25375446227542</v>
      </c>
      <c r="E66" s="5" t="s">
        <v>216</v>
      </c>
      <c r="F66" s="5">
        <v>6.46</v>
      </c>
      <c r="G66" s="5">
        <v>14.71</v>
      </c>
      <c r="H66" s="11">
        <v>0.2</v>
      </c>
      <c r="I66" s="83">
        <f>(10^(0.616*LOG((1-H66)/H66)+0.203)*H66-1)*0.45+1</f>
        <v>0.88737388643483528</v>
      </c>
      <c r="J66" s="5">
        <v>252.27</v>
      </c>
      <c r="K66" s="6">
        <f>0.00000000012*133.3224</f>
        <v>1.5998688E-8</v>
      </c>
      <c r="L66" s="4">
        <v>0</v>
      </c>
      <c r="M66" s="6">
        <f>37*0.00006</f>
        <v>2.2200000000000002E-3</v>
      </c>
      <c r="N66" s="49" t="s">
        <v>373</v>
      </c>
      <c r="O66" s="6">
        <v>2.6699999999999998E-5</v>
      </c>
      <c r="Q66" s="19" t="s">
        <v>299</v>
      </c>
    </row>
    <row r="67" spans="1:17" ht="10.5" x14ac:dyDescent="0.25">
      <c r="A67" s="8" t="s">
        <v>348</v>
      </c>
      <c r="B67" s="3" t="s">
        <v>137</v>
      </c>
      <c r="C67" s="4" t="s">
        <v>283</v>
      </c>
      <c r="D67" s="5">
        <f>10^2.72</f>
        <v>524.80746024977293</v>
      </c>
      <c r="E67" s="5" t="s">
        <v>124</v>
      </c>
      <c r="F67" s="5">
        <v>4.5599999999999996</v>
      </c>
      <c r="G67" s="5" t="s">
        <v>125</v>
      </c>
      <c r="H67" s="11">
        <v>0.36599999999999999</v>
      </c>
      <c r="I67" s="5">
        <v>0.74</v>
      </c>
      <c r="J67" s="5">
        <v>166.2</v>
      </c>
      <c r="K67" s="36">
        <f>0.046*133.3224</f>
        <v>6.1328303999999996</v>
      </c>
      <c r="L67" s="4">
        <v>1</v>
      </c>
      <c r="O67" s="6">
        <f>0.000048</f>
        <v>4.8000000000000001E-5</v>
      </c>
      <c r="Q67" s="19" t="s">
        <v>300</v>
      </c>
    </row>
    <row r="68" spans="1:17" ht="21" x14ac:dyDescent="0.15">
      <c r="A68" s="8" t="s">
        <v>348</v>
      </c>
      <c r="B68" s="3" t="s">
        <v>274</v>
      </c>
      <c r="C68" s="4" t="s">
        <v>453</v>
      </c>
      <c r="D68" s="5">
        <f>10^2.8</f>
        <v>630.95734448019323</v>
      </c>
      <c r="E68" s="5" t="s">
        <v>215</v>
      </c>
      <c r="F68" s="5">
        <v>2.92</v>
      </c>
      <c r="G68" s="5" t="s">
        <v>125</v>
      </c>
      <c r="H68" s="11">
        <v>1.2E-2</v>
      </c>
      <c r="I68" s="5">
        <v>0.7</v>
      </c>
      <c r="J68" s="5">
        <v>284.74</v>
      </c>
      <c r="K68" s="6" t="s">
        <v>125</v>
      </c>
      <c r="L68" s="4">
        <v>0</v>
      </c>
      <c r="M68" s="6">
        <f>0.06*31.29</f>
        <v>1.8774</v>
      </c>
      <c r="N68" s="49" t="s">
        <v>401</v>
      </c>
      <c r="O68" s="6">
        <f>0.00004379</f>
        <v>4.3789999999999999E-5</v>
      </c>
      <c r="Q68" s="53" t="s">
        <v>402</v>
      </c>
    </row>
    <row r="69" spans="1:17" ht="10.5" x14ac:dyDescent="0.25">
      <c r="A69" s="8" t="s">
        <v>348</v>
      </c>
      <c r="B69" s="3" t="s">
        <v>286</v>
      </c>
      <c r="C69" s="4" t="s">
        <v>289</v>
      </c>
      <c r="D69" s="5">
        <f>10^2.92</f>
        <v>831.7637711026714</v>
      </c>
      <c r="E69" s="5" t="s">
        <v>130</v>
      </c>
      <c r="F69" s="5" t="s">
        <v>125</v>
      </c>
      <c r="G69" s="5" t="s">
        <v>125</v>
      </c>
      <c r="H69" s="11">
        <v>6.2E-2</v>
      </c>
      <c r="I69" s="5">
        <v>1.2829999999999999</v>
      </c>
      <c r="J69" s="5">
        <v>1202.6099999999999</v>
      </c>
      <c r="K69" s="6" t="s">
        <v>125</v>
      </c>
      <c r="L69" s="4">
        <v>0</v>
      </c>
      <c r="O69" s="6">
        <v>8.6000000000000002E-7</v>
      </c>
    </row>
    <row r="70" spans="1:17" ht="10.5" x14ac:dyDescent="0.25">
      <c r="A70" s="8" t="s">
        <v>348</v>
      </c>
      <c r="B70" s="3" t="s">
        <v>287</v>
      </c>
      <c r="C70" s="4" t="s">
        <v>288</v>
      </c>
      <c r="D70" s="5">
        <f>10^-0.49</f>
        <v>0.32359365692962827</v>
      </c>
      <c r="E70" s="5" t="s">
        <v>124</v>
      </c>
      <c r="F70" s="5">
        <v>3.57</v>
      </c>
      <c r="G70" s="5" t="s">
        <v>125</v>
      </c>
      <c r="J70" s="5">
        <v>90.08</v>
      </c>
      <c r="K70" s="6">
        <v>40.4</v>
      </c>
      <c r="L70" s="4">
        <v>1</v>
      </c>
      <c r="O70" s="4" t="s">
        <v>125</v>
      </c>
    </row>
    <row r="71" spans="1:17" ht="21" x14ac:dyDescent="0.25">
      <c r="A71" s="8" t="s">
        <v>349</v>
      </c>
      <c r="B71" s="3" t="s">
        <v>318</v>
      </c>
      <c r="C71" s="4" t="s">
        <v>333</v>
      </c>
      <c r="D71" s="5">
        <f>10^2.37</f>
        <v>234.42288153199232</v>
      </c>
      <c r="E71" s="4" t="s">
        <v>216</v>
      </c>
      <c r="F71" s="5">
        <v>1.42</v>
      </c>
      <c r="G71" s="5">
        <v>8.19</v>
      </c>
      <c r="H71" s="51">
        <v>0.35</v>
      </c>
      <c r="I71" s="5">
        <v>0.78</v>
      </c>
      <c r="J71" s="5">
        <v>308.77</v>
      </c>
      <c r="K71" s="6" t="s">
        <v>125</v>
      </c>
      <c r="L71" s="4">
        <v>0</v>
      </c>
      <c r="M71" s="6">
        <f>0.00006*33</f>
        <v>1.98E-3</v>
      </c>
      <c r="N71" s="49" t="s">
        <v>372</v>
      </c>
      <c r="O71" s="6">
        <f>255/10000000</f>
        <v>2.55E-5</v>
      </c>
      <c r="P71" s="3"/>
      <c r="Q71" s="19" t="s">
        <v>408</v>
      </c>
    </row>
    <row r="72" spans="1:17" ht="10.5" x14ac:dyDescent="0.25">
      <c r="A72" s="8" t="s">
        <v>349</v>
      </c>
      <c r="B72" s="3" t="s">
        <v>303</v>
      </c>
      <c r="C72" s="4" t="s">
        <v>334</v>
      </c>
      <c r="D72" s="5">
        <f>10^4.94</f>
        <v>87096.358995608287</v>
      </c>
      <c r="E72" s="4" t="s">
        <v>215</v>
      </c>
      <c r="F72" s="5">
        <v>5.8</v>
      </c>
      <c r="G72" s="5" t="s">
        <v>125</v>
      </c>
      <c r="H72" s="51">
        <v>0.02</v>
      </c>
      <c r="I72" s="83">
        <f>(10^(0.616*LOG((1-H72)/H72)+0.203)*H72-1)*0.45+1</f>
        <v>0.70790769522114005</v>
      </c>
      <c r="J72" s="5">
        <v>551.61</v>
      </c>
      <c r="K72" s="6" t="s">
        <v>125</v>
      </c>
      <c r="L72" s="4">
        <v>0</v>
      </c>
      <c r="M72" s="52">
        <f>0.06*40</f>
        <v>2.4</v>
      </c>
      <c r="N72" s="49" t="s">
        <v>373</v>
      </c>
      <c r="O72" s="6">
        <f>10^-5.98</f>
        <v>1.0471285480508979E-6</v>
      </c>
      <c r="P72" s="3"/>
      <c r="Q72" s="19" t="s">
        <v>299</v>
      </c>
    </row>
    <row r="73" spans="1:17" ht="10.5" x14ac:dyDescent="0.25">
      <c r="A73" s="8" t="s">
        <v>349</v>
      </c>
      <c r="B73" s="3" t="s">
        <v>314</v>
      </c>
      <c r="C73" s="4" t="s">
        <v>244</v>
      </c>
      <c r="D73" s="5">
        <f>10^-0.55</f>
        <v>0.28183829312644532</v>
      </c>
      <c r="E73" s="4" t="s">
        <v>130</v>
      </c>
      <c r="F73" s="5" t="s">
        <v>125</v>
      </c>
      <c r="G73" s="5" t="s">
        <v>125</v>
      </c>
      <c r="H73" s="51">
        <v>1</v>
      </c>
      <c r="I73" s="5">
        <v>0.8</v>
      </c>
      <c r="J73" s="5">
        <v>194.19</v>
      </c>
      <c r="K73" s="6">
        <f>0.0000000073*133.3224</f>
        <v>9.7325351999999981E-7</v>
      </c>
      <c r="L73" s="4">
        <v>0</v>
      </c>
      <c r="M73" s="6">
        <f>0.00006*1.4</f>
        <v>8.3999999999999995E-5</v>
      </c>
      <c r="N73" s="49" t="s">
        <v>372</v>
      </c>
      <c r="O73" s="6">
        <v>4.4579999999999997E-5</v>
      </c>
      <c r="P73" s="3"/>
      <c r="Q73" s="19" t="s">
        <v>299</v>
      </c>
    </row>
    <row r="74" spans="1:17" ht="10.5" x14ac:dyDescent="0.25">
      <c r="A74" s="8" t="s">
        <v>349</v>
      </c>
      <c r="B74" s="3" t="s">
        <v>316</v>
      </c>
      <c r="C74" s="4" t="s">
        <v>335</v>
      </c>
      <c r="D74" s="5">
        <f>10^3.96</f>
        <v>9120.1083935591087</v>
      </c>
      <c r="E74" s="4" t="s">
        <v>216</v>
      </c>
      <c r="F74" s="5">
        <v>3.76</v>
      </c>
      <c r="G74" s="5">
        <v>8.61</v>
      </c>
      <c r="H74" s="51">
        <v>1.7000000000000001E-2</v>
      </c>
      <c r="I74" s="83">
        <f>(10^(0.616*LOG((1-H74)/H74)+0.203)*H74-1)*0.45+1</f>
        <v>0.69863389766885442</v>
      </c>
      <c r="J74" s="5">
        <v>312.14999999999998</v>
      </c>
      <c r="K74" s="6">
        <f>0.000000061*133.3224</f>
        <v>8.1326663999999993E-6</v>
      </c>
      <c r="L74" s="4">
        <v>1</v>
      </c>
      <c r="M74" s="6">
        <f>0.00006*110</f>
        <v>6.6E-3</v>
      </c>
      <c r="N74" s="49" t="s">
        <v>372</v>
      </c>
      <c r="P74" s="3"/>
      <c r="Q74" s="19" t="s">
        <v>299</v>
      </c>
    </row>
    <row r="75" spans="1:17" ht="21" x14ac:dyDescent="0.25">
      <c r="A75" s="8" t="s">
        <v>349</v>
      </c>
      <c r="B75" s="3" t="s">
        <v>304</v>
      </c>
      <c r="C75" s="4" t="s">
        <v>336</v>
      </c>
      <c r="D75" s="5">
        <f>10^2.73</f>
        <v>537.03179637025301</v>
      </c>
      <c r="E75" s="4" t="s">
        <v>214</v>
      </c>
      <c r="F75" s="5" t="s">
        <v>397</v>
      </c>
      <c r="G75" s="5" t="s">
        <v>398</v>
      </c>
      <c r="H75" s="51">
        <v>0.19800000000000001</v>
      </c>
      <c r="I75" s="83">
        <f>(10^(0.616*LOG((1-H75)/H75)+0.203)*H75-1)*0.45+1</f>
        <v>0.88659166525969879</v>
      </c>
      <c r="J75" s="5">
        <v>414.52</v>
      </c>
      <c r="K75" s="36" t="s">
        <v>125</v>
      </c>
      <c r="L75" s="33">
        <v>0</v>
      </c>
      <c r="M75" s="52">
        <f>0.06*250</f>
        <v>15</v>
      </c>
      <c r="N75" s="49" t="s">
        <v>373</v>
      </c>
      <c r="O75" s="6">
        <f>10^-4.38</f>
        <v>4.1686938347033504E-5</v>
      </c>
      <c r="P75" s="3"/>
      <c r="Q75" s="19" t="s">
        <v>299</v>
      </c>
    </row>
    <row r="76" spans="1:17" ht="10.5" x14ac:dyDescent="0.25">
      <c r="A76" s="8" t="s">
        <v>349</v>
      </c>
      <c r="B76" s="3" t="s">
        <v>414</v>
      </c>
      <c r="C76" s="4" t="s">
        <v>337</v>
      </c>
      <c r="D76" s="5">
        <f>10^1.25</f>
        <v>17.782794100389236</v>
      </c>
      <c r="E76" s="4" t="s">
        <v>124</v>
      </c>
      <c r="F76" s="5">
        <v>8.41</v>
      </c>
      <c r="G76" s="5" t="s">
        <v>125</v>
      </c>
      <c r="H76" s="51">
        <v>0.62</v>
      </c>
      <c r="I76" s="83">
        <f>(10^(0.616*LOG((1-H76)/H76)+0.203)*H76-1)*0.45+1</f>
        <v>0.87933479551831228</v>
      </c>
      <c r="J76" s="5">
        <v>236.27</v>
      </c>
      <c r="K76" s="36" t="s">
        <v>125</v>
      </c>
      <c r="L76" s="33">
        <v>0</v>
      </c>
      <c r="M76" s="52">
        <f>0.06*330</f>
        <v>19.8</v>
      </c>
      <c r="N76" s="49" t="s">
        <v>373</v>
      </c>
      <c r="O76" s="4" t="s">
        <v>125</v>
      </c>
      <c r="P76" s="3"/>
      <c r="Q76" s="19" t="s">
        <v>299</v>
      </c>
    </row>
    <row r="77" spans="1:17" ht="10.5" x14ac:dyDescent="0.25">
      <c r="A77" s="8" t="s">
        <v>349</v>
      </c>
      <c r="B77" s="3" t="s">
        <v>315</v>
      </c>
      <c r="C77" s="4" t="s">
        <v>338</v>
      </c>
      <c r="D77" s="5">
        <f>10^3.84</f>
        <v>6918.3097091893687</v>
      </c>
      <c r="E77" s="4" t="s">
        <v>124</v>
      </c>
      <c r="F77" s="5">
        <v>4.8499999999999996</v>
      </c>
      <c r="G77" s="5" t="s">
        <v>125</v>
      </c>
      <c r="H77" s="51">
        <v>0.01</v>
      </c>
      <c r="I77" s="5">
        <v>0.55000000000000004</v>
      </c>
      <c r="J77" s="5">
        <v>206.28</v>
      </c>
      <c r="K77" s="6">
        <f>0.000047*133.3224</f>
        <v>6.2661527999999991E-3</v>
      </c>
      <c r="L77" s="4">
        <v>1</v>
      </c>
      <c r="M77" s="52">
        <f>0.06*29</f>
        <v>1.74</v>
      </c>
      <c r="N77" s="49" t="s">
        <v>373</v>
      </c>
      <c r="O77" s="6">
        <v>5.2500000000000002E-5</v>
      </c>
      <c r="P77" s="3"/>
      <c r="Q77" s="19" t="s">
        <v>299</v>
      </c>
    </row>
    <row r="78" spans="1:17" ht="10.5" x14ac:dyDescent="0.25">
      <c r="A78" s="8" t="s">
        <v>349</v>
      </c>
      <c r="B78" s="3" t="s">
        <v>306</v>
      </c>
      <c r="C78" s="4" t="s">
        <v>339</v>
      </c>
      <c r="D78" s="5">
        <f>10^4.28</f>
        <v>19054.607179632505</v>
      </c>
      <c r="E78" s="4" t="s">
        <v>215</v>
      </c>
      <c r="F78" s="5">
        <v>9.1999999999999993</v>
      </c>
      <c r="G78" s="5" t="s">
        <v>125</v>
      </c>
      <c r="H78" s="51">
        <v>0.107</v>
      </c>
      <c r="I78" s="5">
        <v>1.1000000000000001</v>
      </c>
      <c r="J78" s="5">
        <v>280.41000000000003</v>
      </c>
      <c r="K78" s="36" t="s">
        <v>125</v>
      </c>
      <c r="L78" s="33">
        <v>0</v>
      </c>
      <c r="M78" s="52">
        <f>0.00006*990</f>
        <v>5.9400000000000001E-2</v>
      </c>
      <c r="N78" s="49" t="s">
        <v>372</v>
      </c>
      <c r="O78" s="6">
        <v>1.4100000000000001E-5</v>
      </c>
      <c r="P78" s="3"/>
      <c r="Q78" s="19" t="s">
        <v>299</v>
      </c>
    </row>
    <row r="79" spans="1:17" ht="21" x14ac:dyDescent="0.25">
      <c r="A79" s="8" t="s">
        <v>349</v>
      </c>
      <c r="B79" s="3" t="s">
        <v>307</v>
      </c>
      <c r="C79" s="4" t="s">
        <v>451</v>
      </c>
      <c r="D79" s="5">
        <f>10^1.76</f>
        <v>57.543993733715695</v>
      </c>
      <c r="E79" s="4" t="s">
        <v>214</v>
      </c>
      <c r="F79" s="5" t="s">
        <v>399</v>
      </c>
      <c r="G79" s="5" t="s">
        <v>400</v>
      </c>
      <c r="H79" s="51">
        <v>1</v>
      </c>
      <c r="I79" s="5">
        <v>1</v>
      </c>
      <c r="J79" s="5">
        <v>267.36</v>
      </c>
      <c r="K79" s="6">
        <f>0.00000028*133.3224</f>
        <v>3.7330272000000001E-5</v>
      </c>
      <c r="L79" s="4">
        <v>1</v>
      </c>
      <c r="M79" s="52">
        <f>0.06*44</f>
        <v>2.6399999999999997</v>
      </c>
      <c r="N79" s="49" t="s">
        <v>373</v>
      </c>
      <c r="O79" s="6">
        <v>2.304E-5</v>
      </c>
      <c r="P79" s="3"/>
      <c r="Q79" s="19" t="s">
        <v>299</v>
      </c>
    </row>
    <row r="80" spans="1:17" ht="21" x14ac:dyDescent="0.25">
      <c r="A80" s="8" t="s">
        <v>349</v>
      </c>
      <c r="B80" s="3" t="s">
        <v>321</v>
      </c>
      <c r="C80" s="4" t="s">
        <v>340</v>
      </c>
      <c r="D80" s="5">
        <f>10^3.33</f>
        <v>2137.9620895022344</v>
      </c>
      <c r="E80" s="4" t="s">
        <v>219</v>
      </c>
      <c r="F80" s="5">
        <v>5.67</v>
      </c>
      <c r="G80" s="5">
        <v>7.42</v>
      </c>
      <c r="H80" s="51">
        <v>7.0000000000000007E-2</v>
      </c>
      <c r="I80" s="5">
        <v>0.8</v>
      </c>
      <c r="J80" s="5">
        <v>325.77</v>
      </c>
      <c r="K80" s="36" t="s">
        <v>125</v>
      </c>
      <c r="L80" s="33">
        <v>0</v>
      </c>
      <c r="M80" s="52">
        <f>0.00006*74</f>
        <v>4.4400000000000004E-3</v>
      </c>
      <c r="N80" s="49" t="s">
        <v>372</v>
      </c>
      <c r="O80" s="6">
        <f>324/10000000</f>
        <v>3.2400000000000001E-5</v>
      </c>
      <c r="P80" s="3"/>
      <c r="Q80" s="19" t="s">
        <v>408</v>
      </c>
    </row>
    <row r="81" spans="1:17" ht="10.5" x14ac:dyDescent="0.25">
      <c r="A81" s="8" t="s">
        <v>349</v>
      </c>
      <c r="B81" s="3" t="s">
        <v>309</v>
      </c>
      <c r="C81" s="4" t="s">
        <v>341</v>
      </c>
      <c r="D81" s="5">
        <f>10^3.56</f>
        <v>3630.7805477010188</v>
      </c>
      <c r="E81" s="4" t="s">
        <v>219</v>
      </c>
      <c r="F81" s="5">
        <v>5.42</v>
      </c>
      <c r="G81" s="5">
        <v>8.18</v>
      </c>
      <c r="H81" s="51">
        <v>8.4000000000000005E-2</v>
      </c>
      <c r="I81" s="5">
        <v>0.71</v>
      </c>
      <c r="J81" s="5">
        <v>479.53</v>
      </c>
      <c r="K81" s="36" t="s">
        <v>125</v>
      </c>
      <c r="L81" s="33">
        <v>0</v>
      </c>
      <c r="M81" s="52">
        <f>0.06*6700</f>
        <v>402</v>
      </c>
      <c r="N81" s="49" t="s">
        <v>373</v>
      </c>
      <c r="O81" s="6">
        <v>1.98E-5</v>
      </c>
      <c r="P81" s="3"/>
      <c r="Q81" s="19" t="s">
        <v>299</v>
      </c>
    </row>
    <row r="82" spans="1:17" ht="10.5" x14ac:dyDescent="0.25">
      <c r="A82" s="8" t="s">
        <v>349</v>
      </c>
      <c r="B82" s="3" t="s">
        <v>311</v>
      </c>
      <c r="C82" s="4" t="s">
        <v>342</v>
      </c>
      <c r="D82" s="5">
        <f>10^2.24</f>
        <v>173.78008287493768</v>
      </c>
      <c r="E82" s="4" t="s">
        <v>130</v>
      </c>
      <c r="F82" s="5" t="s">
        <v>125</v>
      </c>
      <c r="G82" s="5" t="s">
        <v>125</v>
      </c>
      <c r="H82" s="51">
        <v>1.2999999999999999E-2</v>
      </c>
      <c r="I82" s="83">
        <f>(10^(0.616*LOG((1-H82)/H82)+0.203)*H82-1)*0.45+1</f>
        <v>0.68442069208660183</v>
      </c>
      <c r="J82" s="5">
        <v>385.37</v>
      </c>
      <c r="K82" s="36" t="s">
        <v>125</v>
      </c>
      <c r="L82" s="33">
        <v>0</v>
      </c>
      <c r="M82" s="52">
        <f>0.06*36000</f>
        <v>2160</v>
      </c>
      <c r="N82" s="49" t="s">
        <v>373</v>
      </c>
      <c r="O82" s="4" t="s">
        <v>125</v>
      </c>
      <c r="P82" s="3"/>
      <c r="Q82" s="19" t="s">
        <v>299</v>
      </c>
    </row>
    <row r="83" spans="1:17" ht="10.5" x14ac:dyDescent="0.25">
      <c r="A83" s="8" t="s">
        <v>349</v>
      </c>
      <c r="B83" s="3" t="s">
        <v>326</v>
      </c>
      <c r="C83" s="4" t="s">
        <v>343</v>
      </c>
      <c r="D83" s="5">
        <f>10^2.35</f>
        <v>223.87211385683412</v>
      </c>
      <c r="E83" s="4" t="s">
        <v>215</v>
      </c>
      <c r="F83" s="5">
        <v>7.34</v>
      </c>
      <c r="G83" s="5" t="s">
        <v>125</v>
      </c>
      <c r="H83" s="51">
        <v>0.25</v>
      </c>
      <c r="I83" s="5">
        <v>0.83</v>
      </c>
      <c r="J83" s="5">
        <v>293.36</v>
      </c>
      <c r="K83" s="36" t="s">
        <v>125</v>
      </c>
      <c r="L83" s="33">
        <v>0</v>
      </c>
      <c r="M83" s="52">
        <f>0.00006*110</f>
        <v>6.6E-3</v>
      </c>
      <c r="N83" s="49" t="s">
        <v>372</v>
      </c>
      <c r="O83" s="6">
        <v>2.23E-5</v>
      </c>
      <c r="P83" s="3"/>
      <c r="Q83" s="19" t="s">
        <v>299</v>
      </c>
    </row>
    <row r="84" spans="1:17" ht="10.5" x14ac:dyDescent="0.25">
      <c r="A84" s="8" t="s">
        <v>349</v>
      </c>
      <c r="B84" s="3" t="s">
        <v>312</v>
      </c>
      <c r="C84" s="4" t="s">
        <v>344</v>
      </c>
      <c r="D84" s="5">
        <f>10^1.41</f>
        <v>25.703957827688647</v>
      </c>
      <c r="E84" s="4" t="s">
        <v>130</v>
      </c>
      <c r="F84" s="5" t="s">
        <v>125</v>
      </c>
      <c r="G84" s="5" t="s">
        <v>125</v>
      </c>
      <c r="H84" s="51">
        <v>1</v>
      </c>
      <c r="I84" s="5">
        <v>1.01</v>
      </c>
      <c r="J84" s="5">
        <v>179.22</v>
      </c>
      <c r="K84" s="6">
        <f>0.000000692*133.3224</f>
        <v>9.2259100799999992E-5</v>
      </c>
      <c r="L84" s="4">
        <v>1</v>
      </c>
      <c r="M84" s="52">
        <f>0.00006*78</f>
        <v>4.6800000000000001E-3</v>
      </c>
      <c r="N84" s="49" t="s">
        <v>372</v>
      </c>
      <c r="O84" s="6">
        <v>5.0599999999999997E-5</v>
      </c>
      <c r="P84" s="3"/>
      <c r="Q84" s="19" t="s">
        <v>299</v>
      </c>
    </row>
    <row r="85" spans="1:17" ht="21" x14ac:dyDescent="0.25">
      <c r="A85" s="8" t="s">
        <v>349</v>
      </c>
      <c r="B85" s="3" t="s">
        <v>324</v>
      </c>
      <c r="C85" s="4" t="s">
        <v>345</v>
      </c>
      <c r="D85" s="5">
        <f>10^2.3</f>
        <v>199.52623149688802</v>
      </c>
      <c r="E85" s="4" t="s">
        <v>124</v>
      </c>
      <c r="F85" s="5">
        <v>4.33</v>
      </c>
      <c r="G85" s="5" t="s">
        <v>125</v>
      </c>
      <c r="H85" s="51">
        <v>0.08</v>
      </c>
      <c r="I85" s="5">
        <v>0.55000000000000004</v>
      </c>
      <c r="J85" s="5">
        <v>270.35000000000002</v>
      </c>
      <c r="K85" s="36" t="s">
        <v>125</v>
      </c>
      <c r="L85" s="33">
        <v>0</v>
      </c>
      <c r="M85" s="52">
        <f>0.00006*1.6</f>
        <v>9.6000000000000002E-5</v>
      </c>
      <c r="N85" s="49" t="s">
        <v>372</v>
      </c>
      <c r="O85" s="6">
        <f>10^-4.28</f>
        <v>5.2480746024977172E-5</v>
      </c>
      <c r="P85" s="3"/>
      <c r="Q85" s="19" t="s">
        <v>409</v>
      </c>
    </row>
    <row r="86" spans="1:17" s="32" customFormat="1" ht="21" x14ac:dyDescent="0.25">
      <c r="A86" s="31" t="s">
        <v>350</v>
      </c>
      <c r="B86" s="32" t="s">
        <v>146</v>
      </c>
      <c r="C86" s="33" t="s">
        <v>248</v>
      </c>
      <c r="D86" s="34">
        <f>10^0.38</f>
        <v>2.3988329190194908</v>
      </c>
      <c r="E86" s="34" t="s">
        <v>215</v>
      </c>
      <c r="F86" s="34">
        <v>0.37</v>
      </c>
      <c r="G86" s="34" t="s">
        <v>125</v>
      </c>
      <c r="H86" s="35">
        <v>1</v>
      </c>
      <c r="I86" s="83">
        <f>(10^(0.616*LOG((1-0.999)/0.999)+0.203)*0.999-1)*0.45+1</f>
        <v>0.56018698487285756</v>
      </c>
      <c r="J86" s="34">
        <v>188.23</v>
      </c>
      <c r="K86" s="36" t="s">
        <v>125</v>
      </c>
      <c r="L86" s="33">
        <v>0</v>
      </c>
      <c r="M86" s="36">
        <f>0.00006*0.8</f>
        <v>4.8000000000000001E-5</v>
      </c>
      <c r="N86" s="50" t="s">
        <v>372</v>
      </c>
      <c r="O86" s="52">
        <v>4.1510000000000001E-5</v>
      </c>
      <c r="Q86" s="37" t="s">
        <v>302</v>
      </c>
    </row>
    <row r="87" spans="1:17" s="108" customFormat="1" ht="10.5" x14ac:dyDescent="0.25">
      <c r="A87" s="107" t="s">
        <v>350</v>
      </c>
      <c r="B87" s="108" t="s">
        <v>139</v>
      </c>
      <c r="C87" s="109" t="s">
        <v>247</v>
      </c>
      <c r="D87" s="110">
        <f>10^-0.27</f>
        <v>0.53703179637025267</v>
      </c>
      <c r="E87" s="110" t="s">
        <v>130</v>
      </c>
      <c r="F87" s="110" t="s">
        <v>125</v>
      </c>
      <c r="G87" s="110" t="s">
        <v>125</v>
      </c>
      <c r="H87" s="111">
        <v>0.93</v>
      </c>
      <c r="I87" s="112">
        <f>(10^(0.616*LOG((1-H87)/H87)+0.203)*H87-1)*0.45+1</f>
        <v>0.68573453475168122</v>
      </c>
      <c r="J87" s="110">
        <v>114.14</v>
      </c>
      <c r="K87" s="113">
        <v>57.32</v>
      </c>
      <c r="L87" s="109">
        <v>1</v>
      </c>
      <c r="M87" s="113"/>
      <c r="N87" s="114"/>
      <c r="O87" s="115"/>
      <c r="Q87" s="116"/>
    </row>
    <row r="88" spans="1:17" s="108" customFormat="1" ht="10.5" x14ac:dyDescent="0.25">
      <c r="A88" s="107" t="s">
        <v>350</v>
      </c>
      <c r="B88" s="108" t="s">
        <v>140</v>
      </c>
      <c r="C88" s="109" t="s">
        <v>243</v>
      </c>
      <c r="D88" s="110">
        <f>10^1.19</f>
        <v>15.488166189124817</v>
      </c>
      <c r="E88" s="110" t="s">
        <v>124</v>
      </c>
      <c r="F88" s="110">
        <v>3.41</v>
      </c>
      <c r="G88" s="110" t="s">
        <v>125</v>
      </c>
      <c r="H88" s="117">
        <v>8.5000000000000006E-2</v>
      </c>
      <c r="I88" s="112">
        <f>(10^(0.616*LOG((1-H88)/H88)+0.203)*H88-1)*0.45+1</f>
        <v>0.81384251323327539</v>
      </c>
      <c r="J88" s="110">
        <v>180.16</v>
      </c>
      <c r="K88" s="113">
        <f>0.000025*133.3224</f>
        <v>3.3330599999999997E-3</v>
      </c>
      <c r="L88" s="109">
        <v>1</v>
      </c>
      <c r="M88" s="113"/>
      <c r="N88" s="114"/>
      <c r="O88" s="118">
        <v>1.222E-5</v>
      </c>
      <c r="Q88" s="116" t="s">
        <v>231</v>
      </c>
    </row>
    <row r="89" spans="1:17" s="108" customFormat="1" ht="10.5" x14ac:dyDescent="0.25">
      <c r="A89" s="107" t="s">
        <v>350</v>
      </c>
      <c r="B89" s="108" t="s">
        <v>141</v>
      </c>
      <c r="C89" s="109" t="s">
        <v>210</v>
      </c>
      <c r="D89" s="110">
        <f>10^-0.67</f>
        <v>0.21379620895022314</v>
      </c>
      <c r="E89" s="110" t="s">
        <v>214</v>
      </c>
      <c r="F89" s="110">
        <v>0.83</v>
      </c>
      <c r="G89" s="110">
        <v>16.7</v>
      </c>
      <c r="H89" s="117" t="s">
        <v>226</v>
      </c>
      <c r="I89" s="112">
        <f>(10^(0.616*LOG((1-0.75)/0.75)+0.203)*0.75-1)*0.45+1</f>
        <v>0.823758166971303</v>
      </c>
      <c r="J89" s="110">
        <v>71.08</v>
      </c>
      <c r="K89" s="113">
        <f>0.007*133.3224</f>
        <v>0.93325679999999989</v>
      </c>
      <c r="L89" s="109">
        <v>0</v>
      </c>
      <c r="M89" s="113"/>
      <c r="N89" s="114"/>
      <c r="O89" s="113">
        <v>2.6999999999999999E-5</v>
      </c>
      <c r="Q89" s="116" t="s">
        <v>232</v>
      </c>
    </row>
    <row r="90" spans="1:17" s="108" customFormat="1" ht="10.5" x14ac:dyDescent="0.25">
      <c r="A90" s="107" t="s">
        <v>350</v>
      </c>
      <c r="B90" s="108" t="s">
        <v>148</v>
      </c>
      <c r="C90" s="109" t="s">
        <v>249</v>
      </c>
      <c r="D90" s="110">
        <f>10^5.76</f>
        <v>575439.93733715697</v>
      </c>
      <c r="E90" s="110" t="s">
        <v>130</v>
      </c>
      <c r="F90" s="110" t="s">
        <v>125</v>
      </c>
      <c r="G90" s="110" t="s">
        <v>125</v>
      </c>
      <c r="H90" s="111">
        <v>0.01</v>
      </c>
      <c r="I90" s="112">
        <f>(10^(0.616*LOG((1-H90)/H90)+0.203)*H90-1)*0.45+1</f>
        <v>0.67176537024868965</v>
      </c>
      <c r="J90" s="110">
        <v>228.29</v>
      </c>
      <c r="K90" s="113">
        <f>0.0000019*133.3224</f>
        <v>2.5331255999999999E-4</v>
      </c>
      <c r="L90" s="109">
        <v>1</v>
      </c>
      <c r="M90" s="113"/>
      <c r="N90" s="114"/>
      <c r="O90" s="113"/>
      <c r="Q90" s="116"/>
    </row>
    <row r="91" spans="1:17" s="108" customFormat="1" ht="10.5" x14ac:dyDescent="0.25">
      <c r="A91" s="107" t="s">
        <v>350</v>
      </c>
      <c r="B91" s="108" t="s">
        <v>149</v>
      </c>
      <c r="C91" s="109" t="s">
        <v>250</v>
      </c>
      <c r="D91" s="110">
        <f>10^2.13</f>
        <v>134.89628825916537</v>
      </c>
      <c r="E91" s="110" t="s">
        <v>130</v>
      </c>
      <c r="F91" s="110" t="s">
        <v>125</v>
      </c>
      <c r="G91" s="110" t="s">
        <v>125</v>
      </c>
      <c r="H91" s="111">
        <v>0.46</v>
      </c>
      <c r="I91" s="112">
        <f>(10^(0.616*LOG((1-H91)/H91)+0.203)*H91-1)*0.45+1</f>
        <v>0.91464148557996838</v>
      </c>
      <c r="J91" s="110">
        <v>78.12</v>
      </c>
      <c r="K91" s="113">
        <f>94.8*133.3224</f>
        <v>12638.963519999999</v>
      </c>
      <c r="L91" s="109">
        <v>1</v>
      </c>
      <c r="M91" s="113"/>
      <c r="N91" s="114"/>
      <c r="O91" s="113"/>
      <c r="Q91" s="116"/>
    </row>
    <row r="92" spans="1:17" s="108" customFormat="1" ht="10.5" x14ac:dyDescent="0.25">
      <c r="A92" s="107" t="s">
        <v>350</v>
      </c>
      <c r="B92" s="108" t="s">
        <v>150</v>
      </c>
      <c r="C92" s="109" t="s">
        <v>71</v>
      </c>
      <c r="D92" s="110">
        <f>10^3.32</f>
        <v>2089.2961308540398</v>
      </c>
      <c r="E92" s="110" t="s">
        <v>216</v>
      </c>
      <c r="F92" s="110">
        <v>9.7799999999999994</v>
      </c>
      <c r="G92" s="110">
        <v>10.39</v>
      </c>
      <c r="H92" s="117">
        <v>0.05</v>
      </c>
      <c r="I92" s="112">
        <f>(10^(0.616*LOG((1-H92)/H92)+0.203)*H92-1)*0.45+1</f>
        <v>0.77023925854574404</v>
      </c>
      <c r="J92" s="110">
        <v>228.29</v>
      </c>
      <c r="K92" s="113">
        <f>0.00000039*133.3224</f>
        <v>5.1995735999999999E-5</v>
      </c>
      <c r="L92" s="109">
        <v>1</v>
      </c>
      <c r="M92" s="113"/>
      <c r="N92" s="114"/>
      <c r="O92" s="113">
        <f>908.396/10000000</f>
        <v>9.083959999999999E-5</v>
      </c>
      <c r="Q92" s="116" t="s">
        <v>233</v>
      </c>
    </row>
    <row r="93" spans="1:17" s="108" customFormat="1" ht="21" x14ac:dyDescent="0.25">
      <c r="A93" s="107" t="s">
        <v>350</v>
      </c>
      <c r="B93" s="108" t="s">
        <v>154</v>
      </c>
      <c r="C93" s="109" t="s">
        <v>245</v>
      </c>
      <c r="D93" s="110">
        <f>10^1.52</f>
        <v>33.113112148259127</v>
      </c>
      <c r="E93" s="110" t="s">
        <v>214</v>
      </c>
      <c r="F93" s="110" t="s">
        <v>220</v>
      </c>
      <c r="G93" s="110" t="s">
        <v>221</v>
      </c>
      <c r="H93" s="117" t="s">
        <v>227</v>
      </c>
      <c r="I93" s="112">
        <f>(10^(0.616*LOG((1-0.33)/0.33)+0.203)*0.33-1)*0.45+1</f>
        <v>0.91659281192299991</v>
      </c>
      <c r="J93" s="110">
        <v>191.19</v>
      </c>
      <c r="K93" s="113">
        <f>0.00000000075*133.3224</f>
        <v>9.9991799999999989E-8</v>
      </c>
      <c r="L93" s="109">
        <v>0</v>
      </c>
      <c r="M93" s="113"/>
      <c r="N93" s="114"/>
      <c r="O93" s="113"/>
      <c r="Q93" s="116" t="s">
        <v>234</v>
      </c>
    </row>
    <row r="94" spans="1:17" s="108" customFormat="1" ht="10.5" x14ac:dyDescent="0.25">
      <c r="A94" s="107" t="s">
        <v>350</v>
      </c>
      <c r="B94" s="108" t="s">
        <v>156</v>
      </c>
      <c r="C94" s="109" t="s">
        <v>211</v>
      </c>
      <c r="D94" s="110">
        <f>10^4.96</f>
        <v>91201.083935591028</v>
      </c>
      <c r="E94" s="110" t="s">
        <v>130</v>
      </c>
      <c r="F94" s="110" t="s">
        <v>125</v>
      </c>
      <c r="G94" s="110" t="s">
        <v>125</v>
      </c>
      <c r="H94" s="117">
        <v>0.01</v>
      </c>
      <c r="I94" s="112">
        <f t="shared" ref="I94:I100" si="3">(10^(0.616*LOG((1-H94)/H94)+0.203)*H94-1)*0.45+1</f>
        <v>0.67176537024868965</v>
      </c>
      <c r="J94" s="110">
        <v>350.59</v>
      </c>
      <c r="K94" s="113">
        <f>0.0000202*133.3224</f>
        <v>2.6931124799999999E-3</v>
      </c>
      <c r="L94" s="109">
        <v>1</v>
      </c>
      <c r="M94" s="113"/>
      <c r="N94" s="114"/>
      <c r="O94" s="113"/>
      <c r="Q94" s="116" t="s">
        <v>235</v>
      </c>
    </row>
    <row r="95" spans="1:17" s="108" customFormat="1" ht="10.5" x14ac:dyDescent="0.25">
      <c r="A95" s="107" t="s">
        <v>350</v>
      </c>
      <c r="B95" s="108" t="s">
        <v>158</v>
      </c>
      <c r="C95" s="109" t="s">
        <v>251</v>
      </c>
      <c r="D95" s="119">
        <f>10^6.2</f>
        <v>1584893.1924611153</v>
      </c>
      <c r="E95" s="110" t="s">
        <v>124</v>
      </c>
      <c r="F95" s="110">
        <v>10.62</v>
      </c>
      <c r="G95" s="110" t="s">
        <v>125</v>
      </c>
      <c r="H95" s="111">
        <v>0.01</v>
      </c>
      <c r="I95" s="112">
        <f t="shared" si="3"/>
        <v>0.67176537024868965</v>
      </c>
      <c r="J95" s="110">
        <v>505.2</v>
      </c>
      <c r="K95" s="113">
        <f>0.000000015*133.3224</f>
        <v>1.9998359999999996E-6</v>
      </c>
      <c r="L95" s="109">
        <v>0</v>
      </c>
      <c r="M95" s="113"/>
      <c r="N95" s="114"/>
      <c r="O95" s="113"/>
      <c r="Q95" s="116"/>
    </row>
    <row r="96" spans="1:17" s="108" customFormat="1" ht="10.5" x14ac:dyDescent="0.25">
      <c r="A96" s="107" t="s">
        <v>350</v>
      </c>
      <c r="B96" s="108" t="s">
        <v>159</v>
      </c>
      <c r="C96" s="109" t="s">
        <v>252</v>
      </c>
      <c r="D96" s="119">
        <f>10^-1.13</f>
        <v>7.4131024130091761E-2</v>
      </c>
      <c r="E96" s="110" t="s">
        <v>216</v>
      </c>
      <c r="F96" s="110">
        <v>14.82</v>
      </c>
      <c r="G96" s="110">
        <v>15.42</v>
      </c>
      <c r="H96" s="111">
        <v>0.97</v>
      </c>
      <c r="I96" s="112">
        <f t="shared" si="3"/>
        <v>0.63185393318358418</v>
      </c>
      <c r="J96" s="110">
        <v>106.12</v>
      </c>
      <c r="K96" s="113">
        <f>0.0057*133.3224</f>
        <v>0.75993767999999995</v>
      </c>
      <c r="L96" s="109">
        <v>1</v>
      </c>
      <c r="M96" s="113"/>
      <c r="N96" s="114"/>
      <c r="O96" s="113"/>
      <c r="Q96" s="116"/>
    </row>
    <row r="97" spans="1:17" s="108" customFormat="1" ht="10.5" x14ac:dyDescent="0.25">
      <c r="A97" s="107" t="s">
        <v>350</v>
      </c>
      <c r="B97" s="108" t="s">
        <v>164</v>
      </c>
      <c r="C97" s="109" t="s">
        <v>253</v>
      </c>
      <c r="D97" s="119">
        <f>10^1.67</f>
        <v>46.773514128719818</v>
      </c>
      <c r="E97" s="110" t="s">
        <v>130</v>
      </c>
      <c r="F97" s="110" t="s">
        <v>125</v>
      </c>
      <c r="G97" s="110" t="s">
        <v>125</v>
      </c>
      <c r="H97" s="111">
        <v>0.59</v>
      </c>
      <c r="I97" s="112">
        <f t="shared" si="3"/>
        <v>0.88860591624177043</v>
      </c>
      <c r="J97" s="110">
        <v>344.05</v>
      </c>
      <c r="K97" s="113" t="s">
        <v>405</v>
      </c>
      <c r="L97" s="109">
        <v>0</v>
      </c>
      <c r="M97" s="113"/>
      <c r="N97" s="114"/>
      <c r="O97" s="113"/>
      <c r="Q97" s="116"/>
    </row>
    <row r="98" spans="1:17" s="108" customFormat="1" ht="52.5" x14ac:dyDescent="0.25">
      <c r="A98" s="107" t="s">
        <v>350</v>
      </c>
      <c r="B98" s="108" t="s">
        <v>165</v>
      </c>
      <c r="C98" s="109" t="s">
        <v>254</v>
      </c>
      <c r="D98" s="119">
        <f>10^-0.07</f>
        <v>0.85113803820237643</v>
      </c>
      <c r="E98" s="110" t="s">
        <v>217</v>
      </c>
      <c r="F98" s="110" t="s">
        <v>222</v>
      </c>
      <c r="G98" s="110" t="s">
        <v>223</v>
      </c>
      <c r="H98" s="111">
        <v>0.92</v>
      </c>
      <c r="I98" s="112">
        <f t="shared" si="3"/>
        <v>0.69676093551412221</v>
      </c>
      <c r="J98" s="110">
        <v>311.33</v>
      </c>
      <c r="K98" s="113" t="s">
        <v>125</v>
      </c>
      <c r="L98" s="109">
        <v>0</v>
      </c>
      <c r="M98" s="113"/>
      <c r="N98" s="114"/>
      <c r="O98" s="113"/>
      <c r="Q98" s="116"/>
    </row>
    <row r="99" spans="1:17" s="108" customFormat="1" ht="10.5" x14ac:dyDescent="0.25">
      <c r="A99" s="107" t="s">
        <v>350</v>
      </c>
      <c r="B99" s="108" t="s">
        <v>167</v>
      </c>
      <c r="C99" s="109" t="s">
        <v>255</v>
      </c>
      <c r="D99" s="119">
        <f>10^3.83</f>
        <v>6760.8297539198229</v>
      </c>
      <c r="E99" s="109" t="s">
        <v>130</v>
      </c>
      <c r="F99" s="110" t="s">
        <v>125</v>
      </c>
      <c r="G99" s="110" t="s">
        <v>125</v>
      </c>
      <c r="H99" s="111">
        <v>0.11</v>
      </c>
      <c r="I99" s="112">
        <f t="shared" si="3"/>
        <v>0.83637265700101482</v>
      </c>
      <c r="J99" s="110">
        <v>406.93</v>
      </c>
      <c r="K99" s="113">
        <f>0.000000173*133.3224</f>
        <v>2.3064775199999998E-5</v>
      </c>
      <c r="L99" s="109">
        <v>1</v>
      </c>
      <c r="M99" s="113"/>
      <c r="N99" s="114"/>
      <c r="O99" s="113"/>
      <c r="Q99" s="116"/>
    </row>
    <row r="100" spans="1:17" s="108" customFormat="1" ht="10.5" x14ac:dyDescent="0.25">
      <c r="A100" s="107" t="s">
        <v>350</v>
      </c>
      <c r="B100" s="108" t="s">
        <v>168</v>
      </c>
      <c r="C100" s="109" t="s">
        <v>256</v>
      </c>
      <c r="D100" s="119">
        <f>10^3.35</f>
        <v>2238.7211385683418</v>
      </c>
      <c r="E100" s="109" t="s">
        <v>124</v>
      </c>
      <c r="F100" s="110">
        <v>13.17</v>
      </c>
      <c r="G100" s="110" t="s">
        <v>125</v>
      </c>
      <c r="H100" s="111">
        <v>0.17</v>
      </c>
      <c r="I100" s="112">
        <f t="shared" si="3"/>
        <v>0.87423284308222748</v>
      </c>
      <c r="J100" s="110">
        <v>276.20999999999998</v>
      </c>
      <c r="K100" s="113"/>
      <c r="L100" s="109"/>
      <c r="M100" s="113"/>
      <c r="N100" s="114"/>
      <c r="O100" s="113"/>
      <c r="Q100" s="116"/>
    </row>
    <row r="101" spans="1:17" s="108" customFormat="1" ht="10.5" x14ac:dyDescent="0.25">
      <c r="A101" s="107" t="s">
        <v>350</v>
      </c>
      <c r="B101" s="108" t="s">
        <v>212</v>
      </c>
      <c r="C101" s="109" t="s">
        <v>257</v>
      </c>
      <c r="D101" s="119">
        <f>10^2.32</f>
        <v>208.92961308540396</v>
      </c>
      <c r="E101" s="109" t="s">
        <v>218</v>
      </c>
      <c r="F101" s="110">
        <v>6.61</v>
      </c>
      <c r="G101" s="110" t="s">
        <v>224</v>
      </c>
      <c r="H101" s="120" t="s">
        <v>228</v>
      </c>
      <c r="I101" s="112">
        <f>(10^(0.616*LOG((1-0.01)/0.01)+0.203)*0.01-1)*0.45+1</f>
        <v>0.67176537024868965</v>
      </c>
      <c r="J101" s="110">
        <v>270.24</v>
      </c>
      <c r="K101" s="113">
        <f>0.0000000000052*133.3224</f>
        <v>6.9327647999999984E-10</v>
      </c>
      <c r="L101" s="109">
        <v>0</v>
      </c>
      <c r="M101" s="113"/>
      <c r="N101" s="114"/>
      <c r="O101" s="113"/>
      <c r="Q101" s="116" t="s">
        <v>236</v>
      </c>
    </row>
    <row r="102" spans="1:17" s="108" customFormat="1" ht="10.5" x14ac:dyDescent="0.25">
      <c r="A102" s="107" t="s">
        <v>350</v>
      </c>
      <c r="B102" s="108" t="s">
        <v>173</v>
      </c>
      <c r="C102" s="109" t="s">
        <v>258</v>
      </c>
      <c r="D102" s="119">
        <f>10^-1.21</f>
        <v>6.1659500186148221E-2</v>
      </c>
      <c r="E102" s="109" t="s">
        <v>124</v>
      </c>
      <c r="F102" s="110">
        <v>15.25</v>
      </c>
      <c r="G102" s="110" t="s">
        <v>125</v>
      </c>
      <c r="H102" s="111">
        <v>0.98</v>
      </c>
      <c r="I102" s="112">
        <f>(10^(0.616*LOG((1-H102)/H102)+0.203)*H102-1)*0.45+1</f>
        <v>0.61401441841294613</v>
      </c>
      <c r="J102" s="110">
        <v>87.08</v>
      </c>
      <c r="K102" s="113">
        <f>0.586*133.3224</f>
        <v>78.126926399999988</v>
      </c>
      <c r="L102" s="109">
        <v>1</v>
      </c>
      <c r="M102" s="113"/>
      <c r="N102" s="114"/>
      <c r="O102" s="113"/>
      <c r="Q102" s="116"/>
    </row>
    <row r="103" spans="1:17" s="108" customFormat="1" ht="42" x14ac:dyDescent="0.25">
      <c r="A103" s="107" t="s">
        <v>350</v>
      </c>
      <c r="B103" s="108" t="s">
        <v>174</v>
      </c>
      <c r="C103" s="109" t="s">
        <v>259</v>
      </c>
      <c r="D103" s="119">
        <f>10^5.65</f>
        <v>446683.59215096442</v>
      </c>
      <c r="E103" s="109" t="s">
        <v>218</v>
      </c>
      <c r="F103" s="110">
        <v>7.8</v>
      </c>
      <c r="G103" s="110" t="s">
        <v>225</v>
      </c>
      <c r="H103" s="111">
        <v>0.01</v>
      </c>
      <c r="I103" s="112">
        <f>(10^(0.616*LOG((1-H103)/H103)+0.203)*H103-1)*0.45+1</f>
        <v>0.67176537024868965</v>
      </c>
      <c r="J103" s="110">
        <v>518.54999999999995</v>
      </c>
      <c r="K103" s="113" t="s">
        <v>125</v>
      </c>
      <c r="L103" s="109">
        <v>0</v>
      </c>
      <c r="M103" s="113"/>
      <c r="N103" s="114"/>
      <c r="O103" s="113"/>
      <c r="Q103" s="116"/>
    </row>
    <row r="104" spans="1:17" s="108" customFormat="1" ht="10.5" x14ac:dyDescent="0.25">
      <c r="A104" s="107" t="s">
        <v>350</v>
      </c>
      <c r="B104" s="108" t="s">
        <v>176</v>
      </c>
      <c r="C104" s="109" t="s">
        <v>260</v>
      </c>
      <c r="D104" s="119">
        <f>10^5.73</f>
        <v>537031.7963702539</v>
      </c>
      <c r="E104" s="109" t="s">
        <v>130</v>
      </c>
      <c r="F104" s="110" t="s">
        <v>125</v>
      </c>
      <c r="G104" s="110" t="s">
        <v>125</v>
      </c>
      <c r="H104" s="111">
        <v>0.01</v>
      </c>
      <c r="I104" s="112">
        <f>(10^(0.616*LOG((1-H104)/H104)+0.203)*H104-1)*0.45+1</f>
        <v>0.67176537024868965</v>
      </c>
      <c r="J104" s="110">
        <v>284.77999999999997</v>
      </c>
      <c r="K104" s="113">
        <f>0.000049*133.3224</f>
        <v>6.5327975999999992E-3</v>
      </c>
      <c r="L104" s="109">
        <v>1</v>
      </c>
      <c r="M104" s="113"/>
      <c r="N104" s="114"/>
      <c r="O104" s="113"/>
      <c r="Q104" s="116"/>
    </row>
    <row r="105" spans="1:17" s="108" customFormat="1" ht="10.5" x14ac:dyDescent="0.25">
      <c r="A105" s="107" t="s">
        <v>350</v>
      </c>
      <c r="B105" s="108" t="s">
        <v>178</v>
      </c>
      <c r="C105" s="109" t="s">
        <v>261</v>
      </c>
      <c r="D105" s="119">
        <f>10^7.54</f>
        <v>34673685.045253254</v>
      </c>
      <c r="E105" s="109" t="s">
        <v>216</v>
      </c>
      <c r="F105" s="110">
        <v>5.15</v>
      </c>
      <c r="G105" s="110">
        <v>8.7899999999999991</v>
      </c>
      <c r="H105" s="117">
        <v>0.08</v>
      </c>
      <c r="I105" s="112">
        <f>(10^(0.616*LOG((1-H105)/H105)+0.203)*H105-1)*0.45+1</f>
        <v>0.80863802211096503</v>
      </c>
      <c r="J105" s="110">
        <v>406.9</v>
      </c>
      <c r="K105" s="113">
        <f>0.000000000103*133.3224</f>
        <v>1.37322072E-8</v>
      </c>
      <c r="L105" s="109">
        <v>0</v>
      </c>
      <c r="M105" s="113"/>
      <c r="N105" s="114"/>
      <c r="O105" s="113"/>
      <c r="Q105" s="116" t="s">
        <v>237</v>
      </c>
    </row>
    <row r="106" spans="1:17" s="108" customFormat="1" ht="10.5" x14ac:dyDescent="0.25">
      <c r="A106" s="107" t="s">
        <v>350</v>
      </c>
      <c r="B106" s="108" t="s">
        <v>181</v>
      </c>
      <c r="C106" s="109" t="s">
        <v>262</v>
      </c>
      <c r="D106" s="119">
        <f>10^4.35</f>
        <v>22387.211385683382</v>
      </c>
      <c r="E106" s="109" t="s">
        <v>219</v>
      </c>
      <c r="F106" s="110">
        <v>3.69</v>
      </c>
      <c r="G106" s="110">
        <v>6.75</v>
      </c>
      <c r="H106" s="117" t="s">
        <v>229</v>
      </c>
      <c r="I106" s="112">
        <f>(10^(0.616*LOG((1-0.037)/0.037)+0.203)*0.037-1)*0.45+1</f>
        <v>0.74784075863276089</v>
      </c>
      <c r="J106" s="110">
        <v>531.42999999999995</v>
      </c>
      <c r="K106" s="113" t="s">
        <v>125</v>
      </c>
      <c r="L106" s="109">
        <v>0</v>
      </c>
      <c r="M106" s="113"/>
      <c r="N106" s="114"/>
      <c r="O106" s="113"/>
      <c r="Q106" s="116" t="s">
        <v>238</v>
      </c>
    </row>
    <row r="107" spans="1:17" s="108" customFormat="1" ht="10.5" x14ac:dyDescent="0.25">
      <c r="A107" s="107" t="s">
        <v>350</v>
      </c>
      <c r="B107" s="108" t="s">
        <v>183</v>
      </c>
      <c r="C107" s="109" t="s">
        <v>263</v>
      </c>
      <c r="D107" s="119">
        <f>10^0.27</f>
        <v>1.8620871366628675</v>
      </c>
      <c r="E107" s="109" t="s">
        <v>125</v>
      </c>
      <c r="F107" s="110" t="s">
        <v>125</v>
      </c>
      <c r="G107" s="110" t="s">
        <v>125</v>
      </c>
      <c r="H107" s="111">
        <v>0.88</v>
      </c>
      <c r="I107" s="112">
        <f t="shared" ref="I107:I112" si="4">(10^(0.616*LOG((1-H107)/H107)+0.203)*H107-1)*0.45+1</f>
        <v>0.73521216460792427</v>
      </c>
      <c r="J107" s="110">
        <v>325.3</v>
      </c>
      <c r="K107" s="113" t="s">
        <v>125</v>
      </c>
      <c r="L107" s="109">
        <v>0</v>
      </c>
      <c r="M107" s="113"/>
      <c r="N107" s="114"/>
      <c r="O107" s="113"/>
      <c r="Q107" s="116"/>
    </row>
    <row r="108" spans="1:17" s="108" customFormat="1" ht="10.5" x14ac:dyDescent="0.25">
      <c r="A108" s="107" t="s">
        <v>350</v>
      </c>
      <c r="B108" s="108" t="s">
        <v>95</v>
      </c>
      <c r="C108" s="109" t="s">
        <v>96</v>
      </c>
      <c r="D108" s="119">
        <f>10^3.72</f>
        <v>5248.0746024977352</v>
      </c>
      <c r="E108" s="109" t="s">
        <v>130</v>
      </c>
      <c r="F108" s="110" t="s">
        <v>125</v>
      </c>
      <c r="G108" s="110" t="s">
        <v>125</v>
      </c>
      <c r="H108" s="117">
        <v>0.02</v>
      </c>
      <c r="I108" s="112">
        <f t="shared" si="4"/>
        <v>0.70790769522114005</v>
      </c>
      <c r="J108" s="110">
        <v>290.83</v>
      </c>
      <c r="K108" s="113">
        <f>0.000042*133.3224</f>
        <v>5.5995407999999995E-3</v>
      </c>
      <c r="L108" s="109">
        <v>1</v>
      </c>
      <c r="M108" s="113"/>
      <c r="N108" s="114"/>
      <c r="O108" s="113"/>
      <c r="Q108" s="116" t="s">
        <v>239</v>
      </c>
    </row>
    <row r="109" spans="1:17" s="108" customFormat="1" ht="10.5" x14ac:dyDescent="0.25">
      <c r="A109" s="107" t="s">
        <v>350</v>
      </c>
      <c r="B109" s="108" t="s">
        <v>185</v>
      </c>
      <c r="C109" s="109" t="s">
        <v>264</v>
      </c>
      <c r="D109" s="119">
        <f>10^1.17</f>
        <v>14.791083881682074</v>
      </c>
      <c r="E109" s="109" t="s">
        <v>219</v>
      </c>
      <c r="F109" s="110">
        <v>2.7</v>
      </c>
      <c r="G109" s="110">
        <v>8.86</v>
      </c>
      <c r="H109" s="117">
        <v>0.75</v>
      </c>
      <c r="I109" s="112">
        <f t="shared" si="4"/>
        <v>0.823758166971303</v>
      </c>
      <c r="J109" s="110">
        <v>162.22999999999999</v>
      </c>
      <c r="K109" s="113">
        <f>0.0038*133.3224</f>
        <v>0.50662511999999993</v>
      </c>
      <c r="L109" s="109">
        <v>1</v>
      </c>
      <c r="M109" s="113"/>
      <c r="N109" s="114"/>
      <c r="O109" s="118">
        <v>1.9400000000000001E-5</v>
      </c>
      <c r="Q109" s="116" t="s">
        <v>239</v>
      </c>
    </row>
    <row r="110" spans="1:17" s="108" customFormat="1" ht="10.5" x14ac:dyDescent="0.25">
      <c r="A110" s="107" t="s">
        <v>350</v>
      </c>
      <c r="B110" s="108" t="s">
        <v>187</v>
      </c>
      <c r="C110" s="109" t="s">
        <v>265</v>
      </c>
      <c r="D110" s="119">
        <f>10^4.74</f>
        <v>54954.087385762505</v>
      </c>
      <c r="E110" s="109" t="s">
        <v>216</v>
      </c>
      <c r="F110" s="110">
        <v>3.17</v>
      </c>
      <c r="G110" s="110">
        <v>7.95</v>
      </c>
      <c r="H110" s="117">
        <v>2.0000000000000001E-4</v>
      </c>
      <c r="I110" s="112">
        <f t="shared" si="4"/>
        <v>0.57727435705666352</v>
      </c>
      <c r="J110" s="110">
        <v>403.81</v>
      </c>
      <c r="K110" s="113">
        <f>0.0000000000000076*133.3224</f>
        <v>1.01325024E-12</v>
      </c>
      <c r="L110" s="109">
        <v>0</v>
      </c>
      <c r="M110" s="113"/>
      <c r="N110" s="114"/>
      <c r="O110" s="113"/>
      <c r="Q110" s="116" t="s">
        <v>240</v>
      </c>
    </row>
    <row r="111" spans="1:17" s="108" customFormat="1" ht="10.5" x14ac:dyDescent="0.25">
      <c r="A111" s="107" t="s">
        <v>350</v>
      </c>
      <c r="B111" s="108" t="s">
        <v>189</v>
      </c>
      <c r="C111" s="109" t="s">
        <v>266</v>
      </c>
      <c r="D111" s="119">
        <f>10^1.96</f>
        <v>91.201083935590972</v>
      </c>
      <c r="E111" s="109" t="s">
        <v>124</v>
      </c>
      <c r="F111" s="110">
        <v>8.5</v>
      </c>
      <c r="G111" s="110" t="s">
        <v>125</v>
      </c>
      <c r="H111" s="111">
        <v>0.51</v>
      </c>
      <c r="I111" s="112">
        <f t="shared" si="4"/>
        <v>0.90733885928368152</v>
      </c>
      <c r="J111" s="110">
        <v>152.15</v>
      </c>
      <c r="K111" s="113" t="s">
        <v>125</v>
      </c>
      <c r="L111" s="109">
        <v>0</v>
      </c>
      <c r="M111" s="113"/>
      <c r="N111" s="114"/>
      <c r="O111" s="113"/>
      <c r="Q111" s="116"/>
    </row>
    <row r="112" spans="1:17" s="108" customFormat="1" ht="10.5" x14ac:dyDescent="0.25">
      <c r="A112" s="107" t="s">
        <v>350</v>
      </c>
      <c r="B112" s="108" t="s">
        <v>191</v>
      </c>
      <c r="C112" s="109" t="s">
        <v>267</v>
      </c>
      <c r="D112" s="119">
        <f>10^3.83</f>
        <v>6760.8297539198229</v>
      </c>
      <c r="E112" s="109" t="s">
        <v>130</v>
      </c>
      <c r="F112" s="110" t="s">
        <v>125</v>
      </c>
      <c r="G112" s="110" t="s">
        <v>125</v>
      </c>
      <c r="H112" s="117">
        <v>0.04</v>
      </c>
      <c r="I112" s="112">
        <f t="shared" si="4"/>
        <v>0.75346168178751172</v>
      </c>
      <c r="J112" s="110">
        <v>291.26</v>
      </c>
      <c r="K112" s="113">
        <f>0.00000668*133.3224</f>
        <v>8.9059363199999993E-4</v>
      </c>
      <c r="L112" s="109">
        <v>1</v>
      </c>
      <c r="M112" s="113"/>
      <c r="N112" s="114"/>
      <c r="O112" s="113"/>
      <c r="Q112" s="116" t="s">
        <v>241</v>
      </c>
    </row>
    <row r="113" spans="1:17" s="108" customFormat="1" ht="21" x14ac:dyDescent="0.25">
      <c r="A113" s="107" t="s">
        <v>350</v>
      </c>
      <c r="B113" s="108" t="s">
        <v>406</v>
      </c>
      <c r="C113" s="109" t="s">
        <v>246</v>
      </c>
      <c r="D113" s="119">
        <f>10^5.12</f>
        <v>131825.67385564081</v>
      </c>
      <c r="E113" s="109" t="s">
        <v>124</v>
      </c>
      <c r="F113" s="110">
        <v>4.9800000000000004</v>
      </c>
      <c r="G113" s="110" t="s">
        <v>125</v>
      </c>
      <c r="H113" s="117" t="s">
        <v>230</v>
      </c>
      <c r="I113" s="112">
        <f>(10^(0.616*LOG((1-0.014)/0.014)+0.203)*0.014-1)*0.45+1</f>
        <v>0.68821458022420878</v>
      </c>
      <c r="J113" s="110">
        <v>266.33999999999997</v>
      </c>
      <c r="K113" s="113">
        <f>0.0000000825*133.3224</f>
        <v>1.0999097999999999E-5</v>
      </c>
      <c r="L113" s="109">
        <v>0</v>
      </c>
      <c r="M113" s="113"/>
      <c r="N113" s="114"/>
      <c r="O113" s="113">
        <f>232.031/10000000</f>
        <v>2.3203100000000002E-5</v>
      </c>
      <c r="Q113" s="116" t="s">
        <v>242</v>
      </c>
    </row>
    <row r="114" spans="1:17" s="108" customFormat="1" ht="10.5" x14ac:dyDescent="0.25">
      <c r="A114" s="107" t="s">
        <v>350</v>
      </c>
      <c r="B114" s="108" t="s">
        <v>194</v>
      </c>
      <c r="C114" s="109" t="s">
        <v>268</v>
      </c>
      <c r="D114" s="119">
        <f>10^4.46</f>
        <v>28840.315031266062</v>
      </c>
      <c r="E114" s="109" t="s">
        <v>130</v>
      </c>
      <c r="F114" s="110" t="s">
        <v>125</v>
      </c>
      <c r="G114" s="110" t="s">
        <v>125</v>
      </c>
      <c r="H114" s="111">
        <v>0.06</v>
      </c>
      <c r="I114" s="112">
        <f t="shared" ref="I114:I119" si="5">(10^(0.616*LOG((1-H114)/H114)+0.203)*H114-1)*0.45+1</f>
        <v>0.7846763645200896</v>
      </c>
      <c r="J114" s="110">
        <v>178.23</v>
      </c>
      <c r="K114" s="113">
        <f>0.000121*133.3224</f>
        <v>1.6132010399999997E-2</v>
      </c>
      <c r="L114" s="109">
        <v>1</v>
      </c>
      <c r="M114" s="113"/>
      <c r="N114" s="114"/>
      <c r="O114" s="113"/>
      <c r="Q114" s="116"/>
    </row>
    <row r="115" spans="1:17" s="108" customFormat="1" ht="10.5" x14ac:dyDescent="0.25">
      <c r="A115" s="107" t="s">
        <v>350</v>
      </c>
      <c r="B115" s="108" t="s">
        <v>196</v>
      </c>
      <c r="C115" s="109" t="s">
        <v>269</v>
      </c>
      <c r="D115" s="119">
        <f>10^0.01</f>
        <v>1.0232929922807541</v>
      </c>
      <c r="E115" s="109" t="s">
        <v>215</v>
      </c>
      <c r="F115" s="110">
        <v>9.5</v>
      </c>
      <c r="G115" s="110" t="s">
        <v>125</v>
      </c>
      <c r="H115" s="111">
        <v>0.91</v>
      </c>
      <c r="I115" s="112">
        <f t="shared" si="5"/>
        <v>0.70714399659998084</v>
      </c>
      <c r="J115" s="110">
        <v>65.12</v>
      </c>
      <c r="K115" s="113" t="s">
        <v>125</v>
      </c>
      <c r="L115" s="109">
        <v>0</v>
      </c>
      <c r="M115" s="113"/>
      <c r="N115" s="114"/>
      <c r="O115" s="113"/>
      <c r="Q115" s="116"/>
    </row>
    <row r="116" spans="1:17" s="108" customFormat="1" ht="10.5" x14ac:dyDescent="0.25">
      <c r="A116" s="107" t="s">
        <v>350</v>
      </c>
      <c r="B116" s="108" t="s">
        <v>197</v>
      </c>
      <c r="C116" s="109" t="s">
        <v>270</v>
      </c>
      <c r="D116" s="119">
        <f>10^4.88</f>
        <v>75857.757502918481</v>
      </c>
      <c r="E116" s="109" t="s">
        <v>130</v>
      </c>
      <c r="F116" s="110" t="s">
        <v>125</v>
      </c>
      <c r="G116" s="110" t="s">
        <v>125</v>
      </c>
      <c r="H116" s="111">
        <v>0.04</v>
      </c>
      <c r="I116" s="112">
        <f t="shared" si="5"/>
        <v>0.75346168178751172</v>
      </c>
      <c r="J116" s="110">
        <v>202.25</v>
      </c>
      <c r="K116" s="113">
        <f>0.0000045*133.3224</f>
        <v>5.9995079999999998E-4</v>
      </c>
      <c r="L116" s="109">
        <v>1</v>
      </c>
      <c r="M116" s="113"/>
      <c r="N116" s="114"/>
      <c r="O116" s="113"/>
      <c r="Q116" s="116"/>
    </row>
    <row r="117" spans="1:17" s="108" customFormat="1" ht="10.5" x14ac:dyDescent="0.25">
      <c r="A117" s="107" t="s">
        <v>350</v>
      </c>
      <c r="B117" s="108" t="s">
        <v>199</v>
      </c>
      <c r="C117" s="109" t="s">
        <v>271</v>
      </c>
      <c r="D117" s="119">
        <f>10^2.73</f>
        <v>537.03179637025301</v>
      </c>
      <c r="E117" s="109" t="s">
        <v>130</v>
      </c>
      <c r="F117" s="110" t="s">
        <v>125</v>
      </c>
      <c r="G117" s="110" t="s">
        <v>125</v>
      </c>
      <c r="H117" s="121">
        <v>0.3</v>
      </c>
      <c r="I117" s="112">
        <f t="shared" si="5"/>
        <v>0.91308429840477723</v>
      </c>
      <c r="J117" s="110">
        <v>92.14</v>
      </c>
      <c r="K117" s="113">
        <f>28.4*133.3224</f>
        <v>3786.3561599999994</v>
      </c>
      <c r="L117" s="109">
        <v>1</v>
      </c>
      <c r="M117" s="113"/>
      <c r="N117" s="114"/>
      <c r="O117" s="113"/>
      <c r="Q117" s="116"/>
    </row>
    <row r="118" spans="1:17" s="108" customFormat="1" ht="10.5" x14ac:dyDescent="0.25">
      <c r="A118" s="107" t="s">
        <v>350</v>
      </c>
      <c r="B118" s="108" t="s">
        <v>201</v>
      </c>
      <c r="C118" s="109" t="s">
        <v>272</v>
      </c>
      <c r="D118" s="119">
        <f>10^0.2</f>
        <v>1.5848931924611136</v>
      </c>
      <c r="E118" s="109" t="s">
        <v>130</v>
      </c>
      <c r="F118" s="110" t="s">
        <v>125</v>
      </c>
      <c r="G118" s="110" t="s">
        <v>125</v>
      </c>
      <c r="H118" s="111">
        <v>0.89</v>
      </c>
      <c r="I118" s="112">
        <f t="shared" si="5"/>
        <v>0.72630968535434015</v>
      </c>
      <c r="J118" s="110">
        <v>143.13999999999999</v>
      </c>
      <c r="K118" s="113" t="s">
        <v>125</v>
      </c>
      <c r="L118" s="109">
        <v>0</v>
      </c>
      <c r="M118" s="113"/>
      <c r="N118" s="114"/>
      <c r="O118" s="113"/>
      <c r="Q118" s="116"/>
    </row>
    <row r="119" spans="1:17" s="108" customFormat="1" ht="10.5" x14ac:dyDescent="0.25">
      <c r="A119" s="107" t="s">
        <v>350</v>
      </c>
      <c r="B119" s="108" t="s">
        <v>204</v>
      </c>
      <c r="C119" s="109" t="s">
        <v>273</v>
      </c>
      <c r="D119" s="119">
        <f>10^1.64</f>
        <v>43.651583224016612</v>
      </c>
      <c r="E119" s="109" t="s">
        <v>130</v>
      </c>
      <c r="F119" s="110" t="s">
        <v>125</v>
      </c>
      <c r="G119" s="110" t="s">
        <v>125</v>
      </c>
      <c r="H119" s="121">
        <v>0.6</v>
      </c>
      <c r="I119" s="112">
        <f t="shared" si="5"/>
        <v>0.88565378477609125</v>
      </c>
      <c r="J119" s="110">
        <v>164.82</v>
      </c>
      <c r="K119" s="113" t="s">
        <v>125</v>
      </c>
      <c r="L119" s="109">
        <v>0</v>
      </c>
      <c r="M119" s="113"/>
      <c r="N119" s="114"/>
      <c r="O119" s="113"/>
      <c r="Q119" s="116"/>
    </row>
    <row r="120" spans="1:17" ht="10.5" x14ac:dyDescent="0.25">
      <c r="D120" s="13"/>
      <c r="E120" s="3"/>
      <c r="F120" s="13"/>
      <c r="G120" s="5"/>
      <c r="I120" s="13"/>
      <c r="J120" s="13"/>
      <c r="P120" s="3"/>
    </row>
    <row r="121" spans="1:17" ht="10.5" x14ac:dyDescent="0.25">
      <c r="D121" s="13"/>
      <c r="E121" s="3"/>
      <c r="F121" s="13"/>
      <c r="G121" s="5"/>
      <c r="I121" s="13"/>
      <c r="J121" s="13"/>
      <c r="P121" s="3"/>
    </row>
    <row r="122" spans="1:17" ht="10.5" x14ac:dyDescent="0.25">
      <c r="D122" s="13"/>
      <c r="E122" s="3"/>
      <c r="F122" s="13"/>
      <c r="G122" s="5"/>
      <c r="I122" s="13"/>
      <c r="J122" s="13"/>
      <c r="P122" s="3"/>
    </row>
    <row r="123" spans="1:17" ht="10.5" x14ac:dyDescent="0.25">
      <c r="D123" s="13"/>
      <c r="E123" s="3"/>
      <c r="F123" s="13"/>
      <c r="G123" s="5"/>
      <c r="I123" s="13"/>
      <c r="J123" s="13"/>
      <c r="P123" s="3"/>
    </row>
    <row r="124" spans="1:17" ht="10.5" x14ac:dyDescent="0.25">
      <c r="D124" s="13"/>
      <c r="E124" s="3"/>
      <c r="F124" s="13"/>
      <c r="G124" s="5"/>
      <c r="I124" s="13"/>
      <c r="J124" s="13"/>
      <c r="P124" s="3"/>
    </row>
    <row r="125" spans="1:17" ht="10.5" x14ac:dyDescent="0.25">
      <c r="D125" s="13"/>
      <c r="E125" s="3"/>
      <c r="F125" s="13"/>
      <c r="G125" s="5"/>
      <c r="I125" s="13"/>
      <c r="J125" s="13"/>
      <c r="P125" s="3"/>
    </row>
    <row r="126" spans="1:17" ht="10.5" x14ac:dyDescent="0.25">
      <c r="D126" s="13"/>
      <c r="E126" s="3"/>
      <c r="F126" s="13"/>
      <c r="G126" s="5"/>
      <c r="I126" s="13"/>
      <c r="J126" s="13"/>
      <c r="P126" s="3"/>
    </row>
    <row r="127" spans="1:17" ht="10.5" x14ac:dyDescent="0.25">
      <c r="D127" s="13"/>
      <c r="E127" s="3"/>
      <c r="F127" s="13"/>
      <c r="G127" s="5"/>
      <c r="I127" s="13"/>
      <c r="J127" s="13"/>
      <c r="P127" s="3"/>
    </row>
    <row r="128" spans="1:17" ht="10.5" x14ac:dyDescent="0.25">
      <c r="D128" s="13"/>
      <c r="E128" s="3"/>
      <c r="F128" s="13"/>
      <c r="G128" s="5"/>
      <c r="I128" s="13"/>
      <c r="J128" s="13"/>
      <c r="P128" s="3"/>
    </row>
    <row r="129" spans="4:16" ht="10.5" x14ac:dyDescent="0.25">
      <c r="D129" s="13"/>
      <c r="E129" s="3"/>
      <c r="F129" s="13"/>
      <c r="G129" s="5"/>
      <c r="I129" s="13"/>
      <c r="J129" s="13"/>
      <c r="P129" s="3"/>
    </row>
    <row r="130" spans="4:16" ht="10.5" x14ac:dyDescent="0.25">
      <c r="D130" s="13"/>
      <c r="E130" s="3"/>
      <c r="F130" s="13"/>
      <c r="G130" s="5"/>
      <c r="I130" s="13"/>
      <c r="J130" s="13"/>
      <c r="P130" s="3"/>
    </row>
    <row r="131" spans="4:16" ht="10.5" x14ac:dyDescent="0.25">
      <c r="D131" s="13"/>
      <c r="E131" s="3"/>
      <c r="F131" s="13"/>
      <c r="G131" s="5"/>
      <c r="I131" s="13"/>
      <c r="J131" s="13"/>
      <c r="P131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ySplit="1" topLeftCell="A117" activePane="bottomLeft" state="frozen"/>
      <selection pane="bottomLeft" activeCell="H125" sqref="H125"/>
    </sheetView>
  </sheetViews>
  <sheetFormatPr defaultRowHeight="10.5" x14ac:dyDescent="0.15"/>
  <cols>
    <col min="1" max="1" width="10.140625" style="8" customWidth="1"/>
    <col min="2" max="2" width="22.140625" style="3" bestFit="1" customWidth="1"/>
    <col min="3" max="3" width="14.85546875" style="4" bestFit="1" customWidth="1"/>
    <col min="4" max="4" width="32.42578125" style="3" customWidth="1"/>
    <col min="5" max="5" width="10" style="16" bestFit="1" customWidth="1"/>
    <col min="6" max="16384" width="9.140625" style="3"/>
  </cols>
  <sheetData>
    <row r="1" spans="1:5" s="1" customFormat="1" ht="21" x14ac:dyDescent="0.25">
      <c r="A1" s="7" t="s">
        <v>346</v>
      </c>
      <c r="B1" s="1" t="s">
        <v>117</v>
      </c>
      <c r="C1" s="2" t="s">
        <v>142</v>
      </c>
      <c r="D1" s="1" t="s">
        <v>351</v>
      </c>
      <c r="E1" s="1" t="s">
        <v>352</v>
      </c>
    </row>
    <row r="2" spans="1:5" s="15" customFormat="1" x14ac:dyDescent="0.25">
      <c r="A2" s="8" t="s">
        <v>347</v>
      </c>
      <c r="B2" s="3" t="s">
        <v>0</v>
      </c>
      <c r="C2" s="4" t="s">
        <v>1</v>
      </c>
    </row>
    <row r="3" spans="1:5" s="15" customFormat="1" x14ac:dyDescent="0.25">
      <c r="A3" s="8" t="s">
        <v>347</v>
      </c>
      <c r="B3" s="3" t="s">
        <v>2</v>
      </c>
      <c r="C3" s="4" t="s">
        <v>3</v>
      </c>
    </row>
    <row r="4" spans="1:5" s="15" customFormat="1" x14ac:dyDescent="0.25">
      <c r="A4" s="8" t="s">
        <v>347</v>
      </c>
      <c r="B4" s="3" t="s">
        <v>4</v>
      </c>
      <c r="C4" s="4" t="s">
        <v>5</v>
      </c>
    </row>
    <row r="5" spans="1:5" s="15" customFormat="1" x14ac:dyDescent="0.25">
      <c r="A5" s="8" t="s">
        <v>347</v>
      </c>
      <c r="B5" s="3" t="s">
        <v>68</v>
      </c>
      <c r="C5" s="4" t="s">
        <v>69</v>
      </c>
    </row>
    <row r="6" spans="1:5" s="15" customFormat="1" x14ac:dyDescent="0.25">
      <c r="A6" s="8" t="s">
        <v>347</v>
      </c>
      <c r="B6" s="3" t="s">
        <v>6</v>
      </c>
      <c r="C6" s="4" t="s">
        <v>7</v>
      </c>
    </row>
    <row r="7" spans="1:5" s="15" customFormat="1" x14ac:dyDescent="0.25">
      <c r="A7" s="8" t="s">
        <v>347</v>
      </c>
      <c r="B7" s="3" t="s">
        <v>8</v>
      </c>
      <c r="C7" s="4" t="s">
        <v>9</v>
      </c>
    </row>
    <row r="8" spans="1:5" s="15" customFormat="1" x14ac:dyDescent="0.25">
      <c r="A8" s="8" t="s">
        <v>347</v>
      </c>
      <c r="B8" s="3" t="s">
        <v>10</v>
      </c>
      <c r="C8" s="4" t="s">
        <v>11</v>
      </c>
    </row>
    <row r="9" spans="1:5" s="15" customFormat="1" x14ac:dyDescent="0.25">
      <c r="A9" s="8" t="s">
        <v>347</v>
      </c>
      <c r="B9" s="3" t="s">
        <v>70</v>
      </c>
      <c r="C9" s="4" t="s">
        <v>71</v>
      </c>
    </row>
    <row r="10" spans="1:5" s="15" customFormat="1" x14ac:dyDescent="0.25">
      <c r="A10" s="8" t="s">
        <v>347</v>
      </c>
      <c r="B10" s="3" t="s">
        <v>12</v>
      </c>
      <c r="C10" s="4" t="s">
        <v>13</v>
      </c>
    </row>
    <row r="11" spans="1:5" s="15" customFormat="1" x14ac:dyDescent="0.25">
      <c r="A11" s="8" t="s">
        <v>347</v>
      </c>
      <c r="B11" s="3" t="s">
        <v>14</v>
      </c>
      <c r="C11" s="4" t="s">
        <v>15</v>
      </c>
    </row>
    <row r="12" spans="1:5" s="15" customFormat="1" x14ac:dyDescent="0.25">
      <c r="A12" s="8" t="s">
        <v>347</v>
      </c>
      <c r="B12" s="3" t="s">
        <v>16</v>
      </c>
      <c r="C12" s="4" t="s">
        <v>17</v>
      </c>
    </row>
    <row r="13" spans="1:5" s="15" customFormat="1" x14ac:dyDescent="0.25">
      <c r="A13" s="8" t="s">
        <v>347</v>
      </c>
      <c r="B13" s="3" t="s">
        <v>72</v>
      </c>
      <c r="C13" s="4" t="s">
        <v>73</v>
      </c>
    </row>
    <row r="14" spans="1:5" s="15" customFormat="1" x14ac:dyDescent="0.25">
      <c r="A14" s="8" t="s">
        <v>347</v>
      </c>
      <c r="B14" s="3" t="s">
        <v>18</v>
      </c>
      <c r="C14" s="4" t="s">
        <v>19</v>
      </c>
    </row>
    <row r="15" spans="1:5" s="15" customFormat="1" x14ac:dyDescent="0.25">
      <c r="A15" s="8" t="s">
        <v>347</v>
      </c>
      <c r="B15" s="3" t="s">
        <v>74</v>
      </c>
      <c r="C15" s="4" t="s">
        <v>75</v>
      </c>
    </row>
    <row r="16" spans="1:5" s="15" customFormat="1" x14ac:dyDescent="0.25">
      <c r="A16" s="8" t="s">
        <v>347</v>
      </c>
      <c r="B16" s="3" t="s">
        <v>20</v>
      </c>
      <c r="C16" s="4" t="s">
        <v>21</v>
      </c>
    </row>
    <row r="17" spans="1:3" s="15" customFormat="1" x14ac:dyDescent="0.25">
      <c r="A17" s="8" t="s">
        <v>347</v>
      </c>
      <c r="B17" s="3" t="s">
        <v>22</v>
      </c>
      <c r="C17" s="4" t="s">
        <v>23</v>
      </c>
    </row>
    <row r="18" spans="1:3" s="15" customFormat="1" x14ac:dyDescent="0.25">
      <c r="A18" s="8" t="s">
        <v>347</v>
      </c>
      <c r="B18" s="3" t="s">
        <v>76</v>
      </c>
      <c r="C18" s="4" t="s">
        <v>77</v>
      </c>
    </row>
    <row r="19" spans="1:3" s="15" customFormat="1" x14ac:dyDescent="0.25">
      <c r="A19" s="8" t="s">
        <v>347</v>
      </c>
      <c r="B19" s="3" t="s">
        <v>78</v>
      </c>
      <c r="C19" s="4" t="s">
        <v>79</v>
      </c>
    </row>
    <row r="20" spans="1:3" s="15" customFormat="1" x14ac:dyDescent="0.25">
      <c r="A20" s="8" t="s">
        <v>347</v>
      </c>
      <c r="B20" s="3" t="s">
        <v>459</v>
      </c>
      <c r="C20" s="4" t="s">
        <v>81</v>
      </c>
    </row>
    <row r="21" spans="1:3" s="15" customFormat="1" x14ac:dyDescent="0.25">
      <c r="A21" s="8" t="s">
        <v>347</v>
      </c>
      <c r="B21" s="3" t="s">
        <v>82</v>
      </c>
      <c r="C21" s="4" t="s">
        <v>83</v>
      </c>
    </row>
    <row r="22" spans="1:3" s="15" customFormat="1" x14ac:dyDescent="0.25">
      <c r="A22" s="8" t="s">
        <v>347</v>
      </c>
      <c r="B22" s="3" t="s">
        <v>84</v>
      </c>
      <c r="C22" s="4" t="s">
        <v>85</v>
      </c>
    </row>
    <row r="23" spans="1:3" s="15" customFormat="1" x14ac:dyDescent="0.25">
      <c r="A23" s="8" t="s">
        <v>347</v>
      </c>
      <c r="B23" s="3" t="s">
        <v>24</v>
      </c>
      <c r="C23" s="4" t="s">
        <v>25</v>
      </c>
    </row>
    <row r="24" spans="1:3" s="15" customFormat="1" x14ac:dyDescent="0.25">
      <c r="A24" s="8" t="s">
        <v>347</v>
      </c>
      <c r="B24" s="3" t="s">
        <v>86</v>
      </c>
      <c r="C24" s="4" t="s">
        <v>87</v>
      </c>
    </row>
    <row r="25" spans="1:3" s="15" customFormat="1" x14ac:dyDescent="0.25">
      <c r="A25" s="8" t="s">
        <v>347</v>
      </c>
      <c r="B25" s="3" t="s">
        <v>26</v>
      </c>
      <c r="C25" s="4" t="s">
        <v>27</v>
      </c>
    </row>
    <row r="26" spans="1:3" s="15" customFormat="1" x14ac:dyDescent="0.25">
      <c r="A26" s="8" t="s">
        <v>347</v>
      </c>
      <c r="B26" s="3" t="s">
        <v>88</v>
      </c>
      <c r="C26" s="4" t="s">
        <v>89</v>
      </c>
    </row>
    <row r="27" spans="1:3" s="14" customFormat="1" x14ac:dyDescent="0.25">
      <c r="A27" s="8" t="s">
        <v>347</v>
      </c>
      <c r="B27" s="3" t="s">
        <v>28</v>
      </c>
      <c r="C27" s="4" t="s">
        <v>29</v>
      </c>
    </row>
    <row r="28" spans="1:3" s="15" customFormat="1" x14ac:dyDescent="0.25">
      <c r="A28" s="8" t="s">
        <v>347</v>
      </c>
      <c r="B28" s="3" t="s">
        <v>90</v>
      </c>
      <c r="C28" s="4" t="s">
        <v>91</v>
      </c>
    </row>
    <row r="29" spans="1:3" s="15" customFormat="1" x14ac:dyDescent="0.25">
      <c r="A29" s="8" t="s">
        <v>347</v>
      </c>
      <c r="B29" s="3" t="s">
        <v>30</v>
      </c>
      <c r="C29" s="4" t="s">
        <v>31</v>
      </c>
    </row>
    <row r="30" spans="1:3" s="15" customFormat="1" x14ac:dyDescent="0.25">
      <c r="A30" s="8" t="s">
        <v>347</v>
      </c>
      <c r="B30" s="3" t="s">
        <v>32</v>
      </c>
      <c r="C30" s="4" t="s">
        <v>33</v>
      </c>
    </row>
    <row r="31" spans="1:3" s="15" customFormat="1" x14ac:dyDescent="0.25">
      <c r="A31" s="8" t="s">
        <v>347</v>
      </c>
      <c r="B31" s="3" t="s">
        <v>383</v>
      </c>
      <c r="C31" s="4" t="s">
        <v>92</v>
      </c>
    </row>
    <row r="32" spans="1:3" s="15" customFormat="1" x14ac:dyDescent="0.25">
      <c r="A32" s="8" t="s">
        <v>347</v>
      </c>
      <c r="B32" s="3" t="s">
        <v>34</v>
      </c>
      <c r="C32" s="4" t="s">
        <v>35</v>
      </c>
    </row>
    <row r="33" spans="1:6" s="15" customFormat="1" x14ac:dyDescent="0.25">
      <c r="A33" s="8" t="s">
        <v>347</v>
      </c>
      <c r="B33" s="3" t="s">
        <v>36</v>
      </c>
      <c r="C33" s="4" t="s">
        <v>37</v>
      </c>
    </row>
    <row r="34" spans="1:6" s="15" customFormat="1" x14ac:dyDescent="0.25">
      <c r="A34" s="8" t="s">
        <v>347</v>
      </c>
      <c r="B34" s="3" t="s">
        <v>38</v>
      </c>
      <c r="C34" s="4" t="s">
        <v>39</v>
      </c>
    </row>
    <row r="35" spans="1:6" s="15" customFormat="1" x14ac:dyDescent="0.25">
      <c r="A35" s="8" t="s">
        <v>347</v>
      </c>
      <c r="B35" s="3" t="s">
        <v>40</v>
      </c>
      <c r="C35" s="4" t="s">
        <v>41</v>
      </c>
    </row>
    <row r="36" spans="1:6" s="15" customFormat="1" x14ac:dyDescent="0.25">
      <c r="A36" s="8" t="s">
        <v>347</v>
      </c>
      <c r="B36" s="3" t="s">
        <v>42</v>
      </c>
      <c r="C36" s="4" t="s">
        <v>43</v>
      </c>
    </row>
    <row r="37" spans="1:6" x14ac:dyDescent="0.15">
      <c r="A37" s="8" t="s">
        <v>347</v>
      </c>
      <c r="B37" s="3" t="s">
        <v>93</v>
      </c>
      <c r="C37" s="4" t="s">
        <v>94</v>
      </c>
      <c r="E37" s="3"/>
      <c r="F37" s="16"/>
    </row>
    <row r="38" spans="1:6" x14ac:dyDescent="0.15">
      <c r="A38" s="8" t="s">
        <v>347</v>
      </c>
      <c r="B38" s="3" t="s">
        <v>44</v>
      </c>
      <c r="C38" s="4" t="s">
        <v>45</v>
      </c>
      <c r="E38" s="3"/>
      <c r="F38" s="16"/>
    </row>
    <row r="39" spans="1:6" x14ac:dyDescent="0.15">
      <c r="A39" s="8" t="s">
        <v>347</v>
      </c>
      <c r="B39" s="3" t="s">
        <v>95</v>
      </c>
      <c r="C39" s="4" t="s">
        <v>96</v>
      </c>
      <c r="E39" s="3"/>
      <c r="F39" s="16"/>
    </row>
    <row r="40" spans="1:6" x14ac:dyDescent="0.15">
      <c r="A40" s="8" t="s">
        <v>347</v>
      </c>
      <c r="B40" s="3" t="s">
        <v>46</v>
      </c>
      <c r="C40" s="4" t="s">
        <v>47</v>
      </c>
      <c r="E40" s="3"/>
      <c r="F40" s="16"/>
    </row>
    <row r="41" spans="1:6" x14ac:dyDescent="0.15">
      <c r="A41" s="8" t="s">
        <v>347</v>
      </c>
      <c r="B41" s="3" t="s">
        <v>97</v>
      </c>
      <c r="C41" s="4" t="s">
        <v>98</v>
      </c>
      <c r="E41" s="3"/>
      <c r="F41" s="16"/>
    </row>
    <row r="42" spans="1:6" x14ac:dyDescent="0.15">
      <c r="A42" s="8" t="s">
        <v>347</v>
      </c>
      <c r="B42" s="3" t="s">
        <v>99</v>
      </c>
      <c r="C42" s="4" t="s">
        <v>100</v>
      </c>
      <c r="E42" s="3"/>
      <c r="F42" s="16"/>
    </row>
    <row r="43" spans="1:6" x14ac:dyDescent="0.15">
      <c r="A43" s="8" t="s">
        <v>347</v>
      </c>
      <c r="B43" s="3" t="s">
        <v>48</v>
      </c>
      <c r="C43" s="4" t="s">
        <v>49</v>
      </c>
      <c r="E43" s="3"/>
      <c r="F43" s="16"/>
    </row>
    <row r="44" spans="1:6" x14ac:dyDescent="0.15">
      <c r="A44" s="8" t="s">
        <v>347</v>
      </c>
      <c r="B44" s="3" t="s">
        <v>50</v>
      </c>
      <c r="C44" s="4" t="s">
        <v>51</v>
      </c>
      <c r="E44" s="3"/>
      <c r="F44" s="16"/>
    </row>
    <row r="45" spans="1:6" x14ac:dyDescent="0.15">
      <c r="A45" s="8" t="s">
        <v>347</v>
      </c>
      <c r="B45" s="3" t="s">
        <v>101</v>
      </c>
      <c r="C45" s="4" t="s">
        <v>102</v>
      </c>
      <c r="E45" s="3"/>
      <c r="F45" s="16"/>
    </row>
    <row r="46" spans="1:6" x14ac:dyDescent="0.15">
      <c r="A46" s="8" t="s">
        <v>347</v>
      </c>
      <c r="B46" s="3" t="s">
        <v>52</v>
      </c>
      <c r="C46" s="4" t="s">
        <v>53</v>
      </c>
      <c r="E46" s="3"/>
      <c r="F46" s="16"/>
    </row>
    <row r="47" spans="1:6" x14ac:dyDescent="0.15">
      <c r="A47" s="8" t="s">
        <v>347</v>
      </c>
      <c r="B47" s="3" t="s">
        <v>103</v>
      </c>
      <c r="C47" s="4" t="s">
        <v>104</v>
      </c>
      <c r="E47" s="3"/>
      <c r="F47" s="16"/>
    </row>
    <row r="48" spans="1:6" x14ac:dyDescent="0.15">
      <c r="A48" s="8" t="s">
        <v>347</v>
      </c>
      <c r="B48" s="3" t="s">
        <v>54</v>
      </c>
      <c r="C48" s="4" t="s">
        <v>55</v>
      </c>
      <c r="E48" s="3"/>
      <c r="F48" s="16"/>
    </row>
    <row r="49" spans="1:6" x14ac:dyDescent="0.15">
      <c r="A49" s="8" t="s">
        <v>347</v>
      </c>
      <c r="B49" s="3" t="s">
        <v>105</v>
      </c>
      <c r="C49" s="4" t="s">
        <v>106</v>
      </c>
      <c r="E49" s="3"/>
      <c r="F49" s="16"/>
    </row>
    <row r="50" spans="1:6" x14ac:dyDescent="0.15">
      <c r="A50" s="8" t="s">
        <v>347</v>
      </c>
      <c r="B50" s="3" t="s">
        <v>107</v>
      </c>
      <c r="C50" s="4" t="s">
        <v>108</v>
      </c>
      <c r="E50" s="3"/>
      <c r="F50" s="16"/>
    </row>
    <row r="51" spans="1:6" x14ac:dyDescent="0.15">
      <c r="A51" s="8" t="s">
        <v>347</v>
      </c>
      <c r="B51" s="3" t="s">
        <v>56</v>
      </c>
      <c r="C51" s="4" t="s">
        <v>57</v>
      </c>
      <c r="E51" s="3"/>
      <c r="F51" s="16"/>
    </row>
    <row r="52" spans="1:6" x14ac:dyDescent="0.15">
      <c r="A52" s="8" t="s">
        <v>347</v>
      </c>
      <c r="B52" s="3" t="s">
        <v>109</v>
      </c>
      <c r="C52" s="4" t="s">
        <v>110</v>
      </c>
      <c r="E52" s="3"/>
      <c r="F52" s="16"/>
    </row>
    <row r="53" spans="1:6" x14ac:dyDescent="0.15">
      <c r="A53" s="8" t="s">
        <v>347</v>
      </c>
      <c r="B53" s="3" t="s">
        <v>58</v>
      </c>
      <c r="C53" s="4" t="s">
        <v>59</v>
      </c>
      <c r="E53" s="3"/>
      <c r="F53" s="16"/>
    </row>
    <row r="54" spans="1:6" x14ac:dyDescent="0.15">
      <c r="A54" s="8" t="s">
        <v>347</v>
      </c>
      <c r="B54" s="3" t="s">
        <v>60</v>
      </c>
      <c r="C54" s="4" t="s">
        <v>61</v>
      </c>
      <c r="E54" s="3"/>
      <c r="F54" s="16"/>
    </row>
    <row r="55" spans="1:6" x14ac:dyDescent="0.15">
      <c r="A55" s="8" t="s">
        <v>347</v>
      </c>
      <c r="B55" s="3" t="s">
        <v>62</v>
      </c>
      <c r="C55" s="4" t="s">
        <v>63</v>
      </c>
      <c r="E55" s="3"/>
      <c r="F55" s="16"/>
    </row>
    <row r="56" spans="1:6" x14ac:dyDescent="0.15">
      <c r="A56" s="8" t="s">
        <v>347</v>
      </c>
      <c r="B56" s="3" t="s">
        <v>113</v>
      </c>
      <c r="C56" s="4" t="s">
        <v>114</v>
      </c>
      <c r="E56" s="3"/>
      <c r="F56" s="16"/>
    </row>
    <row r="57" spans="1:6" x14ac:dyDescent="0.15">
      <c r="A57" s="8" t="s">
        <v>347</v>
      </c>
      <c r="B57" s="3" t="s">
        <v>111</v>
      </c>
      <c r="C57" s="4" t="s">
        <v>112</v>
      </c>
      <c r="E57" s="3"/>
      <c r="F57" s="16"/>
    </row>
    <row r="58" spans="1:6" x14ac:dyDescent="0.15">
      <c r="A58" s="8" t="s">
        <v>347</v>
      </c>
      <c r="B58" s="3" t="s">
        <v>64</v>
      </c>
      <c r="C58" s="4" t="s">
        <v>65</v>
      </c>
      <c r="E58" s="3"/>
      <c r="F58" s="16"/>
    </row>
    <row r="59" spans="1:6" x14ac:dyDescent="0.15">
      <c r="A59" s="8" t="s">
        <v>347</v>
      </c>
      <c r="B59" s="3" t="s">
        <v>115</v>
      </c>
      <c r="C59" s="4" t="s">
        <v>116</v>
      </c>
      <c r="E59" s="3"/>
      <c r="F59" s="16"/>
    </row>
    <row r="60" spans="1:6" x14ac:dyDescent="0.15">
      <c r="A60" s="8" t="s">
        <v>347</v>
      </c>
      <c r="B60" s="3" t="s">
        <v>66</v>
      </c>
      <c r="C60" s="4" t="s">
        <v>67</v>
      </c>
      <c r="E60" s="3"/>
      <c r="F60" s="16"/>
    </row>
    <row r="61" spans="1:6" x14ac:dyDescent="0.15">
      <c r="A61" s="8" t="s">
        <v>348</v>
      </c>
      <c r="B61" s="3" t="s">
        <v>141</v>
      </c>
      <c r="C61" s="4" t="s">
        <v>210</v>
      </c>
      <c r="E61" s="3"/>
      <c r="F61" s="16"/>
    </row>
    <row r="62" spans="1:6" x14ac:dyDescent="0.15">
      <c r="A62" s="8" t="s">
        <v>348</v>
      </c>
      <c r="B62" s="3" t="s">
        <v>156</v>
      </c>
      <c r="C62" s="5" t="s">
        <v>211</v>
      </c>
      <c r="E62" s="3"/>
      <c r="F62" s="16"/>
    </row>
    <row r="63" spans="1:6" ht="42" x14ac:dyDescent="0.15">
      <c r="A63" s="8" t="s">
        <v>348</v>
      </c>
      <c r="B63" s="3" t="s">
        <v>134</v>
      </c>
      <c r="C63" s="4" t="s">
        <v>452</v>
      </c>
      <c r="E63" s="21" t="s">
        <v>332</v>
      </c>
      <c r="F63" s="16"/>
    </row>
    <row r="64" spans="1:6" x14ac:dyDescent="0.15">
      <c r="A64" s="8" t="s">
        <v>348</v>
      </c>
      <c r="B64" s="3" t="s">
        <v>135</v>
      </c>
      <c r="C64" s="4" t="s">
        <v>282</v>
      </c>
      <c r="D64" s="3" t="s">
        <v>323</v>
      </c>
      <c r="E64" s="3"/>
      <c r="F64" s="16"/>
    </row>
    <row r="65" spans="1:6" x14ac:dyDescent="0.15">
      <c r="A65" s="8" t="s">
        <v>348</v>
      </c>
      <c r="B65" s="3" t="s">
        <v>137</v>
      </c>
      <c r="C65" s="4" t="s">
        <v>283</v>
      </c>
      <c r="E65" s="3"/>
      <c r="F65" s="16"/>
    </row>
    <row r="66" spans="1:6" ht="15" x14ac:dyDescent="0.25">
      <c r="A66" s="8" t="s">
        <v>348</v>
      </c>
      <c r="B66" s="3" t="s">
        <v>274</v>
      </c>
      <c r="C66" t="s">
        <v>453</v>
      </c>
      <c r="D66" s="3" t="s">
        <v>320</v>
      </c>
      <c r="E66" s="3"/>
      <c r="F66" s="16"/>
    </row>
    <row r="67" spans="1:6" x14ac:dyDescent="0.15">
      <c r="A67" s="8" t="s">
        <v>348</v>
      </c>
      <c r="B67" s="3" t="s">
        <v>286</v>
      </c>
      <c r="C67" s="4" t="s">
        <v>289</v>
      </c>
      <c r="E67" s="3"/>
      <c r="F67" s="16"/>
    </row>
    <row r="68" spans="1:6" x14ac:dyDescent="0.15">
      <c r="A68" s="8" t="s">
        <v>348</v>
      </c>
      <c r="B68" s="3" t="s">
        <v>287</v>
      </c>
      <c r="C68" s="4" t="s">
        <v>288</v>
      </c>
      <c r="E68" s="3"/>
      <c r="F68" s="16"/>
    </row>
    <row r="69" spans="1:6" ht="21" x14ac:dyDescent="0.15">
      <c r="A69" s="8" t="s">
        <v>349</v>
      </c>
      <c r="B69" s="3" t="s">
        <v>318</v>
      </c>
      <c r="C69" s="4" t="s">
        <v>333</v>
      </c>
      <c r="D69" s="3" t="s">
        <v>319</v>
      </c>
      <c r="E69" s="3" t="s">
        <v>327</v>
      </c>
      <c r="F69" s="16"/>
    </row>
    <row r="70" spans="1:6" ht="31.5" x14ac:dyDescent="0.15">
      <c r="A70" s="8" t="s">
        <v>349</v>
      </c>
      <c r="B70" s="3" t="s">
        <v>303</v>
      </c>
      <c r="C70" s="4" t="s">
        <v>334</v>
      </c>
      <c r="D70" s="3" t="s">
        <v>305</v>
      </c>
      <c r="E70" s="3" t="s">
        <v>328</v>
      </c>
      <c r="F70" s="16"/>
    </row>
    <row r="71" spans="1:6" x14ac:dyDescent="0.15">
      <c r="A71" s="8" t="s">
        <v>349</v>
      </c>
      <c r="B71" s="3" t="s">
        <v>314</v>
      </c>
      <c r="C71" s="4" t="s">
        <v>244</v>
      </c>
      <c r="D71" s="3" t="s">
        <v>357</v>
      </c>
      <c r="E71" s="3"/>
      <c r="F71" s="16"/>
    </row>
    <row r="72" spans="1:6" ht="21" x14ac:dyDescent="0.25">
      <c r="A72" s="8" t="s">
        <v>349</v>
      </c>
      <c r="B72" s="3" t="s">
        <v>316</v>
      </c>
      <c r="C72" t="s">
        <v>454</v>
      </c>
      <c r="D72" s="3" t="s">
        <v>317</v>
      </c>
      <c r="E72" s="3" t="s">
        <v>329</v>
      </c>
      <c r="F72" s="16"/>
    </row>
    <row r="73" spans="1:6" x14ac:dyDescent="0.15">
      <c r="A73" s="8" t="s">
        <v>349</v>
      </c>
      <c r="B73" s="3" t="s">
        <v>304</v>
      </c>
      <c r="C73" s="4" t="s">
        <v>336</v>
      </c>
      <c r="D73" s="3" t="s">
        <v>364</v>
      </c>
      <c r="E73" s="3"/>
      <c r="F73" s="16"/>
    </row>
    <row r="74" spans="1:6" ht="21" x14ac:dyDescent="0.15">
      <c r="A74" s="8" t="s">
        <v>349</v>
      </c>
      <c r="B74" s="3" t="s">
        <v>414</v>
      </c>
      <c r="C74" s="4" t="s">
        <v>337</v>
      </c>
      <c r="D74" s="3" t="s">
        <v>358</v>
      </c>
      <c r="E74" s="3" t="s">
        <v>363</v>
      </c>
      <c r="F74" s="16"/>
    </row>
    <row r="75" spans="1:6" ht="21" x14ac:dyDescent="0.15">
      <c r="A75" s="8" t="s">
        <v>349</v>
      </c>
      <c r="B75" s="3" t="s">
        <v>315</v>
      </c>
      <c r="C75" s="4" t="s">
        <v>338</v>
      </c>
      <c r="D75" s="3" t="s">
        <v>359</v>
      </c>
      <c r="E75" s="3" t="s">
        <v>330</v>
      </c>
      <c r="F75" s="16"/>
    </row>
    <row r="76" spans="1:6" x14ac:dyDescent="0.15">
      <c r="A76" s="8" t="s">
        <v>349</v>
      </c>
      <c r="B76" s="3" t="s">
        <v>306</v>
      </c>
      <c r="C76" s="4" t="s">
        <v>339</v>
      </c>
      <c r="D76" s="45" t="s">
        <v>367</v>
      </c>
      <c r="E76" s="3"/>
      <c r="F76" s="16"/>
    </row>
    <row r="77" spans="1:6" ht="15" x14ac:dyDescent="0.25">
      <c r="A77" s="8" t="s">
        <v>349</v>
      </c>
      <c r="B77" s="3" t="s">
        <v>418</v>
      </c>
      <c r="C77" t="s">
        <v>451</v>
      </c>
      <c r="D77" s="3" t="s">
        <v>308</v>
      </c>
      <c r="E77" s="3"/>
      <c r="F77" s="16"/>
    </row>
    <row r="78" spans="1:6" ht="42" x14ac:dyDescent="0.15">
      <c r="A78" s="8" t="s">
        <v>349</v>
      </c>
      <c r="B78" s="3" t="s">
        <v>420</v>
      </c>
      <c r="C78" s="4" t="s">
        <v>340</v>
      </c>
      <c r="D78" s="3" t="s">
        <v>322</v>
      </c>
      <c r="E78" s="21" t="s">
        <v>331</v>
      </c>
      <c r="F78" s="16"/>
    </row>
    <row r="79" spans="1:6" ht="21" x14ac:dyDescent="0.15">
      <c r="A79" s="8" t="s">
        <v>349</v>
      </c>
      <c r="B79" s="3" t="s">
        <v>309</v>
      </c>
      <c r="C79" s="4" t="s">
        <v>341</v>
      </c>
      <c r="D79" s="3" t="s">
        <v>310</v>
      </c>
      <c r="E79" s="46" t="s">
        <v>368</v>
      </c>
      <c r="F79" s="16"/>
    </row>
    <row r="80" spans="1:6" ht="21" x14ac:dyDescent="0.15">
      <c r="A80" s="8" t="s">
        <v>349</v>
      </c>
      <c r="B80" s="3" t="s">
        <v>311</v>
      </c>
      <c r="C80" s="4" t="s">
        <v>342</v>
      </c>
      <c r="D80" s="3" t="s">
        <v>361</v>
      </c>
      <c r="E80" s="15" t="s">
        <v>360</v>
      </c>
      <c r="F80" s="16"/>
    </row>
    <row r="81" spans="1:6" ht="21" x14ac:dyDescent="0.15">
      <c r="A81" s="8" t="s">
        <v>349</v>
      </c>
      <c r="B81" s="3" t="s">
        <v>326</v>
      </c>
      <c r="C81" s="4" t="s">
        <v>343</v>
      </c>
      <c r="D81" s="3" t="s">
        <v>362</v>
      </c>
      <c r="E81" s="15" t="s">
        <v>369</v>
      </c>
      <c r="F81" s="16"/>
    </row>
    <row r="82" spans="1:6" x14ac:dyDescent="0.15">
      <c r="A82" s="8" t="s">
        <v>349</v>
      </c>
      <c r="B82" s="3" t="s">
        <v>312</v>
      </c>
      <c r="C82" s="4" t="s">
        <v>344</v>
      </c>
      <c r="D82" s="3" t="s">
        <v>313</v>
      </c>
      <c r="E82" s="15" t="s">
        <v>370</v>
      </c>
      <c r="F82" s="16"/>
    </row>
    <row r="83" spans="1:6" ht="21" x14ac:dyDescent="0.15">
      <c r="A83" s="8" t="s">
        <v>349</v>
      </c>
      <c r="B83" s="3" t="s">
        <v>428</v>
      </c>
      <c r="C83" s="4" t="s">
        <v>345</v>
      </c>
      <c r="D83" s="3" t="s">
        <v>325</v>
      </c>
      <c r="E83" s="15" t="s">
        <v>365</v>
      </c>
      <c r="F83" s="16"/>
    </row>
    <row r="84" spans="1:6" x14ac:dyDescent="0.15">
      <c r="A84" s="31" t="s">
        <v>350</v>
      </c>
      <c r="B84" s="32" t="s">
        <v>146</v>
      </c>
      <c r="C84" s="33" t="s">
        <v>248</v>
      </c>
      <c r="D84" s="15" t="s">
        <v>366</v>
      </c>
      <c r="E84" s="15"/>
      <c r="F84" s="17"/>
    </row>
    <row r="85" spans="1:6" s="29" customFormat="1" x14ac:dyDescent="0.15">
      <c r="A85" s="28" t="s">
        <v>350</v>
      </c>
      <c r="B85" s="29" t="s">
        <v>139</v>
      </c>
      <c r="C85" s="30" t="s">
        <v>247</v>
      </c>
      <c r="D85" s="38" t="s">
        <v>143</v>
      </c>
      <c r="E85" s="38"/>
      <c r="F85" s="40"/>
    </row>
    <row r="86" spans="1:6" s="29" customFormat="1" ht="63" x14ac:dyDescent="0.15">
      <c r="A86" s="28" t="s">
        <v>350</v>
      </c>
      <c r="B86" s="29" t="s">
        <v>140</v>
      </c>
      <c r="C86" s="30" t="s">
        <v>243</v>
      </c>
      <c r="D86" s="38" t="s">
        <v>206</v>
      </c>
      <c r="E86" s="38" t="s">
        <v>144</v>
      </c>
      <c r="F86" s="40"/>
    </row>
    <row r="87" spans="1:6" s="29" customFormat="1" ht="21" x14ac:dyDescent="0.15">
      <c r="A87" s="28" t="s">
        <v>350</v>
      </c>
      <c r="B87" s="29" t="s">
        <v>141</v>
      </c>
      <c r="C87" s="30" t="s">
        <v>210</v>
      </c>
      <c r="D87" s="38" t="s">
        <v>145</v>
      </c>
      <c r="E87" s="38"/>
      <c r="F87" s="40"/>
    </row>
    <row r="88" spans="1:6" s="29" customFormat="1" x14ac:dyDescent="0.15">
      <c r="A88" s="28" t="s">
        <v>350</v>
      </c>
      <c r="B88" s="29" t="s">
        <v>148</v>
      </c>
      <c r="C88" s="30" t="s">
        <v>249</v>
      </c>
      <c r="D88" s="38" t="s">
        <v>147</v>
      </c>
      <c r="E88" s="38"/>
      <c r="F88" s="40"/>
    </row>
    <row r="89" spans="1:6" s="29" customFormat="1" ht="21" x14ac:dyDescent="0.15">
      <c r="A89" s="28" t="s">
        <v>350</v>
      </c>
      <c r="B89" s="29" t="s">
        <v>149</v>
      </c>
      <c r="C89" s="30" t="s">
        <v>250</v>
      </c>
      <c r="D89" s="38" t="s">
        <v>151</v>
      </c>
      <c r="E89" s="38"/>
      <c r="F89" s="40"/>
    </row>
    <row r="90" spans="1:6" s="29" customFormat="1" ht="21" x14ac:dyDescent="0.15">
      <c r="A90" s="28" t="s">
        <v>350</v>
      </c>
      <c r="B90" s="29" t="s">
        <v>150</v>
      </c>
      <c r="C90" s="30" t="s">
        <v>71</v>
      </c>
      <c r="D90" s="38" t="s">
        <v>152</v>
      </c>
      <c r="E90" s="38"/>
      <c r="F90" s="40"/>
    </row>
    <row r="91" spans="1:6" s="29" customFormat="1" ht="52.5" x14ac:dyDescent="0.15">
      <c r="A91" s="28" t="s">
        <v>350</v>
      </c>
      <c r="B91" s="29" t="s">
        <v>154</v>
      </c>
      <c r="C91" s="30" t="s">
        <v>245</v>
      </c>
      <c r="D91" s="38" t="s">
        <v>153</v>
      </c>
      <c r="E91" s="38" t="s">
        <v>155</v>
      </c>
      <c r="F91" s="40"/>
    </row>
    <row r="92" spans="1:6" s="29" customFormat="1" ht="31.5" x14ac:dyDescent="0.15">
      <c r="A92" s="28" t="s">
        <v>350</v>
      </c>
      <c r="B92" s="29" t="s">
        <v>156</v>
      </c>
      <c r="C92" s="30" t="s">
        <v>211</v>
      </c>
      <c r="D92" s="38" t="s">
        <v>278</v>
      </c>
      <c r="E92" s="38"/>
      <c r="F92" s="40"/>
    </row>
    <row r="93" spans="1:6" s="29" customFormat="1" ht="21" x14ac:dyDescent="0.15">
      <c r="A93" s="28" t="s">
        <v>350</v>
      </c>
      <c r="B93" s="38" t="s">
        <v>275</v>
      </c>
      <c r="C93" s="39" t="s">
        <v>276</v>
      </c>
      <c r="D93" s="38" t="s">
        <v>279</v>
      </c>
      <c r="E93" s="38"/>
      <c r="F93" s="40"/>
    </row>
    <row r="94" spans="1:6" s="29" customFormat="1" ht="21" x14ac:dyDescent="0.15">
      <c r="A94" s="28" t="s">
        <v>350</v>
      </c>
      <c r="B94" s="29" t="s">
        <v>158</v>
      </c>
      <c r="C94" s="30" t="s">
        <v>251</v>
      </c>
      <c r="D94" s="38" t="s">
        <v>157</v>
      </c>
      <c r="E94" s="38"/>
      <c r="F94" s="40"/>
    </row>
    <row r="95" spans="1:6" s="29" customFormat="1" x14ac:dyDescent="0.15">
      <c r="A95" s="28" t="s">
        <v>350</v>
      </c>
      <c r="B95" s="29" t="s">
        <v>159</v>
      </c>
      <c r="C95" s="30" t="s">
        <v>252</v>
      </c>
      <c r="D95" s="38" t="s">
        <v>160</v>
      </c>
      <c r="E95" s="38"/>
      <c r="F95" s="40"/>
    </row>
    <row r="96" spans="1:6" s="29" customFormat="1" x14ac:dyDescent="0.15">
      <c r="A96" s="28" t="s">
        <v>350</v>
      </c>
      <c r="B96" s="29" t="s">
        <v>164</v>
      </c>
      <c r="C96" s="30" t="s">
        <v>253</v>
      </c>
      <c r="D96" s="38" t="s">
        <v>161</v>
      </c>
      <c r="E96" s="38"/>
      <c r="F96" s="40"/>
    </row>
    <row r="97" spans="1:6" s="29" customFormat="1" ht="63" x14ac:dyDescent="0.15">
      <c r="A97" s="28" t="s">
        <v>350</v>
      </c>
      <c r="B97" s="29" t="s">
        <v>165</v>
      </c>
      <c r="C97" s="30" t="s">
        <v>254</v>
      </c>
      <c r="D97" s="38" t="s">
        <v>162</v>
      </c>
      <c r="E97" s="38" t="s">
        <v>163</v>
      </c>
      <c r="F97" s="40"/>
    </row>
    <row r="98" spans="1:6" s="29" customFormat="1" x14ac:dyDescent="0.15">
      <c r="A98" s="28" t="s">
        <v>350</v>
      </c>
      <c r="B98" s="29" t="s">
        <v>167</v>
      </c>
      <c r="C98" s="30" t="s">
        <v>255</v>
      </c>
      <c r="D98" s="38" t="s">
        <v>166</v>
      </c>
      <c r="E98" s="38"/>
      <c r="F98" s="40"/>
    </row>
    <row r="99" spans="1:6" s="29" customFormat="1" ht="52.5" x14ac:dyDescent="0.15">
      <c r="A99" s="28" t="s">
        <v>350</v>
      </c>
      <c r="B99" s="29" t="s">
        <v>168</v>
      </c>
      <c r="C99" s="30" t="s">
        <v>256</v>
      </c>
      <c r="D99" s="38" t="s">
        <v>169</v>
      </c>
      <c r="E99" s="38" t="s">
        <v>170</v>
      </c>
      <c r="F99" s="40"/>
    </row>
    <row r="100" spans="1:6" s="29" customFormat="1" ht="42" x14ac:dyDescent="0.15">
      <c r="A100" s="28" t="s">
        <v>350</v>
      </c>
      <c r="B100" s="29" t="s">
        <v>212</v>
      </c>
      <c r="C100" s="30" t="s">
        <v>257</v>
      </c>
      <c r="D100" s="38" t="s">
        <v>171</v>
      </c>
      <c r="E100" s="38" t="s">
        <v>172</v>
      </c>
      <c r="F100" s="40"/>
    </row>
    <row r="101" spans="1:6" s="29" customFormat="1" ht="21" x14ac:dyDescent="0.15">
      <c r="A101" s="28" t="s">
        <v>350</v>
      </c>
      <c r="B101" s="29" t="s">
        <v>173</v>
      </c>
      <c r="C101" s="30" t="s">
        <v>258</v>
      </c>
      <c r="D101" s="38" t="s">
        <v>145</v>
      </c>
      <c r="E101" s="38"/>
      <c r="F101" s="40"/>
    </row>
    <row r="102" spans="1:6" s="29" customFormat="1" ht="21" x14ac:dyDescent="0.15">
      <c r="A102" s="28" t="s">
        <v>350</v>
      </c>
      <c r="B102" s="29" t="s">
        <v>174</v>
      </c>
      <c r="C102" s="30" t="s">
        <v>259</v>
      </c>
      <c r="D102" s="38" t="s">
        <v>175</v>
      </c>
      <c r="E102" s="38"/>
      <c r="F102" s="40"/>
    </row>
    <row r="103" spans="1:6" s="29" customFormat="1" ht="21" x14ac:dyDescent="0.15">
      <c r="A103" s="28" t="s">
        <v>350</v>
      </c>
      <c r="B103" s="29" t="s">
        <v>176</v>
      </c>
      <c r="C103" s="30" t="s">
        <v>260</v>
      </c>
      <c r="D103" s="38" t="s">
        <v>177</v>
      </c>
      <c r="E103" s="38"/>
      <c r="F103" s="40"/>
    </row>
    <row r="104" spans="1:6" s="29" customFormat="1" ht="21" x14ac:dyDescent="0.15">
      <c r="A104" s="28" t="s">
        <v>350</v>
      </c>
      <c r="B104" s="29" t="s">
        <v>178</v>
      </c>
      <c r="C104" s="30" t="s">
        <v>261</v>
      </c>
      <c r="D104" s="38" t="s">
        <v>179</v>
      </c>
      <c r="E104" s="38"/>
      <c r="F104" s="40"/>
    </row>
    <row r="105" spans="1:6" s="29" customFormat="1" ht="73.5" x14ac:dyDescent="0.15">
      <c r="A105" s="28" t="s">
        <v>350</v>
      </c>
      <c r="B105" s="29" t="s">
        <v>181</v>
      </c>
      <c r="C105" s="30" t="s">
        <v>262</v>
      </c>
      <c r="D105" s="38" t="s">
        <v>180</v>
      </c>
      <c r="E105" s="38" t="s">
        <v>182</v>
      </c>
      <c r="F105" s="40"/>
    </row>
    <row r="106" spans="1:6" s="29" customFormat="1" ht="15" x14ac:dyDescent="0.25">
      <c r="A106" s="28" t="s">
        <v>350</v>
      </c>
      <c r="B106" s="29" t="s">
        <v>183</v>
      </c>
      <c r="C106" t="s">
        <v>455</v>
      </c>
      <c r="D106" s="38" t="s">
        <v>208</v>
      </c>
      <c r="E106" s="38"/>
      <c r="F106" s="40"/>
    </row>
    <row r="107" spans="1:6" s="29" customFormat="1" x14ac:dyDescent="0.15">
      <c r="A107" s="28" t="s">
        <v>350</v>
      </c>
      <c r="B107" s="29" t="s">
        <v>95</v>
      </c>
      <c r="C107" s="30" t="s">
        <v>96</v>
      </c>
      <c r="D107" s="38" t="s">
        <v>184</v>
      </c>
      <c r="E107" s="38"/>
      <c r="F107" s="40"/>
    </row>
    <row r="108" spans="1:6" s="29" customFormat="1" ht="21" x14ac:dyDescent="0.15">
      <c r="A108" s="28" t="s">
        <v>350</v>
      </c>
      <c r="B108" s="29" t="s">
        <v>185</v>
      </c>
      <c r="C108" s="30" t="s">
        <v>264</v>
      </c>
      <c r="D108" s="38" t="s">
        <v>186</v>
      </c>
      <c r="E108" s="38"/>
      <c r="F108" s="40"/>
    </row>
    <row r="109" spans="1:6" s="29" customFormat="1" x14ac:dyDescent="0.15">
      <c r="A109" s="28" t="s">
        <v>350</v>
      </c>
      <c r="B109" s="29" t="s">
        <v>187</v>
      </c>
      <c r="C109" s="30" t="s">
        <v>265</v>
      </c>
      <c r="D109" s="38" t="s">
        <v>188</v>
      </c>
      <c r="E109" s="38"/>
      <c r="F109" s="40"/>
    </row>
    <row r="110" spans="1:6" s="29" customFormat="1" x14ac:dyDescent="0.15">
      <c r="A110" s="28" t="s">
        <v>350</v>
      </c>
      <c r="B110" s="29" t="s">
        <v>458</v>
      </c>
      <c r="C110" s="30" t="s">
        <v>266</v>
      </c>
      <c r="D110" s="38" t="s">
        <v>190</v>
      </c>
      <c r="E110" s="41"/>
      <c r="F110" s="42"/>
    </row>
    <row r="111" spans="1:6" s="29" customFormat="1" ht="52.5" x14ac:dyDescent="0.15">
      <c r="A111" s="28" t="s">
        <v>350</v>
      </c>
      <c r="B111" s="29" t="s">
        <v>191</v>
      </c>
      <c r="C111" s="30" t="s">
        <v>267</v>
      </c>
      <c r="D111" s="38" t="s">
        <v>192</v>
      </c>
      <c r="E111" s="38" t="s">
        <v>207</v>
      </c>
      <c r="F111" s="40"/>
    </row>
    <row r="112" spans="1:6" s="29" customFormat="1" ht="21" x14ac:dyDescent="0.25">
      <c r="A112" s="28" t="s">
        <v>350</v>
      </c>
      <c r="B112" s="29" t="s">
        <v>277</v>
      </c>
      <c r="C112" t="s">
        <v>456</v>
      </c>
      <c r="D112" s="38" t="s">
        <v>192</v>
      </c>
      <c r="E112" s="38"/>
      <c r="F112" s="40"/>
    </row>
    <row r="113" spans="1:6" s="29" customFormat="1" ht="73.5" x14ac:dyDescent="0.15">
      <c r="A113" s="28" t="s">
        <v>350</v>
      </c>
      <c r="B113" s="29" t="s">
        <v>193</v>
      </c>
      <c r="C113" s="30" t="s">
        <v>246</v>
      </c>
      <c r="D113" s="38" t="s">
        <v>281</v>
      </c>
      <c r="E113" s="38" t="s">
        <v>280</v>
      </c>
      <c r="F113" s="40"/>
    </row>
    <row r="114" spans="1:6" s="29" customFormat="1" x14ac:dyDescent="0.25">
      <c r="A114" s="28" t="s">
        <v>350</v>
      </c>
      <c r="B114" s="29" t="s">
        <v>194</v>
      </c>
      <c r="C114" s="30" t="s">
        <v>268</v>
      </c>
      <c r="D114" s="38" t="s">
        <v>195</v>
      </c>
      <c r="E114" s="38"/>
      <c r="F114" s="38"/>
    </row>
    <row r="115" spans="1:6" s="29" customFormat="1" x14ac:dyDescent="0.15">
      <c r="A115" s="28" t="s">
        <v>350</v>
      </c>
      <c r="B115" s="29" t="s">
        <v>196</v>
      </c>
      <c r="C115" s="30" t="s">
        <v>269</v>
      </c>
      <c r="D115" s="38" t="s">
        <v>209</v>
      </c>
      <c r="E115" s="38"/>
      <c r="F115" s="40"/>
    </row>
    <row r="116" spans="1:6" s="29" customFormat="1" ht="52.5" x14ac:dyDescent="0.15">
      <c r="A116" s="28" t="s">
        <v>350</v>
      </c>
      <c r="B116" s="29" t="s">
        <v>197</v>
      </c>
      <c r="C116" s="30" t="s">
        <v>270</v>
      </c>
      <c r="D116" s="38" t="s">
        <v>198</v>
      </c>
      <c r="E116" s="38" t="s">
        <v>213</v>
      </c>
      <c r="F116" s="40"/>
    </row>
    <row r="117" spans="1:6" s="29" customFormat="1" ht="21" x14ac:dyDescent="0.15">
      <c r="A117" s="28" t="s">
        <v>350</v>
      </c>
      <c r="B117" s="29" t="s">
        <v>199</v>
      </c>
      <c r="C117" s="30" t="s">
        <v>271</v>
      </c>
      <c r="D117" s="38" t="s">
        <v>200</v>
      </c>
      <c r="E117" s="38"/>
      <c r="F117" s="40"/>
    </row>
    <row r="118" spans="1:6" s="29" customFormat="1" ht="52.5" x14ac:dyDescent="0.15">
      <c r="A118" s="28" t="s">
        <v>350</v>
      </c>
      <c r="B118" s="29" t="s">
        <v>201</v>
      </c>
      <c r="C118" s="30" t="s">
        <v>272</v>
      </c>
      <c r="D118" s="38" t="s">
        <v>202</v>
      </c>
      <c r="E118" s="38" t="s">
        <v>203</v>
      </c>
      <c r="F118" s="40"/>
    </row>
    <row r="119" spans="1:6" s="29" customFormat="1" ht="21" x14ac:dyDescent="0.25">
      <c r="A119" s="28" t="s">
        <v>350</v>
      </c>
      <c r="B119" s="29" t="s">
        <v>204</v>
      </c>
      <c r="C119" t="s">
        <v>457</v>
      </c>
      <c r="D119" s="38" t="s">
        <v>205</v>
      </c>
      <c r="E119" s="40"/>
    </row>
    <row r="120" spans="1:6" ht="12" x14ac:dyDescent="0.2">
      <c r="B120" s="3" t="s">
        <v>438</v>
      </c>
      <c r="C120" s="4" t="s">
        <v>460</v>
      </c>
      <c r="D120" s="145" t="s">
        <v>464</v>
      </c>
    </row>
    <row r="121" spans="1:6" ht="12" x14ac:dyDescent="0.2">
      <c r="B121" s="3" t="s">
        <v>461</v>
      </c>
      <c r="C121" s="4" t="s">
        <v>462</v>
      </c>
      <c r="D121" s="145" t="s">
        <v>465</v>
      </c>
    </row>
    <row r="122" spans="1:6" ht="12" x14ac:dyDescent="0.2">
      <c r="B122" s="3" t="s">
        <v>439</v>
      </c>
      <c r="C122" s="4" t="s">
        <v>463</v>
      </c>
      <c r="D122" s="145" t="s">
        <v>466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"/>
  <sheetViews>
    <sheetView tabSelected="1" topLeftCell="BZ1" workbookViewId="0">
      <selection activeCell="CI2" sqref="CI2"/>
    </sheetView>
  </sheetViews>
  <sheetFormatPr defaultRowHeight="10.5" x14ac:dyDescent="0.15"/>
  <cols>
    <col min="1" max="1" width="11.5703125" style="75" bestFit="1" customWidth="1"/>
    <col min="2" max="2" width="18.140625" style="75" bestFit="1" customWidth="1"/>
    <col min="3" max="3" width="11.7109375" style="75" bestFit="1" customWidth="1"/>
    <col min="4" max="4" width="15.7109375" style="75" bestFit="1" customWidth="1"/>
    <col min="5" max="5" width="9.140625" style="75"/>
    <col min="6" max="6" width="13.28515625" style="75" customWidth="1"/>
    <col min="7" max="8" width="9.140625" style="75"/>
    <col min="9" max="9" width="15.7109375" style="75" bestFit="1" customWidth="1"/>
    <col min="10" max="10" width="10.42578125" style="75" bestFit="1" customWidth="1"/>
    <col min="11" max="16384" width="9.140625" style="75"/>
  </cols>
  <sheetData>
    <row r="1" spans="1:100" s="68" customFormat="1" x14ac:dyDescent="0.15">
      <c r="A1" s="64" t="s">
        <v>154</v>
      </c>
      <c r="B1" s="143" t="s">
        <v>245</v>
      </c>
      <c r="C1" s="64" t="s">
        <v>158</v>
      </c>
      <c r="D1" s="143" t="s">
        <v>251</v>
      </c>
      <c r="E1" s="64"/>
      <c r="F1" s="78" t="s">
        <v>146</v>
      </c>
      <c r="G1" s="143" t="s">
        <v>248</v>
      </c>
      <c r="H1" s="64" t="s">
        <v>318</v>
      </c>
      <c r="I1" s="143" t="s">
        <v>333</v>
      </c>
      <c r="J1" s="64"/>
      <c r="K1" s="65"/>
      <c r="L1" s="64" t="s">
        <v>303</v>
      </c>
      <c r="M1" s="143" t="s">
        <v>334</v>
      </c>
      <c r="N1" s="65"/>
      <c r="O1" s="64" t="s">
        <v>314</v>
      </c>
      <c r="P1" s="143" t="s">
        <v>244</v>
      </c>
      <c r="Q1" s="144"/>
      <c r="R1" s="64" t="s">
        <v>316</v>
      </c>
      <c r="S1" s="143" t="s">
        <v>454</v>
      </c>
      <c r="T1" s="64" t="s">
        <v>304</v>
      </c>
      <c r="U1" s="143" t="s">
        <v>336</v>
      </c>
      <c r="V1" s="65"/>
      <c r="W1" s="64"/>
      <c r="X1" s="64"/>
      <c r="Y1" s="65"/>
      <c r="Z1" s="64" t="s">
        <v>414</v>
      </c>
      <c r="AA1" s="143" t="s">
        <v>337</v>
      </c>
      <c r="AB1" s="64" t="s">
        <v>315</v>
      </c>
      <c r="AC1" s="143" t="s">
        <v>338</v>
      </c>
      <c r="AD1" s="64"/>
      <c r="AE1" s="65"/>
      <c r="AF1" s="64" t="s">
        <v>306</v>
      </c>
      <c r="AG1" s="143" t="s">
        <v>339</v>
      </c>
      <c r="AH1" s="64"/>
      <c r="AI1" s="65"/>
      <c r="AJ1" s="64" t="s">
        <v>418</v>
      </c>
      <c r="AK1" s="143" t="s">
        <v>451</v>
      </c>
      <c r="AL1" s="65"/>
      <c r="AM1" s="64" t="s">
        <v>420</v>
      </c>
      <c r="AN1" s="143" t="s">
        <v>340</v>
      </c>
      <c r="AO1" s="65"/>
      <c r="AP1" s="64" t="s">
        <v>311</v>
      </c>
      <c r="AQ1" s="143" t="s">
        <v>342</v>
      </c>
      <c r="AR1" s="64"/>
      <c r="AS1" s="64"/>
      <c r="AT1" s="65"/>
      <c r="AU1" s="64" t="s">
        <v>326</v>
      </c>
      <c r="AV1" s="143" t="s">
        <v>343</v>
      </c>
      <c r="AW1" s="64"/>
      <c r="AX1" s="64"/>
      <c r="AY1" s="65"/>
      <c r="AZ1" s="64"/>
      <c r="BA1" s="64"/>
      <c r="BB1" s="64"/>
      <c r="BC1" s="65"/>
      <c r="BD1" s="64" t="s">
        <v>312</v>
      </c>
      <c r="BE1" s="143" t="s">
        <v>344</v>
      </c>
      <c r="BF1" s="64" t="s">
        <v>428</v>
      </c>
      <c r="BG1" s="143" t="s">
        <v>345</v>
      </c>
      <c r="BH1" s="64"/>
      <c r="BI1" s="65"/>
      <c r="BJ1" s="87" t="s">
        <v>135</v>
      </c>
      <c r="BK1" s="143" t="s">
        <v>282</v>
      </c>
      <c r="BL1" s="89"/>
      <c r="BM1" s="89"/>
      <c r="BN1" s="88"/>
      <c r="BO1" s="87" t="s">
        <v>156</v>
      </c>
      <c r="BP1" s="143" t="s">
        <v>211</v>
      </c>
      <c r="BQ1" s="87"/>
      <c r="BR1" s="87"/>
      <c r="BS1" s="88"/>
      <c r="BT1" s="122" t="s">
        <v>286</v>
      </c>
      <c r="BU1" s="143" t="s">
        <v>289</v>
      </c>
      <c r="BV1" s="122"/>
      <c r="BW1" s="123"/>
      <c r="BX1" s="124" t="s">
        <v>438</v>
      </c>
      <c r="BY1" s="143" t="s">
        <v>460</v>
      </c>
      <c r="BZ1" s="122" t="s">
        <v>167</v>
      </c>
      <c r="CA1" s="143" t="s">
        <v>255</v>
      </c>
      <c r="CB1" s="122" t="s">
        <v>287</v>
      </c>
      <c r="CC1" s="143" t="s">
        <v>288</v>
      </c>
      <c r="CE1" s="123"/>
      <c r="CF1" s="122"/>
      <c r="CG1" s="123"/>
      <c r="CH1" s="122" t="s">
        <v>461</v>
      </c>
      <c r="CI1" s="122" t="s">
        <v>467</v>
      </c>
      <c r="CJ1" s="123"/>
      <c r="CK1" s="122" t="s">
        <v>439</v>
      </c>
      <c r="CL1" s="143" t="s">
        <v>463</v>
      </c>
      <c r="CM1" s="122"/>
      <c r="CN1" s="122"/>
      <c r="CO1" s="123"/>
      <c r="CP1" s="122" t="s">
        <v>137</v>
      </c>
      <c r="CQ1" s="143" t="s">
        <v>283</v>
      </c>
      <c r="CR1" s="123"/>
      <c r="CS1" s="122"/>
      <c r="CT1" s="122"/>
      <c r="CU1" s="122"/>
      <c r="CV1" s="123"/>
    </row>
    <row r="2" spans="1:100" s="71" customFormat="1" ht="15" x14ac:dyDescent="0.25">
      <c r="A2" s="69" t="s">
        <v>234</v>
      </c>
      <c r="B2" s="70"/>
      <c r="C2" s="69" t="s">
        <v>295</v>
      </c>
      <c r="D2" s="69"/>
      <c r="E2" s="69"/>
      <c r="F2" s="79" t="s">
        <v>298</v>
      </c>
      <c r="G2" s="70"/>
      <c r="H2" s="69" t="s">
        <v>353</v>
      </c>
      <c r="I2" s="69"/>
      <c r="J2" s="69"/>
      <c r="K2" s="70"/>
      <c r="L2" s="69" t="s">
        <v>355</v>
      </c>
      <c r="M2" s="69"/>
      <c r="N2" s="70"/>
      <c r="O2" s="69" t="s">
        <v>374</v>
      </c>
      <c r="P2" s="70"/>
      <c r="Q2"/>
      <c r="R2" s="69" t="s">
        <v>376</v>
      </c>
      <c r="S2" s="70"/>
      <c r="T2" s="69" t="s">
        <v>410</v>
      </c>
      <c r="U2" s="69"/>
      <c r="V2" s="70"/>
      <c r="W2" s="69" t="s">
        <v>412</v>
      </c>
      <c r="X2" s="69"/>
      <c r="Y2" s="70"/>
      <c r="Z2" s="69" t="s">
        <v>413</v>
      </c>
      <c r="AA2" s="70"/>
      <c r="AB2" s="69" t="s">
        <v>415</v>
      </c>
      <c r="AC2" s="69"/>
      <c r="AD2" s="69" t="s">
        <v>415</v>
      </c>
      <c r="AE2" s="70"/>
      <c r="AF2" s="69" t="s">
        <v>416</v>
      </c>
      <c r="AG2" s="70"/>
      <c r="AH2" s="69" t="s">
        <v>417</v>
      </c>
      <c r="AI2" s="70"/>
      <c r="AJ2" s="69" t="s">
        <v>419</v>
      </c>
      <c r="AK2" s="70"/>
      <c r="AL2" s="70"/>
      <c r="AM2" s="69" t="s">
        <v>421</v>
      </c>
      <c r="AN2" s="69"/>
      <c r="AO2" s="70"/>
      <c r="AP2" s="69" t="s">
        <v>422</v>
      </c>
      <c r="AQ2" s="69"/>
      <c r="AR2" s="69"/>
      <c r="AS2" s="69"/>
      <c r="AT2" s="70"/>
      <c r="AU2" s="69" t="s">
        <v>426</v>
      </c>
      <c r="AV2" s="69"/>
      <c r="AW2" s="69"/>
      <c r="AX2" s="69"/>
      <c r="AY2" s="70"/>
      <c r="AZ2" s="69" t="s">
        <v>426</v>
      </c>
      <c r="BA2" s="69"/>
      <c r="BB2" s="69"/>
      <c r="BC2" s="70"/>
      <c r="BD2" s="69" t="s">
        <v>427</v>
      </c>
      <c r="BE2" s="70"/>
      <c r="BF2" s="69" t="s">
        <v>429</v>
      </c>
      <c r="BG2" s="70"/>
      <c r="BH2" s="69" t="s">
        <v>430</v>
      </c>
      <c r="BI2" s="70"/>
      <c r="BJ2" s="91" t="s">
        <v>435</v>
      </c>
      <c r="BK2" s="92"/>
      <c r="BL2" s="93" t="s">
        <v>437</v>
      </c>
      <c r="BM2" s="93"/>
      <c r="BN2" s="92"/>
      <c r="BO2" s="91" t="s">
        <v>436</v>
      </c>
      <c r="BP2" s="91"/>
      <c r="BQ2" s="91"/>
      <c r="BR2" s="91"/>
      <c r="BS2" s="92"/>
      <c r="BT2" s="125" t="s">
        <v>440</v>
      </c>
      <c r="BU2" s="126"/>
      <c r="BV2" s="125" t="s">
        <v>441</v>
      </c>
      <c r="BW2" s="126"/>
      <c r="BX2" s="127" t="s">
        <v>442</v>
      </c>
      <c r="BY2" s="126"/>
      <c r="BZ2" s="125" t="s">
        <v>443</v>
      </c>
      <c r="CA2" s="126"/>
      <c r="CB2" s="125" t="s">
        <v>444</v>
      </c>
      <c r="CC2" s="126"/>
      <c r="CD2" s="125" t="s">
        <v>444</v>
      </c>
      <c r="CE2" s="126"/>
      <c r="CF2" s="125" t="s">
        <v>445</v>
      </c>
      <c r="CG2" s="126"/>
      <c r="CH2" s="125" t="s">
        <v>446</v>
      </c>
      <c r="CI2" s="125"/>
      <c r="CJ2" s="126"/>
      <c r="CK2" s="125" t="s">
        <v>447</v>
      </c>
      <c r="CL2" s="125"/>
      <c r="CM2" s="125"/>
      <c r="CN2" s="125"/>
      <c r="CO2" s="126"/>
      <c r="CP2" s="125" t="s">
        <v>448</v>
      </c>
      <c r="CQ2" s="125"/>
      <c r="CR2" s="126"/>
      <c r="CS2" s="125" t="s">
        <v>449</v>
      </c>
      <c r="CT2" s="125"/>
      <c r="CU2" s="125"/>
      <c r="CV2" s="126"/>
    </row>
    <row r="3" spans="1:100" s="71" customFormat="1" ht="15" x14ac:dyDescent="0.25">
      <c r="A3" s="43" t="s">
        <v>297</v>
      </c>
      <c r="B3" s="44"/>
      <c r="C3" s="43" t="s">
        <v>297</v>
      </c>
      <c r="D3" s="43"/>
      <c r="E3" s="43"/>
      <c r="F3" s="80" t="s">
        <v>297</v>
      </c>
      <c r="G3" s="44"/>
      <c r="H3" s="43" t="s">
        <v>297</v>
      </c>
      <c r="I3" s="43"/>
      <c r="J3" s="43"/>
      <c r="K3" s="44"/>
      <c r="L3" s="43" t="s">
        <v>297</v>
      </c>
      <c r="M3" s="43"/>
      <c r="N3" s="44"/>
      <c r="O3" s="43" t="s">
        <v>297</v>
      </c>
      <c r="P3" s="43"/>
      <c r="Q3"/>
      <c r="R3" s="43" t="s">
        <v>297</v>
      </c>
      <c r="S3" s="44"/>
      <c r="T3" s="43" t="s">
        <v>297</v>
      </c>
      <c r="U3" s="43"/>
      <c r="V3" s="44"/>
      <c r="W3" s="43" t="s">
        <v>297</v>
      </c>
      <c r="X3" s="43"/>
      <c r="Y3" s="44"/>
      <c r="Z3" s="43" t="s">
        <v>297</v>
      </c>
      <c r="AA3" s="44"/>
      <c r="AB3" s="43" t="s">
        <v>297</v>
      </c>
      <c r="AC3" s="43"/>
      <c r="AD3" s="43" t="s">
        <v>297</v>
      </c>
      <c r="AE3" s="44"/>
      <c r="AF3" s="43" t="s">
        <v>297</v>
      </c>
      <c r="AG3" s="44"/>
      <c r="AH3" s="43" t="s">
        <v>297</v>
      </c>
      <c r="AI3" s="44"/>
      <c r="AJ3" s="43" t="s">
        <v>297</v>
      </c>
      <c r="AK3" s="43"/>
      <c r="AL3" s="44"/>
      <c r="AM3" s="43" t="s">
        <v>297</v>
      </c>
      <c r="AN3" s="43"/>
      <c r="AO3" s="44"/>
      <c r="AP3" s="43" t="s">
        <v>297</v>
      </c>
      <c r="AQ3" s="43" t="s">
        <v>423</v>
      </c>
      <c r="AR3" s="43" t="s">
        <v>424</v>
      </c>
      <c r="AS3" s="43" t="s">
        <v>423</v>
      </c>
      <c r="AT3" s="44" t="s">
        <v>424</v>
      </c>
      <c r="AU3" s="43" t="s">
        <v>297</v>
      </c>
      <c r="AV3" s="43"/>
      <c r="AW3" s="43"/>
      <c r="AX3" s="43"/>
      <c r="AY3" s="44"/>
      <c r="AZ3" s="43" t="s">
        <v>297</v>
      </c>
      <c r="BA3" s="43"/>
      <c r="BB3" s="43"/>
      <c r="BC3" s="44"/>
      <c r="BD3" s="43" t="s">
        <v>356</v>
      </c>
      <c r="BE3" s="44"/>
      <c r="BF3" s="43" t="s">
        <v>297</v>
      </c>
      <c r="BG3" s="44"/>
      <c r="BH3" s="43" t="s">
        <v>356</v>
      </c>
      <c r="BI3" s="44"/>
      <c r="BJ3" s="43" t="s">
        <v>297</v>
      </c>
      <c r="BK3" s="44"/>
      <c r="BL3" s="60" t="s">
        <v>297</v>
      </c>
      <c r="BM3" s="60"/>
      <c r="BN3" s="44"/>
      <c r="BO3" s="43" t="s">
        <v>297</v>
      </c>
      <c r="BP3" s="43"/>
      <c r="BQ3" s="43"/>
      <c r="BR3" s="43"/>
      <c r="BS3" s="44"/>
      <c r="BT3" s="128" t="s">
        <v>297</v>
      </c>
      <c r="BU3" s="129"/>
      <c r="BV3" s="128" t="s">
        <v>297</v>
      </c>
      <c r="BW3" s="129"/>
      <c r="BX3" s="130" t="s">
        <v>297</v>
      </c>
      <c r="BY3" s="129"/>
      <c r="BZ3" s="128" t="s">
        <v>297</v>
      </c>
      <c r="CA3" s="129"/>
      <c r="CB3" s="128" t="s">
        <v>297</v>
      </c>
      <c r="CC3" s="129"/>
      <c r="CD3" s="128" t="s">
        <v>297</v>
      </c>
      <c r="CE3" s="129"/>
      <c r="CF3" s="128" t="s">
        <v>297</v>
      </c>
      <c r="CG3" s="129"/>
      <c r="CH3" s="128" t="s">
        <v>297</v>
      </c>
      <c r="CI3" s="128"/>
      <c r="CJ3" s="129"/>
      <c r="CK3" s="128" t="s">
        <v>297</v>
      </c>
      <c r="CL3" s="128"/>
      <c r="CM3" s="128"/>
      <c r="CN3" s="128"/>
      <c r="CO3" s="129"/>
      <c r="CP3" s="128" t="s">
        <v>297</v>
      </c>
      <c r="CQ3" s="128"/>
      <c r="CR3" s="129"/>
      <c r="CS3" s="128" t="s">
        <v>297</v>
      </c>
      <c r="CT3" s="128"/>
      <c r="CU3" s="128"/>
      <c r="CV3" s="129"/>
    </row>
    <row r="4" spans="1:100" s="63" customFormat="1" ht="15" x14ac:dyDescent="0.25">
      <c r="A4" s="43">
        <f>AVERAGE(0.15,0.22)</f>
        <v>0.185</v>
      </c>
      <c r="B4" s="44">
        <v>1000</v>
      </c>
      <c r="C4" s="43">
        <f>AVERAGE(0.18,0.2)</f>
        <v>0.19</v>
      </c>
      <c r="D4" s="43">
        <v>26</v>
      </c>
      <c r="E4" s="43">
        <v>1.2</v>
      </c>
      <c r="F4" s="80">
        <f>AVERAGE(0.2,0.3)</f>
        <v>0.25</v>
      </c>
      <c r="G4" s="44">
        <v>15</v>
      </c>
      <c r="H4" s="43">
        <v>0.30499999999999999</v>
      </c>
      <c r="I4" s="43">
        <v>1.25</v>
      </c>
      <c r="J4" s="43">
        <v>7</v>
      </c>
      <c r="K4" s="44">
        <v>12.5</v>
      </c>
      <c r="L4" s="43">
        <f>AVERAGE(0.25,0.3)</f>
        <v>0.27500000000000002</v>
      </c>
      <c r="M4" s="43">
        <v>10</v>
      </c>
      <c r="N4" s="44">
        <v>1</v>
      </c>
      <c r="O4" s="43">
        <v>0.27500000000000002</v>
      </c>
      <c r="P4" s="43">
        <v>25</v>
      </c>
      <c r="Q4"/>
      <c r="R4" s="43">
        <f>AVERAGE(0.18,0.2)</f>
        <v>0.19</v>
      </c>
      <c r="S4" s="44">
        <v>18</v>
      </c>
      <c r="T4" s="43">
        <f>AVERAGE(0.35,0.45)</f>
        <v>0.4</v>
      </c>
      <c r="U4" s="43">
        <v>5</v>
      </c>
      <c r="V4" s="44">
        <v>20</v>
      </c>
      <c r="W4" s="43">
        <f>AVERAGE(0.3,0.6)</f>
        <v>0.44999999999999996</v>
      </c>
      <c r="X4" s="60">
        <v>20</v>
      </c>
      <c r="Y4" s="44">
        <v>20</v>
      </c>
      <c r="Z4" s="43">
        <f>AVERAGE(0.25,0.33)</f>
        <v>0.29000000000000004</v>
      </c>
      <c r="AA4" s="44">
        <v>60</v>
      </c>
      <c r="AB4" s="43">
        <v>0.4</v>
      </c>
      <c r="AC4" s="60">
        <v>2.5</v>
      </c>
      <c r="AD4" s="43">
        <v>0.4</v>
      </c>
      <c r="AE4" s="44">
        <v>25</v>
      </c>
      <c r="AF4" s="43">
        <f>AVERAGE(0.15,0.25)</f>
        <v>0.2</v>
      </c>
      <c r="AG4" s="44">
        <v>10</v>
      </c>
      <c r="AH4" s="43">
        <v>0.25</v>
      </c>
      <c r="AI4" s="44">
        <v>50</v>
      </c>
      <c r="AJ4" s="43">
        <f>AVERAGE(0.22,0.25)</f>
        <v>0.23499999999999999</v>
      </c>
      <c r="AK4" s="60">
        <v>20</v>
      </c>
      <c r="AL4" s="44"/>
      <c r="AM4" s="43">
        <v>0.36</v>
      </c>
      <c r="AN4" s="43">
        <v>5</v>
      </c>
      <c r="AO4" s="44">
        <v>15</v>
      </c>
      <c r="AP4" s="43" t="s">
        <v>425</v>
      </c>
      <c r="AQ4" s="43">
        <v>0.1</v>
      </c>
      <c r="AR4" s="43"/>
      <c r="AS4" s="43">
        <v>10</v>
      </c>
      <c r="AT4" s="44"/>
      <c r="AU4" s="43">
        <v>0.26</v>
      </c>
      <c r="AV4" s="43">
        <v>1</v>
      </c>
      <c r="AW4" s="43">
        <v>4</v>
      </c>
      <c r="AX4" s="43">
        <v>8</v>
      </c>
      <c r="AY4" s="44">
        <v>20</v>
      </c>
      <c r="AZ4" s="43">
        <v>0.26</v>
      </c>
      <c r="BA4" s="43">
        <v>4</v>
      </c>
      <c r="BB4" s="43">
        <v>8</v>
      </c>
      <c r="BC4" s="44">
        <v>20</v>
      </c>
      <c r="BD4" s="43">
        <v>0.23</v>
      </c>
      <c r="BE4" s="44">
        <v>23</v>
      </c>
      <c r="BF4" s="43">
        <v>0.27500000000000002</v>
      </c>
      <c r="BG4" s="44">
        <v>10</v>
      </c>
      <c r="BH4" s="43">
        <v>0.29499999999999998</v>
      </c>
      <c r="BI4" s="44">
        <v>20</v>
      </c>
      <c r="BJ4" s="43">
        <v>0.26300000000000001</v>
      </c>
      <c r="BK4" s="44">
        <v>40</v>
      </c>
      <c r="BL4" s="60">
        <v>0.255</v>
      </c>
      <c r="BM4" s="60">
        <v>25</v>
      </c>
      <c r="BN4" s="44">
        <v>25</v>
      </c>
      <c r="BO4" s="43">
        <v>0.24</v>
      </c>
      <c r="BP4" s="43">
        <v>5</v>
      </c>
      <c r="BQ4" s="43">
        <v>10</v>
      </c>
      <c r="BR4" s="43">
        <v>50</v>
      </c>
      <c r="BS4" s="44">
        <v>100</v>
      </c>
      <c r="BT4" s="128">
        <v>0.25600000000000001</v>
      </c>
      <c r="BU4" s="129">
        <v>5.9</v>
      </c>
      <c r="BV4" s="128">
        <v>0.27700000000000002</v>
      </c>
      <c r="BW4" s="129">
        <v>6</v>
      </c>
      <c r="BX4" s="130">
        <v>0.25</v>
      </c>
      <c r="BY4" s="129">
        <v>4</v>
      </c>
      <c r="BZ4" s="128">
        <v>0.1</v>
      </c>
      <c r="CA4" s="129">
        <v>5</v>
      </c>
      <c r="CB4" s="128">
        <v>0.28799999999999998</v>
      </c>
      <c r="CC4" s="129">
        <v>298</v>
      </c>
      <c r="CD4" s="128">
        <v>0.28799999999999998</v>
      </c>
      <c r="CE4" s="129">
        <v>5.98</v>
      </c>
      <c r="CF4" s="128">
        <v>0.24399999999999999</v>
      </c>
      <c r="CG4" s="129">
        <v>100</v>
      </c>
      <c r="CH4" s="128">
        <v>0.32500000000000001</v>
      </c>
      <c r="CI4" s="128">
        <v>50</v>
      </c>
      <c r="CJ4" s="129">
        <v>100</v>
      </c>
      <c r="CK4" s="128">
        <v>0.31</v>
      </c>
      <c r="CL4" s="128">
        <v>0.4</v>
      </c>
      <c r="CM4" s="128">
        <v>1.6</v>
      </c>
      <c r="CN4" s="128">
        <v>0.4</v>
      </c>
      <c r="CO4" s="129">
        <v>1.6</v>
      </c>
      <c r="CP4" s="128">
        <v>0.3</v>
      </c>
      <c r="CQ4" s="128">
        <v>200</v>
      </c>
      <c r="CR4" s="129">
        <v>600</v>
      </c>
      <c r="CS4" s="128">
        <v>0.3</v>
      </c>
      <c r="CT4" s="128">
        <v>10</v>
      </c>
      <c r="CU4" s="128">
        <v>50</v>
      </c>
      <c r="CV4" s="129">
        <v>100</v>
      </c>
    </row>
    <row r="5" spans="1:100" s="63" customFormat="1" ht="15" x14ac:dyDescent="0.25">
      <c r="A5" s="61" t="s">
        <v>404</v>
      </c>
      <c r="B5" s="72" t="s">
        <v>294</v>
      </c>
      <c r="C5" s="61" t="s">
        <v>404</v>
      </c>
      <c r="D5" s="61" t="s">
        <v>294</v>
      </c>
      <c r="E5" s="61" t="s">
        <v>296</v>
      </c>
      <c r="F5" s="81" t="s">
        <v>404</v>
      </c>
      <c r="G5" s="62" t="s">
        <v>296</v>
      </c>
      <c r="H5" s="61" t="s">
        <v>404</v>
      </c>
      <c r="I5" s="61" t="s">
        <v>296</v>
      </c>
      <c r="J5" s="61" t="s">
        <v>294</v>
      </c>
      <c r="K5" s="62" t="s">
        <v>294</v>
      </c>
      <c r="L5" s="61" t="s">
        <v>404</v>
      </c>
      <c r="M5" s="61" t="s">
        <v>296</v>
      </c>
      <c r="N5" s="62" t="s">
        <v>294</v>
      </c>
      <c r="O5" s="61" t="s">
        <v>404</v>
      </c>
      <c r="P5" s="61" t="s">
        <v>375</v>
      </c>
      <c r="Q5"/>
      <c r="R5" s="61" t="s">
        <v>404</v>
      </c>
      <c r="S5" s="62" t="s">
        <v>294</v>
      </c>
      <c r="T5" s="61" t="s">
        <v>404</v>
      </c>
      <c r="U5" s="61" t="s">
        <v>411</v>
      </c>
      <c r="V5" s="62" t="s">
        <v>375</v>
      </c>
      <c r="W5" s="61" t="s">
        <v>404</v>
      </c>
      <c r="X5" s="61" t="s">
        <v>296</v>
      </c>
      <c r="Y5" s="62" t="s">
        <v>294</v>
      </c>
      <c r="Z5" s="61" t="s">
        <v>404</v>
      </c>
      <c r="AA5" s="62" t="s">
        <v>296</v>
      </c>
      <c r="AB5" s="61" t="s">
        <v>404</v>
      </c>
      <c r="AC5" s="61" t="s">
        <v>296</v>
      </c>
      <c r="AD5" s="61" t="s">
        <v>404</v>
      </c>
      <c r="AE5" s="62" t="s">
        <v>296</v>
      </c>
      <c r="AF5" s="61" t="s">
        <v>404</v>
      </c>
      <c r="AG5" s="62" t="s">
        <v>296</v>
      </c>
      <c r="AH5" s="61" t="s">
        <v>404</v>
      </c>
      <c r="AI5" s="62" t="s">
        <v>294</v>
      </c>
      <c r="AJ5" s="61" t="s">
        <v>404</v>
      </c>
      <c r="AK5" s="61" t="s">
        <v>294</v>
      </c>
      <c r="AL5" s="62"/>
      <c r="AM5" s="61" t="s">
        <v>404</v>
      </c>
      <c r="AN5" s="61" t="s">
        <v>296</v>
      </c>
      <c r="AO5" s="62" t="s">
        <v>294</v>
      </c>
      <c r="AP5" s="61" t="s">
        <v>404</v>
      </c>
      <c r="AQ5" s="61" t="s">
        <v>296</v>
      </c>
      <c r="AR5" s="61"/>
      <c r="AS5" s="61" t="s">
        <v>294</v>
      </c>
      <c r="AT5" s="62"/>
      <c r="AU5" s="61" t="s">
        <v>404</v>
      </c>
      <c r="AV5" s="61" t="s">
        <v>296</v>
      </c>
      <c r="AW5" s="61" t="s">
        <v>296</v>
      </c>
      <c r="AX5" s="61" t="s">
        <v>296</v>
      </c>
      <c r="AY5" s="62" t="s">
        <v>296</v>
      </c>
      <c r="AZ5" s="61" t="s">
        <v>404</v>
      </c>
      <c r="BA5" s="61" t="s">
        <v>294</v>
      </c>
      <c r="BB5" s="61" t="s">
        <v>294</v>
      </c>
      <c r="BC5" s="62" t="s">
        <v>294</v>
      </c>
      <c r="BD5" s="61" t="s">
        <v>404</v>
      </c>
      <c r="BE5" s="62" t="s">
        <v>296</v>
      </c>
      <c r="BF5" s="61" t="s">
        <v>404</v>
      </c>
      <c r="BG5" s="62" t="s">
        <v>296</v>
      </c>
      <c r="BH5" s="61" t="s">
        <v>404</v>
      </c>
      <c r="BI5" s="62" t="s">
        <v>294</v>
      </c>
      <c r="BJ5" s="61" t="s">
        <v>404</v>
      </c>
      <c r="BK5" s="62" t="s">
        <v>296</v>
      </c>
      <c r="BL5" s="61" t="s">
        <v>404</v>
      </c>
      <c r="BM5" s="61" t="s">
        <v>296</v>
      </c>
      <c r="BN5" s="62" t="s">
        <v>294</v>
      </c>
      <c r="BO5" s="61" t="s">
        <v>404</v>
      </c>
      <c r="BP5" s="60" t="s">
        <v>294</v>
      </c>
      <c r="BQ5" s="61" t="s">
        <v>294</v>
      </c>
      <c r="BR5" s="61" t="s">
        <v>294</v>
      </c>
      <c r="BS5" s="62" t="s">
        <v>294</v>
      </c>
      <c r="BT5" s="131" t="s">
        <v>404</v>
      </c>
      <c r="BU5" s="131" t="s">
        <v>296</v>
      </c>
      <c r="BV5" s="132" t="s">
        <v>404</v>
      </c>
      <c r="BW5" s="133" t="s">
        <v>296</v>
      </c>
      <c r="BX5" s="132" t="s">
        <v>404</v>
      </c>
      <c r="BY5" s="133" t="s">
        <v>294</v>
      </c>
      <c r="BZ5" s="132" t="s">
        <v>404</v>
      </c>
      <c r="CA5" s="133" t="s">
        <v>294</v>
      </c>
      <c r="CB5" s="132" t="s">
        <v>404</v>
      </c>
      <c r="CC5" s="133" t="s">
        <v>296</v>
      </c>
      <c r="CD5" s="132" t="s">
        <v>404</v>
      </c>
      <c r="CE5" s="133" t="s">
        <v>296</v>
      </c>
      <c r="CF5" s="132" t="s">
        <v>404</v>
      </c>
      <c r="CG5" s="133" t="s">
        <v>296</v>
      </c>
      <c r="CH5" s="132" t="s">
        <v>404</v>
      </c>
      <c r="CI5" s="131" t="s">
        <v>296</v>
      </c>
      <c r="CJ5" s="133" t="s">
        <v>294</v>
      </c>
      <c r="CK5" s="132" t="s">
        <v>404</v>
      </c>
      <c r="CL5" s="131" t="s">
        <v>296</v>
      </c>
      <c r="CM5" s="131" t="s">
        <v>296</v>
      </c>
      <c r="CN5" s="131" t="s">
        <v>294</v>
      </c>
      <c r="CO5" s="133" t="s">
        <v>294</v>
      </c>
      <c r="CP5" s="132" t="s">
        <v>404</v>
      </c>
      <c r="CQ5" s="131" t="s">
        <v>294</v>
      </c>
      <c r="CR5" s="133" t="s">
        <v>294</v>
      </c>
      <c r="CS5" s="131" t="s">
        <v>404</v>
      </c>
      <c r="CT5" s="131" t="s">
        <v>296</v>
      </c>
      <c r="CU5" s="131" t="s">
        <v>296</v>
      </c>
      <c r="CV5" s="133" t="s">
        <v>296</v>
      </c>
    </row>
    <row r="6" spans="1:100" ht="15" x14ac:dyDescent="0.25">
      <c r="A6" s="66" t="s">
        <v>291</v>
      </c>
      <c r="B6" s="67" t="s">
        <v>290</v>
      </c>
      <c r="C6" s="66" t="s">
        <v>291</v>
      </c>
      <c r="D6" s="66" t="s">
        <v>290</v>
      </c>
      <c r="E6" s="66" t="s">
        <v>290</v>
      </c>
      <c r="F6" s="82" t="s">
        <v>291</v>
      </c>
      <c r="G6" s="67" t="s">
        <v>290</v>
      </c>
      <c r="H6" s="66" t="s">
        <v>291</v>
      </c>
      <c r="I6" s="66" t="s">
        <v>354</v>
      </c>
      <c r="J6" s="66"/>
      <c r="K6" s="67"/>
      <c r="L6" s="66" t="s">
        <v>291</v>
      </c>
      <c r="M6" s="66" t="s">
        <v>354</v>
      </c>
      <c r="N6" s="67"/>
      <c r="O6" s="66" t="s">
        <v>291</v>
      </c>
      <c r="P6" s="66" t="s">
        <v>354</v>
      </c>
      <c r="Q6"/>
      <c r="R6" s="66" t="s">
        <v>291</v>
      </c>
      <c r="S6" s="67" t="s">
        <v>354</v>
      </c>
      <c r="T6" s="66" t="s">
        <v>291</v>
      </c>
      <c r="U6" s="66" t="s">
        <v>354</v>
      </c>
      <c r="V6" s="67"/>
      <c r="W6" s="66" t="s">
        <v>291</v>
      </c>
      <c r="X6" s="73" t="s">
        <v>354</v>
      </c>
      <c r="Y6" s="67"/>
      <c r="Z6" s="66" t="s">
        <v>291</v>
      </c>
      <c r="AA6" s="67" t="s">
        <v>354</v>
      </c>
      <c r="AB6" s="73" t="s">
        <v>291</v>
      </c>
      <c r="AC6" s="73" t="s">
        <v>354</v>
      </c>
      <c r="AD6" s="73" t="s">
        <v>291</v>
      </c>
      <c r="AE6" s="73" t="s">
        <v>354</v>
      </c>
      <c r="AF6" s="66" t="s">
        <v>291</v>
      </c>
      <c r="AG6" s="67" t="s">
        <v>354</v>
      </c>
      <c r="AH6" s="66" t="s">
        <v>291</v>
      </c>
      <c r="AI6" s="67" t="s">
        <v>354</v>
      </c>
      <c r="AJ6" s="66" t="s">
        <v>291</v>
      </c>
      <c r="AK6" s="73" t="s">
        <v>354</v>
      </c>
      <c r="AL6" s="67"/>
      <c r="AM6" s="66" t="s">
        <v>291</v>
      </c>
      <c r="AN6" s="73" t="s">
        <v>354</v>
      </c>
      <c r="AO6" s="67"/>
      <c r="AP6" s="66" t="s">
        <v>291</v>
      </c>
      <c r="AQ6" s="74" t="s">
        <v>354</v>
      </c>
      <c r="AR6" s="66"/>
      <c r="AS6" s="66"/>
      <c r="AT6" s="67"/>
      <c r="AU6" s="66" t="s">
        <v>291</v>
      </c>
      <c r="AV6" s="73" t="s">
        <v>354</v>
      </c>
      <c r="AW6" s="66"/>
      <c r="AX6" s="66"/>
      <c r="AY6" s="67"/>
      <c r="AZ6" s="66" t="s">
        <v>291</v>
      </c>
      <c r="BA6" s="73" t="s">
        <v>354</v>
      </c>
      <c r="BB6" s="66"/>
      <c r="BC6" s="67"/>
      <c r="BD6" s="66" t="s">
        <v>291</v>
      </c>
      <c r="BE6" s="67" t="s">
        <v>354</v>
      </c>
      <c r="BF6" s="66" t="s">
        <v>291</v>
      </c>
      <c r="BG6" s="67" t="s">
        <v>354</v>
      </c>
      <c r="BH6" s="66" t="s">
        <v>291</v>
      </c>
      <c r="BI6" s="67" t="s">
        <v>354</v>
      </c>
      <c r="BJ6" s="90" t="s">
        <v>291</v>
      </c>
      <c r="BK6" s="94" t="s">
        <v>354</v>
      </c>
      <c r="BL6" s="90" t="s">
        <v>291</v>
      </c>
      <c r="BM6" s="95" t="s">
        <v>354</v>
      </c>
      <c r="BN6" s="94" t="s">
        <v>354</v>
      </c>
      <c r="BO6" s="90" t="s">
        <v>291</v>
      </c>
      <c r="BP6" s="96" t="s">
        <v>354</v>
      </c>
      <c r="BQ6" s="90"/>
      <c r="BR6" s="90"/>
      <c r="BS6" s="94"/>
      <c r="BT6" s="134" t="s">
        <v>291</v>
      </c>
      <c r="BU6" s="135" t="s">
        <v>354</v>
      </c>
      <c r="BV6" s="134" t="s">
        <v>291</v>
      </c>
      <c r="BW6" s="135" t="s">
        <v>354</v>
      </c>
      <c r="BX6" s="134" t="s">
        <v>291</v>
      </c>
      <c r="BY6" s="135" t="s">
        <v>354</v>
      </c>
      <c r="BZ6" s="134" t="s">
        <v>291</v>
      </c>
      <c r="CA6" s="135" t="s">
        <v>354</v>
      </c>
      <c r="CB6" s="134" t="s">
        <v>291</v>
      </c>
      <c r="CC6" s="135" t="s">
        <v>354</v>
      </c>
      <c r="CD6" s="134" t="s">
        <v>291</v>
      </c>
      <c r="CE6" s="135" t="s">
        <v>354</v>
      </c>
      <c r="CF6" s="136" t="s">
        <v>291</v>
      </c>
      <c r="CG6" s="135" t="s">
        <v>354</v>
      </c>
      <c r="CH6" s="134" t="s">
        <v>291</v>
      </c>
      <c r="CI6" s="134" t="s">
        <v>354</v>
      </c>
      <c r="CJ6" s="135"/>
      <c r="CK6" s="134" t="s">
        <v>291</v>
      </c>
      <c r="CL6" s="134" t="s">
        <v>354</v>
      </c>
      <c r="CM6" s="134"/>
      <c r="CN6" s="134"/>
      <c r="CO6" s="135"/>
      <c r="CP6" s="134" t="s">
        <v>291</v>
      </c>
      <c r="CQ6" s="134" t="s">
        <v>354</v>
      </c>
      <c r="CR6" s="135"/>
      <c r="CS6" s="134" t="s">
        <v>291</v>
      </c>
      <c r="CT6" s="134" t="s">
        <v>354</v>
      </c>
      <c r="CU6" s="134"/>
      <c r="CV6" s="135"/>
    </row>
    <row r="7" spans="1:100" ht="15" x14ac:dyDescent="0.25">
      <c r="A7" s="66" t="s">
        <v>292</v>
      </c>
      <c r="B7" s="67" t="s">
        <v>293</v>
      </c>
      <c r="C7" s="66" t="s">
        <v>292</v>
      </c>
      <c r="D7" s="66" t="s">
        <v>293</v>
      </c>
      <c r="E7" s="66" t="s">
        <v>293</v>
      </c>
      <c r="F7" s="82" t="s">
        <v>292</v>
      </c>
      <c r="G7" s="67" t="s">
        <v>293</v>
      </c>
      <c r="H7" s="66" t="s">
        <v>292</v>
      </c>
      <c r="I7" s="66" t="s">
        <v>293</v>
      </c>
      <c r="J7" s="66"/>
      <c r="K7" s="67"/>
      <c r="L7" s="66" t="s">
        <v>292</v>
      </c>
      <c r="M7" s="66" t="s">
        <v>293</v>
      </c>
      <c r="N7" s="67"/>
      <c r="O7" s="66" t="s">
        <v>292</v>
      </c>
      <c r="P7" s="66" t="s">
        <v>293</v>
      </c>
      <c r="Q7"/>
      <c r="R7" s="66" t="s">
        <v>292</v>
      </c>
      <c r="S7" s="67" t="s">
        <v>293</v>
      </c>
      <c r="T7" s="66" t="s">
        <v>292</v>
      </c>
      <c r="U7" s="66" t="s">
        <v>293</v>
      </c>
      <c r="V7" s="67"/>
      <c r="W7" s="66" t="s">
        <v>292</v>
      </c>
      <c r="X7" s="73" t="s">
        <v>293</v>
      </c>
      <c r="Y7" s="67"/>
      <c r="Z7" s="66" t="s">
        <v>292</v>
      </c>
      <c r="AA7" s="67" t="s">
        <v>293</v>
      </c>
      <c r="AB7" s="73" t="s">
        <v>292</v>
      </c>
      <c r="AC7" s="73" t="s">
        <v>293</v>
      </c>
      <c r="AD7" s="73" t="s">
        <v>292</v>
      </c>
      <c r="AE7" s="73" t="s">
        <v>293</v>
      </c>
      <c r="AF7" s="66" t="s">
        <v>292</v>
      </c>
      <c r="AG7" s="67" t="s">
        <v>293</v>
      </c>
      <c r="AH7" s="66" t="s">
        <v>292</v>
      </c>
      <c r="AI7" s="67" t="s">
        <v>293</v>
      </c>
      <c r="AJ7" s="66" t="s">
        <v>292</v>
      </c>
      <c r="AK7" s="73" t="s">
        <v>293</v>
      </c>
      <c r="AL7" s="67"/>
      <c r="AM7" s="66" t="s">
        <v>292</v>
      </c>
      <c r="AN7" s="73" t="s">
        <v>293</v>
      </c>
      <c r="AO7" s="67"/>
      <c r="AP7" s="66" t="s">
        <v>292</v>
      </c>
      <c r="AQ7" s="67" t="s">
        <v>293</v>
      </c>
      <c r="AR7" s="66"/>
      <c r="AS7" s="66"/>
      <c r="AT7" s="67"/>
      <c r="AU7" s="66" t="s">
        <v>292</v>
      </c>
      <c r="AV7" s="73" t="s">
        <v>293</v>
      </c>
      <c r="AW7" s="66"/>
      <c r="AX7" s="66"/>
      <c r="AY7" s="67"/>
      <c r="AZ7" s="66" t="s">
        <v>292</v>
      </c>
      <c r="BA7" s="73" t="s">
        <v>293</v>
      </c>
      <c r="BB7" s="66"/>
      <c r="BC7" s="67"/>
      <c r="BD7" s="66" t="s">
        <v>292</v>
      </c>
      <c r="BE7" s="67" t="s">
        <v>293</v>
      </c>
      <c r="BF7" s="66" t="s">
        <v>292</v>
      </c>
      <c r="BG7" s="67" t="s">
        <v>293</v>
      </c>
      <c r="BH7" s="66" t="s">
        <v>292</v>
      </c>
      <c r="BI7" s="67" t="s">
        <v>293</v>
      </c>
      <c r="BJ7" s="90" t="s">
        <v>292</v>
      </c>
      <c r="BK7" s="94" t="s">
        <v>293</v>
      </c>
      <c r="BL7" s="90" t="s">
        <v>292</v>
      </c>
      <c r="BM7" s="95" t="s">
        <v>293</v>
      </c>
      <c r="BN7" s="94" t="s">
        <v>293</v>
      </c>
      <c r="BO7" s="90" t="s">
        <v>292</v>
      </c>
      <c r="BP7" s="95" t="s">
        <v>293</v>
      </c>
      <c r="BQ7" s="90"/>
      <c r="BR7" s="90"/>
      <c r="BS7" s="94"/>
      <c r="BT7" s="134" t="s">
        <v>292</v>
      </c>
      <c r="BU7" s="135" t="s">
        <v>293</v>
      </c>
      <c r="BV7" s="134" t="s">
        <v>292</v>
      </c>
      <c r="BW7" s="135" t="s">
        <v>293</v>
      </c>
      <c r="BX7" s="134" t="s">
        <v>292</v>
      </c>
      <c r="BY7" s="135" t="s">
        <v>293</v>
      </c>
      <c r="BZ7" s="134" t="s">
        <v>292</v>
      </c>
      <c r="CA7" s="135" t="s">
        <v>293</v>
      </c>
      <c r="CB7" s="134" t="s">
        <v>292</v>
      </c>
      <c r="CC7" s="135" t="s">
        <v>293</v>
      </c>
      <c r="CD7" s="134" t="s">
        <v>292</v>
      </c>
      <c r="CE7" s="135" t="s">
        <v>293</v>
      </c>
      <c r="CF7" s="136" t="s">
        <v>292</v>
      </c>
      <c r="CG7" s="135" t="s">
        <v>293</v>
      </c>
      <c r="CH7" s="134" t="s">
        <v>292</v>
      </c>
      <c r="CI7" s="134" t="s">
        <v>450</v>
      </c>
      <c r="CJ7" s="135"/>
      <c r="CK7" s="134" t="s">
        <v>292</v>
      </c>
      <c r="CL7" s="134" t="s">
        <v>450</v>
      </c>
      <c r="CM7" s="134"/>
      <c r="CN7" s="134"/>
      <c r="CO7" s="135"/>
      <c r="CP7" s="134" t="s">
        <v>292</v>
      </c>
      <c r="CQ7" s="134" t="s">
        <v>450</v>
      </c>
      <c r="CR7" s="135"/>
      <c r="CS7" s="134" t="s">
        <v>292</v>
      </c>
      <c r="CT7" s="134" t="s">
        <v>450</v>
      </c>
      <c r="CU7" s="134"/>
      <c r="CV7" s="135"/>
    </row>
    <row r="8" spans="1:100" ht="15" x14ac:dyDescent="0.25">
      <c r="A8" s="66"/>
      <c r="B8" s="67"/>
      <c r="C8" s="66"/>
      <c r="D8" s="73"/>
      <c r="E8" s="73"/>
      <c r="F8" s="82"/>
      <c r="G8" s="67"/>
      <c r="H8" s="66"/>
      <c r="I8" s="73"/>
      <c r="J8" s="73"/>
      <c r="K8" s="67"/>
      <c r="L8" s="66"/>
      <c r="M8" s="73"/>
      <c r="N8" s="67"/>
      <c r="O8" s="66"/>
      <c r="P8" s="66"/>
      <c r="Q8"/>
      <c r="R8" s="66"/>
      <c r="S8" s="67"/>
      <c r="T8" s="66"/>
      <c r="U8" s="66"/>
      <c r="V8" s="67"/>
      <c r="W8" s="66"/>
      <c r="X8" s="73"/>
      <c r="Y8" s="67"/>
      <c r="Z8" s="66"/>
      <c r="AA8" s="67"/>
      <c r="AB8" s="66"/>
      <c r="AC8" s="73"/>
      <c r="AD8" s="73"/>
      <c r="AE8" s="67"/>
      <c r="AF8" s="66"/>
      <c r="AG8" s="67"/>
      <c r="AH8" s="66"/>
      <c r="AI8" s="67"/>
      <c r="AJ8" s="66"/>
      <c r="AK8" s="73"/>
      <c r="AL8" s="67"/>
      <c r="AM8" s="66"/>
      <c r="AN8" s="73"/>
      <c r="AO8" s="67"/>
      <c r="AP8" s="66"/>
      <c r="AQ8" s="66"/>
      <c r="AR8" s="66"/>
      <c r="AS8" s="66"/>
      <c r="AT8" s="67"/>
      <c r="AU8" s="66"/>
      <c r="AV8" s="66"/>
      <c r="AW8" s="66"/>
      <c r="AX8" s="66"/>
      <c r="AY8" s="67"/>
      <c r="AZ8" s="66"/>
      <c r="BA8" s="66"/>
      <c r="BB8" s="66"/>
      <c r="BC8" s="67"/>
      <c r="BD8" s="66"/>
      <c r="BE8" s="67"/>
      <c r="BF8" s="66"/>
      <c r="BG8" s="67"/>
      <c r="BH8" s="66"/>
      <c r="BI8" s="67"/>
      <c r="BJ8" s="90"/>
      <c r="BK8" s="94"/>
      <c r="BL8" s="95"/>
      <c r="BM8" s="95"/>
      <c r="BN8" s="94"/>
      <c r="BO8" s="90"/>
      <c r="BP8" s="90"/>
      <c r="BQ8" s="90"/>
      <c r="BR8" s="90"/>
      <c r="BS8" s="94"/>
      <c r="BT8" s="134"/>
      <c r="BU8" s="135"/>
      <c r="BV8" s="134"/>
      <c r="BW8" s="135"/>
      <c r="BX8" s="134"/>
      <c r="BY8" s="135"/>
      <c r="BZ8" s="134"/>
      <c r="CA8" s="135"/>
      <c r="CB8" s="134"/>
      <c r="CC8" s="135"/>
      <c r="CD8" s="134"/>
      <c r="CE8" s="135"/>
      <c r="CF8" s="136"/>
      <c r="CG8" s="135"/>
      <c r="CH8" s="134"/>
      <c r="CI8" s="134"/>
      <c r="CJ8" s="135"/>
      <c r="CK8" s="134"/>
      <c r="CL8" s="134"/>
      <c r="CM8" s="134"/>
      <c r="CN8" s="134"/>
      <c r="CO8" s="135"/>
      <c r="CP8" s="134"/>
      <c r="CQ8" s="134"/>
      <c r="CR8" s="135"/>
      <c r="CS8" s="134"/>
      <c r="CT8" s="134"/>
      <c r="CU8" s="134"/>
      <c r="CV8" s="135"/>
    </row>
    <row r="9" spans="1:100" ht="15" x14ac:dyDescent="0.25">
      <c r="A9" s="66">
        <v>0.25</v>
      </c>
      <c r="B9" s="67">
        <v>10.0413</v>
      </c>
      <c r="C9" s="66">
        <v>0.5</v>
      </c>
      <c r="D9" s="66">
        <v>0.22158481740735464</v>
      </c>
      <c r="E9" s="66">
        <v>0.58878942334818674</v>
      </c>
      <c r="F9" s="82">
        <v>0.5</v>
      </c>
      <c r="G9" s="67">
        <v>9.8327840231571209</v>
      </c>
      <c r="H9" s="66">
        <v>3.3333333333333333E-2</v>
      </c>
      <c r="I9" s="66">
        <v>0.79120184562680962</v>
      </c>
      <c r="J9" s="66">
        <v>9.2476054374145428E-3</v>
      </c>
      <c r="K9" s="67">
        <v>8.5401852567782488E-2</v>
      </c>
      <c r="L9" s="66">
        <v>0</v>
      </c>
      <c r="M9" s="95"/>
      <c r="N9" s="67"/>
      <c r="O9" s="66">
        <v>0</v>
      </c>
      <c r="P9" s="76"/>
      <c r="Q9"/>
      <c r="R9" s="66">
        <v>0</v>
      </c>
      <c r="S9" s="67">
        <v>3.0927799999999998E-2</v>
      </c>
      <c r="T9" s="66">
        <v>0</v>
      </c>
      <c r="U9" s="66">
        <v>1.8784083062265245E-2</v>
      </c>
      <c r="V9" s="67"/>
      <c r="W9" s="66">
        <v>0</v>
      </c>
      <c r="X9" s="66">
        <v>13.026867624962961</v>
      </c>
      <c r="Y9" s="90" t="s">
        <v>125</v>
      </c>
      <c r="Z9" s="66">
        <v>3.3333333333333333E-2</v>
      </c>
      <c r="AA9" s="67">
        <v>128.63251996544292</v>
      </c>
      <c r="AB9" s="77">
        <v>0</v>
      </c>
      <c r="AC9" s="66">
        <v>16.049074756587082</v>
      </c>
      <c r="AD9" s="77">
        <v>0</v>
      </c>
      <c r="AE9" s="67">
        <v>163.20369983338145</v>
      </c>
      <c r="AF9" s="66">
        <v>5.7894099999999997E-2</v>
      </c>
      <c r="AG9" s="67">
        <v>2.3443700000000001</v>
      </c>
      <c r="AH9" s="66">
        <v>0.25</v>
      </c>
      <c r="AI9" s="67">
        <v>9.9099100000000009E-2</v>
      </c>
      <c r="AJ9" s="66">
        <v>0</v>
      </c>
      <c r="AK9" s="66">
        <v>0</v>
      </c>
      <c r="AL9" s="67">
        <v>0</v>
      </c>
      <c r="AM9" s="66">
        <v>8.3333000000000004E-2</v>
      </c>
      <c r="AN9" s="66">
        <v>2.2122285865231626</v>
      </c>
      <c r="AO9" s="67">
        <v>1.2915463606824372E-2</v>
      </c>
      <c r="AP9" s="66">
        <v>8.3333000000000004E-2</v>
      </c>
      <c r="AQ9" s="66">
        <v>2.9244890527072694E-2</v>
      </c>
      <c r="AR9" s="66">
        <v>2.7348908610696471E-2</v>
      </c>
      <c r="AS9" s="66"/>
      <c r="AT9" s="67"/>
      <c r="AU9" s="66">
        <v>1.6666666666666666E-2</v>
      </c>
      <c r="AV9" s="66">
        <v>16.246506924774902</v>
      </c>
      <c r="AW9" s="66">
        <v>37.111627466256387</v>
      </c>
      <c r="AX9" s="66">
        <v>104.21734378656117</v>
      </c>
      <c r="AY9" s="67">
        <v>174.64252426740686</v>
      </c>
      <c r="AZ9" s="66">
        <v>0.05</v>
      </c>
      <c r="BA9" s="66">
        <v>7.0042396976155247E-2</v>
      </c>
      <c r="BB9" s="66">
        <v>0.1</v>
      </c>
      <c r="BC9" s="67">
        <v>0.49059147815408133</v>
      </c>
      <c r="BD9" s="66">
        <v>4.1666666666666664E-2</v>
      </c>
      <c r="BE9" s="67">
        <v>26.280200000000001</v>
      </c>
      <c r="BF9" s="66">
        <v>0.16666700000000001</v>
      </c>
      <c r="BG9" s="67">
        <v>64.163799999999995</v>
      </c>
      <c r="BH9" s="66">
        <v>0.25</v>
      </c>
      <c r="BI9" s="67">
        <v>79.1477</v>
      </c>
      <c r="BJ9" s="90">
        <v>8.3333000000000004E-2</v>
      </c>
      <c r="BK9" s="94">
        <v>54.266273584811273</v>
      </c>
      <c r="BL9" s="95">
        <v>1.6666666666666666E-2</v>
      </c>
      <c r="BM9" s="90">
        <v>460.69128851690135</v>
      </c>
      <c r="BN9" s="94"/>
      <c r="BO9" s="90">
        <v>8.3330000000000001E-2</v>
      </c>
      <c r="BP9" s="90" t="s">
        <v>125</v>
      </c>
      <c r="BQ9" s="90" t="s">
        <v>125</v>
      </c>
      <c r="BR9" s="90">
        <v>5.5862412242216743E-4</v>
      </c>
      <c r="BS9" s="94">
        <v>6.6549789390994642E-4</v>
      </c>
      <c r="BT9" s="134">
        <v>0.03</v>
      </c>
      <c r="BU9" s="135">
        <v>17.043155250000002</v>
      </c>
      <c r="BV9" s="134">
        <v>0</v>
      </c>
      <c r="BW9" s="135">
        <v>40.106983560000003</v>
      </c>
      <c r="BX9" s="137">
        <v>0.5</v>
      </c>
      <c r="BY9" s="135">
        <v>3.3923370842606402E-3</v>
      </c>
      <c r="BZ9" s="134">
        <v>0.5</v>
      </c>
      <c r="CA9" s="135">
        <v>0.09</v>
      </c>
      <c r="CB9" s="137">
        <v>0.05</v>
      </c>
      <c r="CC9" s="135">
        <v>843.61529631085398</v>
      </c>
      <c r="CD9" s="134">
        <v>1.4999999999999999E-2</v>
      </c>
      <c r="CE9" s="135">
        <v>19.480647033269481</v>
      </c>
      <c r="CF9" s="138">
        <v>2</v>
      </c>
      <c r="CG9" s="139">
        <v>139.38948070000001</v>
      </c>
      <c r="CH9" s="134">
        <v>0.25</v>
      </c>
      <c r="CI9" s="134">
        <v>55.587865749999999</v>
      </c>
      <c r="CJ9" s="135">
        <v>45.868020719999997</v>
      </c>
      <c r="CK9" s="140">
        <v>4.1666666666666664E-2</v>
      </c>
      <c r="CL9" s="134">
        <v>0.8636941937</v>
      </c>
      <c r="CM9" s="134">
        <v>3.16227766</v>
      </c>
      <c r="CN9" s="134" t="s">
        <v>125</v>
      </c>
      <c r="CO9" s="135" t="s">
        <v>125</v>
      </c>
      <c r="CP9" s="141">
        <v>0.25</v>
      </c>
      <c r="CQ9" s="141">
        <v>268.78188790000002</v>
      </c>
      <c r="CR9" s="142">
        <v>557.98175690000005</v>
      </c>
      <c r="CS9" s="140">
        <v>1.6666666666666666E-2</v>
      </c>
      <c r="CT9" s="134">
        <v>69.905000000000001</v>
      </c>
      <c r="CU9" s="134">
        <v>290.00099999999998</v>
      </c>
      <c r="CV9" s="135">
        <v>510.98700000000002</v>
      </c>
    </row>
    <row r="10" spans="1:100" x14ac:dyDescent="0.15">
      <c r="A10" s="66">
        <v>0.5</v>
      </c>
      <c r="B10" s="67">
        <v>11.621700000000001</v>
      </c>
      <c r="C10" s="66">
        <v>1</v>
      </c>
      <c r="D10" s="66">
        <v>0.38733790566888471</v>
      </c>
      <c r="E10" s="66">
        <v>0.46480415321688956</v>
      </c>
      <c r="F10" s="82">
        <v>0.75</v>
      </c>
      <c r="G10" s="67">
        <v>8.6264180316399042</v>
      </c>
      <c r="H10" s="66">
        <v>8.3333333333333329E-2</v>
      </c>
      <c r="I10" s="66">
        <v>0.37231222071569897</v>
      </c>
      <c r="J10" s="66">
        <v>6.7782454570364928E-2</v>
      </c>
      <c r="K10" s="67">
        <v>0.19444075183128368</v>
      </c>
      <c r="L10" s="66">
        <v>3.3300000000000003E-2</v>
      </c>
      <c r="M10" s="66">
        <v>1.9479598443591695</v>
      </c>
      <c r="N10" s="94" t="s">
        <v>125</v>
      </c>
      <c r="O10" s="66">
        <v>0.25</v>
      </c>
      <c r="P10" s="66">
        <v>22.991599999999998</v>
      </c>
      <c r="Q10" s="67">
        <v>25.815100000000001</v>
      </c>
      <c r="R10" s="66">
        <v>4.1666666666666664E-2</v>
      </c>
      <c r="S10" s="67">
        <v>6.4020599999999996</v>
      </c>
      <c r="T10" s="66">
        <v>1</v>
      </c>
      <c r="U10" s="66">
        <v>1.1384396156352226</v>
      </c>
      <c r="V10" s="67">
        <v>1.7662004862714602</v>
      </c>
      <c r="W10" s="66">
        <v>0.16</v>
      </c>
      <c r="X10" s="66">
        <v>7.8671965410319933</v>
      </c>
      <c r="Y10" s="67">
        <v>1.2222498707210878</v>
      </c>
      <c r="Z10" s="66">
        <v>0.41666500000000001</v>
      </c>
      <c r="AA10" s="67">
        <v>96.93726844016841</v>
      </c>
      <c r="AB10" s="77">
        <v>0.27723799999999998</v>
      </c>
      <c r="AC10" s="66">
        <v>7.860315893691376</v>
      </c>
      <c r="AD10" s="77">
        <v>0.219217</v>
      </c>
      <c r="AE10" s="67">
        <v>90.028497045001558</v>
      </c>
      <c r="AF10" s="66">
        <v>0.12871099999999999</v>
      </c>
      <c r="AG10" s="67">
        <v>1.62225</v>
      </c>
      <c r="AH10" s="66">
        <v>0.5</v>
      </c>
      <c r="AI10" s="67">
        <v>7.5675700000000012E-2</v>
      </c>
      <c r="AJ10" s="66">
        <v>3.3333333333333333E-2</v>
      </c>
      <c r="AK10" s="66">
        <v>0.21934109134602808</v>
      </c>
      <c r="AL10" s="67">
        <v>0.19909942234796024</v>
      </c>
      <c r="AM10" s="66">
        <v>0.16666666666666666</v>
      </c>
      <c r="AN10" s="66">
        <v>1.0760439251215028</v>
      </c>
      <c r="AO10" s="67">
        <v>7.1096791162456721E-2</v>
      </c>
      <c r="AP10" s="66">
        <v>0.25</v>
      </c>
      <c r="AQ10" s="66">
        <v>1.1830687965772906E-2</v>
      </c>
      <c r="AR10" s="66">
        <v>1.59985270523232E-2</v>
      </c>
      <c r="AS10" s="66">
        <v>3.4593141236928332E-2</v>
      </c>
      <c r="AT10" s="67">
        <v>0.27051415808154411</v>
      </c>
      <c r="AU10" s="66">
        <v>0.05</v>
      </c>
      <c r="AV10" s="66">
        <v>0.78051274669827642</v>
      </c>
      <c r="AW10" s="66">
        <v>3.0500011282491828</v>
      </c>
      <c r="AX10" s="66">
        <v>6.283621253905328</v>
      </c>
      <c r="AY10" s="67">
        <v>17.64574504414351</v>
      </c>
      <c r="AZ10" s="66">
        <v>8.3333333333333329E-2</v>
      </c>
      <c r="BA10" s="66">
        <v>0.24355665453133746</v>
      </c>
      <c r="BB10" s="66">
        <v>0.24940778190080887</v>
      </c>
      <c r="BC10" s="67">
        <v>1.1127305198684634</v>
      </c>
      <c r="BD10" s="66">
        <v>8.3333333333333329E-2</v>
      </c>
      <c r="BE10" s="67">
        <v>24.347799999999999</v>
      </c>
      <c r="BF10" s="66">
        <v>0.33333299999999999</v>
      </c>
      <c r="BG10" s="67">
        <v>57.064799999999998</v>
      </c>
      <c r="BH10" s="66">
        <v>0.5</v>
      </c>
      <c r="BI10" s="67">
        <v>84.715900000000005</v>
      </c>
      <c r="BJ10" s="90">
        <v>0.16666700000000001</v>
      </c>
      <c r="BK10" s="94">
        <v>33.83997238792017</v>
      </c>
      <c r="BL10" s="95">
        <v>0.83333000000000002</v>
      </c>
      <c r="BM10" s="90">
        <v>37.425705858614059</v>
      </c>
      <c r="BN10" s="94"/>
      <c r="BO10" s="90">
        <v>0.33329999999999999</v>
      </c>
      <c r="BP10" s="90" t="s">
        <v>125</v>
      </c>
      <c r="BQ10" s="90" t="s">
        <v>125</v>
      </c>
      <c r="BR10" s="90">
        <v>1.4182953708409356E-3</v>
      </c>
      <c r="BS10" s="94">
        <v>7.4702766479182959E-3</v>
      </c>
      <c r="BT10" s="134">
        <v>0.06</v>
      </c>
      <c r="BU10" s="135">
        <v>8.6310771769999999</v>
      </c>
      <c r="BV10" s="134">
        <v>0.02</v>
      </c>
      <c r="BW10" s="135">
        <v>14.75672554</v>
      </c>
      <c r="BX10" s="137">
        <v>0.7</v>
      </c>
      <c r="BY10" s="135">
        <v>6.1133463313578816E-3</v>
      </c>
      <c r="BZ10" s="134">
        <v>1</v>
      </c>
      <c r="CA10" s="135">
        <v>0.33</v>
      </c>
      <c r="CB10" s="137">
        <v>0.5</v>
      </c>
      <c r="CC10" s="135">
        <v>557.68818748601768</v>
      </c>
      <c r="CD10" s="134">
        <v>1</v>
      </c>
      <c r="CE10" s="135">
        <v>16.432830570356817</v>
      </c>
      <c r="CF10" s="138">
        <v>5</v>
      </c>
      <c r="CG10" s="139">
        <v>132.16912049999999</v>
      </c>
      <c r="CH10" s="134">
        <v>0.5</v>
      </c>
      <c r="CI10" s="134">
        <v>16.63489255</v>
      </c>
      <c r="CJ10" s="135">
        <v>36.65557192</v>
      </c>
      <c r="CK10" s="140">
        <v>8.3333333333333329E-2</v>
      </c>
      <c r="CL10" s="134">
        <v>0.63095734449999996</v>
      </c>
      <c r="CM10" s="134">
        <v>2.0374642629999999</v>
      </c>
      <c r="CN10" s="134" t="s">
        <v>125</v>
      </c>
      <c r="CO10" s="135">
        <v>6.9183097090000006E-2</v>
      </c>
      <c r="CP10" s="141">
        <v>0.5</v>
      </c>
      <c r="CQ10" s="141">
        <v>332.84343860000001</v>
      </c>
      <c r="CR10" s="142">
        <v>840.54312440000001</v>
      </c>
      <c r="CS10" s="140">
        <v>0.05</v>
      </c>
      <c r="CT10" s="134">
        <v>49.253999999999998</v>
      </c>
      <c r="CU10" s="134">
        <v>255.67599999999999</v>
      </c>
      <c r="CV10" s="135">
        <v>427.48399999999998</v>
      </c>
    </row>
    <row r="11" spans="1:100" x14ac:dyDescent="0.15">
      <c r="A11" s="66">
        <v>1</v>
      </c>
      <c r="B11" s="67">
        <v>14.695</v>
      </c>
      <c r="C11" s="66">
        <v>2</v>
      </c>
      <c r="D11" s="66">
        <v>0.47776023536840312</v>
      </c>
      <c r="E11" s="66">
        <v>0.25905381954428086</v>
      </c>
      <c r="F11" s="82">
        <v>1</v>
      </c>
      <c r="G11" s="67">
        <v>7.540532220207286</v>
      </c>
      <c r="H11" s="66">
        <v>0.16666666666666666</v>
      </c>
      <c r="I11" s="66">
        <v>0.21869924898212179</v>
      </c>
      <c r="J11" s="66">
        <v>0.10596374324607401</v>
      </c>
      <c r="K11" s="67">
        <v>0.17310806093425565</v>
      </c>
      <c r="L11" s="66">
        <v>0.16667000000000001</v>
      </c>
      <c r="M11" s="66">
        <v>0.32312458302160146</v>
      </c>
      <c r="N11" s="94" t="s">
        <v>125</v>
      </c>
      <c r="O11" s="66">
        <v>0.5</v>
      </c>
      <c r="P11" s="66">
        <v>25.210100000000001</v>
      </c>
      <c r="Q11" s="67">
        <v>27.9832</v>
      </c>
      <c r="R11" s="66">
        <v>8.3330000000000001E-2</v>
      </c>
      <c r="S11" s="67">
        <v>7.8556699999999999</v>
      </c>
      <c r="T11" s="66">
        <v>2</v>
      </c>
      <c r="U11" s="66">
        <v>0.37900068944549248</v>
      </c>
      <c r="V11" s="67">
        <v>1.344187956683683</v>
      </c>
      <c r="W11" s="66">
        <v>0.25</v>
      </c>
      <c r="X11" s="66">
        <v>5.0505654095466861</v>
      </c>
      <c r="Y11" s="67">
        <v>0.4879552555991083</v>
      </c>
      <c r="Z11" s="66">
        <v>0.83333000000000002</v>
      </c>
      <c r="AA11" s="67">
        <v>73.741297984980719</v>
      </c>
      <c r="AB11" s="77">
        <v>0.72891399999999995</v>
      </c>
      <c r="AC11" s="66">
        <v>4.7087973462602219</v>
      </c>
      <c r="AD11" s="77">
        <v>0.56334399999999996</v>
      </c>
      <c r="AE11" s="67">
        <v>60.78130215502528</v>
      </c>
      <c r="AF11" s="66">
        <v>0.5</v>
      </c>
      <c r="AG11" s="67">
        <v>0.85333400000000004</v>
      </c>
      <c r="AH11" s="66">
        <v>1</v>
      </c>
      <c r="AI11" s="67">
        <v>0.120463</v>
      </c>
      <c r="AJ11" s="66">
        <v>6.6666666666666666E-2</v>
      </c>
      <c r="AK11" s="66">
        <v>0.42510870680461554</v>
      </c>
      <c r="AL11" s="67">
        <v>0.37969947792607417</v>
      </c>
      <c r="AM11" s="66">
        <v>0.25</v>
      </c>
      <c r="AN11" s="66">
        <v>0.96400658384472859</v>
      </c>
      <c r="AO11" s="67">
        <v>0.13396149944550811</v>
      </c>
      <c r="AP11" s="66">
        <v>0.5</v>
      </c>
      <c r="AQ11" s="66">
        <v>7.1561922614311619E-3</v>
      </c>
      <c r="AR11" s="66">
        <v>8.0037958000719004E-3</v>
      </c>
      <c r="AS11" s="66">
        <v>4.4259856345384048E-2</v>
      </c>
      <c r="AT11" s="67">
        <v>0.16004422213369404</v>
      </c>
      <c r="AU11" s="66">
        <v>0.11666666666666667</v>
      </c>
      <c r="AV11" s="66">
        <v>0.42006838781493072</v>
      </c>
      <c r="AW11" s="66">
        <v>1.4804713248976249</v>
      </c>
      <c r="AX11" s="66">
        <v>3.2449648738226076</v>
      </c>
      <c r="AY11" s="67">
        <v>10.103689702462363</v>
      </c>
      <c r="AZ11" s="66">
        <v>0.16666666666666666</v>
      </c>
      <c r="BA11" s="66">
        <v>0.17059252602442271</v>
      </c>
      <c r="BB11" s="66">
        <v>0.29800942533276142</v>
      </c>
      <c r="BC11" s="67">
        <v>0.80764405385575655</v>
      </c>
      <c r="BD11" s="66">
        <v>0.16666666666666666</v>
      </c>
      <c r="BE11" s="67">
        <v>21.835699999999999</v>
      </c>
      <c r="BF11" s="66">
        <v>0.66666700000000001</v>
      </c>
      <c r="BG11" s="67">
        <v>49.692799999999998</v>
      </c>
      <c r="BH11" s="66">
        <v>1</v>
      </c>
      <c r="BI11" s="67">
        <v>85.909099999999995</v>
      </c>
      <c r="BJ11" s="90">
        <v>0.25</v>
      </c>
      <c r="BK11" s="94">
        <v>26.850353017500971</v>
      </c>
      <c r="BL11" s="95">
        <v>0.25</v>
      </c>
      <c r="BM11" s="90">
        <v>21.463967397663538</v>
      </c>
      <c r="BN11" s="94">
        <v>4.1173520263635055</v>
      </c>
      <c r="BO11" s="90">
        <v>1</v>
      </c>
      <c r="BP11" s="90">
        <v>1.3883586978557852E-3</v>
      </c>
      <c r="BQ11" s="90">
        <v>5.0471555011826685E-3</v>
      </c>
      <c r="BR11" s="90">
        <v>5.0987848345833336E-2</v>
      </c>
      <c r="BS11" s="94">
        <v>0.24597823753402237</v>
      </c>
      <c r="BT11" s="134">
        <v>0.125</v>
      </c>
      <c r="BU11" s="135">
        <v>6.1416632470000003</v>
      </c>
      <c r="BV11" s="134">
        <v>0.04</v>
      </c>
      <c r="BW11" s="135">
        <v>10.6708742</v>
      </c>
      <c r="BX11" s="137">
        <v>1</v>
      </c>
      <c r="BY11" s="135">
        <v>1.2557118712347149E-2</v>
      </c>
      <c r="BZ11" s="134">
        <v>2</v>
      </c>
      <c r="CA11" s="135">
        <v>0.36</v>
      </c>
      <c r="CB11" s="137">
        <v>1</v>
      </c>
      <c r="CC11" s="135">
        <v>557.62783689986111</v>
      </c>
      <c r="CD11" s="134">
        <v>6</v>
      </c>
      <c r="CE11" s="135">
        <v>13.550907398857607</v>
      </c>
      <c r="CF11" s="138">
        <v>7</v>
      </c>
      <c r="CG11" s="139">
        <v>127.5469271</v>
      </c>
      <c r="CH11" s="134">
        <v>1</v>
      </c>
      <c r="CI11" s="134">
        <v>5.4219811079999998</v>
      </c>
      <c r="CJ11" s="135">
        <v>30.24683937</v>
      </c>
      <c r="CK11" s="140">
        <v>0.16666666666666666</v>
      </c>
      <c r="CL11" s="134">
        <v>0.4806400985</v>
      </c>
      <c r="CM11" s="134">
        <v>1.6526466210000001</v>
      </c>
      <c r="CN11" s="134">
        <v>3.5797277630000006E-2</v>
      </c>
      <c r="CO11" s="135">
        <v>0.1365777645</v>
      </c>
      <c r="CP11" s="141">
        <v>0.75</v>
      </c>
      <c r="CQ11" s="141">
        <v>245.87818580000001</v>
      </c>
      <c r="CR11" s="142">
        <v>755.33567989999995</v>
      </c>
      <c r="CS11" s="140">
        <v>8.3333333333333329E-2</v>
      </c>
      <c r="CT11" s="134">
        <v>36.33</v>
      </c>
      <c r="CU11" s="134">
        <v>227.77699999999999</v>
      </c>
      <c r="CV11" s="135">
        <v>369.04599999999999</v>
      </c>
    </row>
    <row r="12" spans="1:100" x14ac:dyDescent="0.15">
      <c r="A12" s="66">
        <v>2</v>
      </c>
      <c r="B12" s="67">
        <v>20.226299999999998</v>
      </c>
      <c r="C12" s="66">
        <v>4</v>
      </c>
      <c r="D12" s="66">
        <v>0.37198891635847209</v>
      </c>
      <c r="E12" s="66">
        <v>0.1140354813284233</v>
      </c>
      <c r="F12" s="82">
        <v>1.5</v>
      </c>
      <c r="G12" s="67">
        <v>5.3234723169898057</v>
      </c>
      <c r="H12" s="66">
        <v>0.25</v>
      </c>
      <c r="I12" s="66">
        <v>0.15776377575039943</v>
      </c>
      <c r="J12" s="66">
        <v>7.708276624696625E-2</v>
      </c>
      <c r="K12" s="67">
        <v>0.13931481150030536</v>
      </c>
      <c r="L12" s="66">
        <v>0.33333000000000002</v>
      </c>
      <c r="M12" s="66">
        <v>0.21236356141093141</v>
      </c>
      <c r="N12" s="94" t="s">
        <v>125</v>
      </c>
      <c r="O12" s="66">
        <v>1</v>
      </c>
      <c r="P12" s="66">
        <v>26.873899999999999</v>
      </c>
      <c r="Q12" s="67">
        <v>25.865500000000001</v>
      </c>
      <c r="R12" s="66">
        <v>0.125</v>
      </c>
      <c r="S12" s="67">
        <v>10.1</v>
      </c>
      <c r="T12" s="66">
        <v>3</v>
      </c>
      <c r="U12" s="66">
        <v>0.1261740373643005</v>
      </c>
      <c r="V12" s="67">
        <v>0.92977957166781622</v>
      </c>
      <c r="W12" s="66">
        <v>1</v>
      </c>
      <c r="X12" s="66">
        <v>2.5305795842746113</v>
      </c>
      <c r="Y12" s="67">
        <v>0.24830187554231486</v>
      </c>
      <c r="Z12" s="66">
        <v>0.16666700000000001</v>
      </c>
      <c r="AA12" s="67">
        <v>47.325016901003629</v>
      </c>
      <c r="AB12" s="77">
        <v>0.94405799999999995</v>
      </c>
      <c r="AC12" s="66">
        <v>3.7704223401516543</v>
      </c>
      <c r="AD12" s="77">
        <v>0.88468599999999997</v>
      </c>
      <c r="AE12" s="67">
        <v>26.431389827233716</v>
      </c>
      <c r="AF12" s="66">
        <v>1</v>
      </c>
      <c r="AG12" s="67">
        <v>0.71851399999999999</v>
      </c>
      <c r="AH12" s="66">
        <v>2</v>
      </c>
      <c r="AI12" s="67">
        <v>7.3873900000000006E-2</v>
      </c>
      <c r="AJ12" s="66">
        <v>0.1</v>
      </c>
      <c r="AK12" s="66">
        <v>9.3245954733957762E-2</v>
      </c>
      <c r="AL12" s="90"/>
      <c r="AM12" s="66">
        <v>0.5</v>
      </c>
      <c r="AN12" s="66">
        <v>0.57012488808842765</v>
      </c>
      <c r="AO12" s="67">
        <v>0.16279460188584555</v>
      </c>
      <c r="AP12" s="66">
        <v>1</v>
      </c>
      <c r="AQ12" s="66">
        <v>3.5030956851753669E-3</v>
      </c>
      <c r="AR12" s="66">
        <v>4.4298905890279667E-3</v>
      </c>
      <c r="AS12" s="66">
        <v>1.4649068169510908E-2</v>
      </c>
      <c r="AT12" s="67">
        <v>7.5753028498840788E-2</v>
      </c>
      <c r="AU12" s="66">
        <v>0.25</v>
      </c>
      <c r="AV12" s="66">
        <v>0.23079691530530586</v>
      </c>
      <c r="AW12" s="66">
        <v>0.83038596458490821</v>
      </c>
      <c r="AX12" s="66">
        <v>1.8580611379929568</v>
      </c>
      <c r="AY12" s="67">
        <v>5.551239950856913</v>
      </c>
      <c r="AZ12" s="66">
        <v>0.33333333333333331</v>
      </c>
      <c r="BA12" s="66">
        <v>8.3691239504360165E-2</v>
      </c>
      <c r="BB12" s="66">
        <v>0.13777803927585849</v>
      </c>
      <c r="BC12" s="67">
        <v>0.44088974769207806</v>
      </c>
      <c r="BD12" s="66">
        <v>0.25</v>
      </c>
      <c r="BE12" s="67">
        <v>18.937200000000001</v>
      </c>
      <c r="BF12" s="66">
        <v>1</v>
      </c>
      <c r="BG12" s="67">
        <v>43.412999999999997</v>
      </c>
      <c r="BH12" s="66">
        <v>2</v>
      </c>
      <c r="BI12" s="67">
        <v>76.363600000000005</v>
      </c>
      <c r="BJ12" s="90">
        <v>0.33333299999999999</v>
      </c>
      <c r="BK12" s="94">
        <v>23.157410807022629</v>
      </c>
      <c r="BL12" s="95">
        <v>0.5</v>
      </c>
      <c r="BM12" s="90">
        <v>15.848931924611136</v>
      </c>
      <c r="BN12" s="94">
        <v>3.3747297496414772</v>
      </c>
      <c r="BO12" s="90">
        <v>3</v>
      </c>
      <c r="BP12" s="90">
        <v>3.004946092946717E-2</v>
      </c>
      <c r="BQ12" s="90">
        <v>0.10924880253435373</v>
      </c>
      <c r="BR12" s="90">
        <v>0.32607438617684908</v>
      </c>
      <c r="BS12" s="94">
        <v>0.75911344837246608</v>
      </c>
      <c r="BT12" s="134">
        <v>0.25</v>
      </c>
      <c r="BU12" s="135">
        <v>4.37025723</v>
      </c>
      <c r="BV12" s="134">
        <v>0.08</v>
      </c>
      <c r="BW12" s="135">
        <v>7.7163159170000002</v>
      </c>
      <c r="BX12" s="137">
        <v>2</v>
      </c>
      <c r="BY12" s="135">
        <v>6.5288997477838586E-3</v>
      </c>
      <c r="BZ12" s="134">
        <v>4</v>
      </c>
      <c r="CA12" s="135">
        <v>0.3</v>
      </c>
      <c r="CB12" s="137">
        <v>3</v>
      </c>
      <c r="CC12" s="135">
        <v>401.62287962814634</v>
      </c>
      <c r="CD12" s="134">
        <v>24</v>
      </c>
      <c r="CE12" s="135">
        <v>7.0986927226718546</v>
      </c>
      <c r="CF12" s="138">
        <v>10</v>
      </c>
      <c r="CG12" s="139">
        <v>100.62363449999999</v>
      </c>
      <c r="CH12" s="134">
        <v>2</v>
      </c>
      <c r="CI12" s="134">
        <v>2.6233485700000001</v>
      </c>
      <c r="CJ12" s="135">
        <v>11.57097619</v>
      </c>
      <c r="CK12" s="140">
        <v>0.33333333333333331</v>
      </c>
      <c r="CL12" s="134"/>
      <c r="CM12" s="134"/>
      <c r="CN12" s="134">
        <v>9.3160111569999995E-2</v>
      </c>
      <c r="CO12" s="135">
        <v>0.2373449524</v>
      </c>
      <c r="CP12" s="141">
        <v>1</v>
      </c>
      <c r="CQ12" s="141">
        <v>181.63101090000001</v>
      </c>
      <c r="CR12" s="142">
        <v>690.97128569999995</v>
      </c>
      <c r="CS12" s="140">
        <v>0.16666666666666666</v>
      </c>
      <c r="CT12" s="134">
        <v>32.026000000000003</v>
      </c>
      <c r="CU12" s="134">
        <v>198.70599999999999</v>
      </c>
      <c r="CV12" s="135">
        <v>328.76799999999997</v>
      </c>
    </row>
    <row r="13" spans="1:100" x14ac:dyDescent="0.15">
      <c r="A13" s="66">
        <v>4</v>
      </c>
      <c r="B13" s="67">
        <v>14.133100000000001</v>
      </c>
      <c r="C13" s="66">
        <v>6</v>
      </c>
      <c r="D13" s="66">
        <v>0.24497400365245769</v>
      </c>
      <c r="E13" s="66">
        <v>5.0198414463378881E-2</v>
      </c>
      <c r="F13" s="82">
        <v>2.25</v>
      </c>
      <c r="G13" s="67">
        <v>3.5182038538627798</v>
      </c>
      <c r="H13" s="66">
        <v>0.33333333333333331</v>
      </c>
      <c r="I13" s="66">
        <v>0.11576233858997462</v>
      </c>
      <c r="J13" s="95"/>
      <c r="K13" s="94"/>
      <c r="L13" s="66">
        <v>0.5</v>
      </c>
      <c r="M13" s="66">
        <v>0.16788040181225619</v>
      </c>
      <c r="N13" s="94" t="s">
        <v>125</v>
      </c>
      <c r="O13" s="66">
        <v>2</v>
      </c>
      <c r="P13" s="66">
        <v>24</v>
      </c>
      <c r="Q13" s="67">
        <v>28.537800000000001</v>
      </c>
      <c r="R13" s="66">
        <v>0.16666666666666666</v>
      </c>
      <c r="S13" s="67">
        <v>8.5670099999999998</v>
      </c>
      <c r="T13" s="66">
        <v>4</v>
      </c>
      <c r="U13" s="66">
        <v>4.5525004773009879E-2</v>
      </c>
      <c r="V13" s="67">
        <v>0.71734817870194312</v>
      </c>
      <c r="W13" s="66">
        <v>1.5</v>
      </c>
      <c r="X13" s="66">
        <v>1.5108800962199438</v>
      </c>
      <c r="Y13" s="67">
        <v>0.18894699964719938</v>
      </c>
      <c r="Z13" s="66">
        <v>0.25</v>
      </c>
      <c r="AA13" s="67">
        <v>33.684552160145131</v>
      </c>
      <c r="AB13" s="77">
        <v>1.46106</v>
      </c>
      <c r="AC13" s="66">
        <v>2.8128074262479825</v>
      </c>
      <c r="AD13" s="77">
        <v>1.48743</v>
      </c>
      <c r="AE13" s="67">
        <v>16.079405957484834</v>
      </c>
      <c r="AF13" s="66">
        <v>2</v>
      </c>
      <c r="AG13" s="67">
        <v>0.23777499999999999</v>
      </c>
      <c r="AH13" s="66">
        <v>4</v>
      </c>
      <c r="AI13" s="67">
        <v>5.8687300000000005E-2</v>
      </c>
      <c r="AJ13" s="66">
        <v>0.13333333333333333</v>
      </c>
      <c r="AK13" s="66">
        <v>7.9346906578534548E-2</v>
      </c>
      <c r="AL13" s="67">
        <v>8.4638897959887369E-2</v>
      </c>
      <c r="AM13" s="66">
        <v>1</v>
      </c>
      <c r="AN13" s="66">
        <v>0.25458921384628208</v>
      </c>
      <c r="AO13" s="67">
        <v>0.12301271390389154</v>
      </c>
      <c r="AP13" s="66">
        <v>2</v>
      </c>
      <c r="AQ13" s="66">
        <v>2.1941433604407445E-3</v>
      </c>
      <c r="AR13" s="66">
        <v>2.4816755388048263E-3</v>
      </c>
      <c r="AS13" s="66">
        <v>1.0730748097533382E-2</v>
      </c>
      <c r="AT13" s="67">
        <v>9.9231601386702312E-2</v>
      </c>
      <c r="AU13" s="66">
        <v>0.5</v>
      </c>
      <c r="AV13" s="66">
        <v>0.12945236825324558</v>
      </c>
      <c r="AW13" s="66">
        <v>0.42883477909744067</v>
      </c>
      <c r="AX13" s="66">
        <v>0.95953318676785493</v>
      </c>
      <c r="AY13" s="67">
        <v>2.9266446899430134</v>
      </c>
      <c r="AZ13" s="66">
        <v>0.5</v>
      </c>
      <c r="BA13" s="66">
        <v>4.9059373741653214E-2</v>
      </c>
      <c r="BB13" s="66">
        <v>9.2027579625518774E-2</v>
      </c>
      <c r="BC13" s="67">
        <v>0.28758087448910052</v>
      </c>
      <c r="BD13" s="66">
        <v>0.5</v>
      </c>
      <c r="BE13" s="67">
        <v>16.103100000000001</v>
      </c>
      <c r="BF13" s="66">
        <v>1.5</v>
      </c>
      <c r="BG13" s="67">
        <v>38.361800000000002</v>
      </c>
      <c r="BH13" s="66">
        <v>4</v>
      </c>
      <c r="BI13" s="67">
        <v>52.8977</v>
      </c>
      <c r="BJ13" s="90">
        <v>0.5</v>
      </c>
      <c r="BK13" s="94">
        <v>19.251297259116011</v>
      </c>
      <c r="BL13" s="95">
        <v>0.75</v>
      </c>
      <c r="BM13" s="90">
        <v>12.104030239097698</v>
      </c>
      <c r="BN13" s="94">
        <v>2.6218328463028242</v>
      </c>
      <c r="BO13" s="90">
        <v>6</v>
      </c>
      <c r="BP13" s="90">
        <v>1.3120388214309157E-2</v>
      </c>
      <c r="BQ13" s="90">
        <v>1.8659357493851142E-2</v>
      </c>
      <c r="BR13" s="90">
        <v>7.928238119164753E-2</v>
      </c>
      <c r="BS13" s="94">
        <v>0.20158429094711178</v>
      </c>
      <c r="BT13" s="134">
        <v>0.5</v>
      </c>
      <c r="BU13" s="135">
        <v>3.4445936769999999</v>
      </c>
      <c r="BV13" s="134">
        <v>0.17</v>
      </c>
      <c r="BW13" s="135">
        <v>6.562072133</v>
      </c>
      <c r="BX13" s="137">
        <v>4</v>
      </c>
      <c r="BY13" s="135">
        <v>4.2494624892544259E-3</v>
      </c>
      <c r="BZ13" s="134">
        <v>8</v>
      </c>
      <c r="CA13" s="135">
        <v>0.28000000000000003</v>
      </c>
      <c r="CB13" s="137">
        <v>6</v>
      </c>
      <c r="CC13" s="135">
        <v>416.45151439539347</v>
      </c>
      <c r="CD13" s="134"/>
      <c r="CE13" s="135"/>
      <c r="CF13" s="138">
        <v>24</v>
      </c>
      <c r="CG13" s="139">
        <v>49.798928689999997</v>
      </c>
      <c r="CH13" s="134">
        <v>3</v>
      </c>
      <c r="CI13" s="134"/>
      <c r="CJ13" s="135">
        <v>4.5220150139999999</v>
      </c>
      <c r="CK13" s="134">
        <v>0.5</v>
      </c>
      <c r="CL13" s="134">
        <v>0.33672084299999999</v>
      </c>
      <c r="CM13" s="134">
        <v>1.2855530409999998</v>
      </c>
      <c r="CN13" s="134">
        <v>0.1202264435</v>
      </c>
      <c r="CO13" s="135">
        <v>0.29986101040000002</v>
      </c>
      <c r="CP13" s="141">
        <v>2</v>
      </c>
      <c r="CQ13" s="141">
        <v>95.644499749999994</v>
      </c>
      <c r="CR13" s="142">
        <v>643.44288059999997</v>
      </c>
      <c r="CS13" s="134">
        <v>0.25</v>
      </c>
      <c r="CT13" s="134">
        <v>25.689</v>
      </c>
      <c r="CU13" s="134">
        <v>167.96199999999999</v>
      </c>
      <c r="CV13" s="135">
        <v>289.81400000000002</v>
      </c>
    </row>
    <row r="14" spans="1:100" x14ac:dyDescent="0.15">
      <c r="A14" s="66">
        <v>8</v>
      </c>
      <c r="B14" s="67">
        <v>4.58575</v>
      </c>
      <c r="C14" s="66">
        <v>8</v>
      </c>
      <c r="D14" s="66">
        <v>0.16589756056386526</v>
      </c>
      <c r="E14" s="66">
        <v>2.2726366180247422E-2</v>
      </c>
      <c r="F14" s="82">
        <v>3</v>
      </c>
      <c r="G14" s="67">
        <v>2.3415988708325699</v>
      </c>
      <c r="H14" s="66">
        <v>0.5</v>
      </c>
      <c r="I14" s="66">
        <v>7.1491974479663462E-2</v>
      </c>
      <c r="J14" s="66">
        <v>5.6811635458949579E-2</v>
      </c>
      <c r="K14" s="67">
        <v>8.7602659639941294E-2</v>
      </c>
      <c r="L14" s="66">
        <v>1</v>
      </c>
      <c r="M14" s="66">
        <v>0.12833053357873994</v>
      </c>
      <c r="N14" s="67">
        <v>0.62150899999999998</v>
      </c>
      <c r="O14" s="66">
        <v>4</v>
      </c>
      <c r="P14" s="66">
        <v>18.605</v>
      </c>
      <c r="Q14" s="67">
        <v>23.8992</v>
      </c>
      <c r="R14" s="66">
        <v>0.25</v>
      </c>
      <c r="S14" s="67">
        <v>8.0721600000000002</v>
      </c>
      <c r="T14" s="66">
        <v>5</v>
      </c>
      <c r="U14" s="66">
        <v>3.576020501809022E-2</v>
      </c>
      <c r="V14" s="94"/>
      <c r="W14" s="66">
        <v>2</v>
      </c>
      <c r="X14" s="66">
        <v>0.95633488901707264</v>
      </c>
      <c r="Y14" s="67">
        <v>0.27054530396780341</v>
      </c>
      <c r="Z14" s="66">
        <v>0.3</v>
      </c>
      <c r="AA14" s="67">
        <v>28.141081097433585</v>
      </c>
      <c r="AB14" s="77">
        <v>2.4520200000000001</v>
      </c>
      <c r="AC14" s="66">
        <v>1.6200558995354239</v>
      </c>
      <c r="AD14" s="77">
        <v>2.4138000000000002</v>
      </c>
      <c r="AE14" s="67">
        <v>9.7498963771738705</v>
      </c>
      <c r="AF14" s="66">
        <v>4</v>
      </c>
      <c r="AG14" s="67">
        <v>4.6259500000000002E-2</v>
      </c>
      <c r="AH14" s="66">
        <v>8</v>
      </c>
      <c r="AI14" s="67">
        <v>3.8609999999999998E-2</v>
      </c>
      <c r="AJ14" s="66">
        <v>0.16666666666666666</v>
      </c>
      <c r="AK14" s="66">
        <v>6.8619887229889362E-2</v>
      </c>
      <c r="AL14" s="67">
        <v>0.10782264963966384</v>
      </c>
      <c r="AM14" s="66">
        <v>1.5</v>
      </c>
      <c r="AN14" s="66">
        <v>0.12535452050463128</v>
      </c>
      <c r="AO14" s="67">
        <v>0.1129561808320063</v>
      </c>
      <c r="AP14" s="66">
        <v>4</v>
      </c>
      <c r="AQ14" s="66">
        <v>8.2356351779251907E-4</v>
      </c>
      <c r="AR14" s="66">
        <v>6.7352543336208961E-4</v>
      </c>
      <c r="AS14" s="66">
        <v>3.0116257375953645E-3</v>
      </c>
      <c r="AT14" s="67">
        <v>2.7849025318172963E-2</v>
      </c>
      <c r="AU14" s="66">
        <v>0.75</v>
      </c>
      <c r="AV14" s="66">
        <v>7.2608422279065846E-2</v>
      </c>
      <c r="AW14" s="66">
        <v>0.25589983154631296</v>
      </c>
      <c r="AX14" s="66">
        <v>0.59673292377288012</v>
      </c>
      <c r="AY14" s="67">
        <v>1.8580611379929568</v>
      </c>
      <c r="AZ14" s="66">
        <v>0.66666666666666663</v>
      </c>
      <c r="BA14" s="66">
        <v>3.962214655319686E-2</v>
      </c>
      <c r="BB14" s="66">
        <v>7.0042396976155247E-2</v>
      </c>
      <c r="BC14" s="67">
        <v>0.25539947488758857</v>
      </c>
      <c r="BD14" s="66">
        <v>0.75</v>
      </c>
      <c r="BE14" s="67">
        <v>12.238300000000001</v>
      </c>
      <c r="BF14" s="66">
        <v>2</v>
      </c>
      <c r="BG14" s="67">
        <v>33.447099999999999</v>
      </c>
      <c r="BH14" s="66">
        <v>6</v>
      </c>
      <c r="BI14" s="67">
        <v>35.795499999999997</v>
      </c>
      <c r="BJ14" s="90">
        <v>0.66666999999999998</v>
      </c>
      <c r="BK14" s="94">
        <v>16.763704625051112</v>
      </c>
      <c r="BL14" s="95">
        <v>1</v>
      </c>
      <c r="BM14" s="90">
        <v>8.7882418484278482</v>
      </c>
      <c r="BN14" s="94">
        <v>1.8160842833856712</v>
      </c>
      <c r="BO14" s="90">
        <v>12</v>
      </c>
      <c r="BP14" s="90">
        <v>1.8111802985224009E-3</v>
      </c>
      <c r="BQ14" s="90">
        <v>1.7586632377881793E-3</v>
      </c>
      <c r="BR14" s="90">
        <v>1.5514460763858318E-2</v>
      </c>
      <c r="BS14" s="94">
        <v>0.27793080505868528</v>
      </c>
      <c r="BT14" s="134">
        <v>1</v>
      </c>
      <c r="BU14" s="135">
        <v>2.8104767700000002</v>
      </c>
      <c r="BV14" s="134">
        <v>0.33</v>
      </c>
      <c r="BW14" s="135">
        <v>5.5818736280000003</v>
      </c>
      <c r="BX14" s="137">
        <v>8</v>
      </c>
      <c r="BY14" s="135">
        <v>2.6908097955045608E-3</v>
      </c>
      <c r="BZ14" s="134"/>
      <c r="CA14" s="135"/>
      <c r="CB14" s="137">
        <v>15</v>
      </c>
      <c r="CC14" s="135">
        <v>333.18040034877271</v>
      </c>
      <c r="CD14" s="134"/>
      <c r="CE14" s="135"/>
      <c r="CF14" s="138">
        <v>30</v>
      </c>
      <c r="CG14" s="139">
        <v>39.25816536</v>
      </c>
      <c r="CH14" s="134">
        <v>4</v>
      </c>
      <c r="CI14" s="134">
        <v>0.99290754299999995</v>
      </c>
      <c r="CJ14" s="135"/>
      <c r="CK14" s="134">
        <v>0.75</v>
      </c>
      <c r="CL14" s="134"/>
      <c r="CM14" s="134"/>
      <c r="CN14" s="134">
        <v>0.12814155800000002</v>
      </c>
      <c r="CO14" s="135">
        <v>0.37087708429999999</v>
      </c>
      <c r="CP14" s="141">
        <v>4</v>
      </c>
      <c r="CQ14" s="141">
        <v>22.998525870000002</v>
      </c>
      <c r="CR14" s="142">
        <v>293.82584919999999</v>
      </c>
      <c r="CS14" s="134">
        <v>0.5</v>
      </c>
      <c r="CT14" s="134">
        <v>14.723000000000001</v>
      </c>
      <c r="CU14" s="134">
        <v>119.991</v>
      </c>
      <c r="CV14" s="135">
        <v>250.06899999999999</v>
      </c>
    </row>
    <row r="15" spans="1:100" x14ac:dyDescent="0.15">
      <c r="A15" s="66">
        <v>20</v>
      </c>
      <c r="B15" s="67">
        <v>4.9448800000000001E-2</v>
      </c>
      <c r="C15" s="66">
        <v>10</v>
      </c>
      <c r="D15" s="66">
        <v>0.11715207898315601</v>
      </c>
      <c r="E15" s="66">
        <v>1.7729643374131947E-2</v>
      </c>
      <c r="F15" s="82">
        <v>4</v>
      </c>
      <c r="G15" s="67">
        <v>1.4065672459825689</v>
      </c>
      <c r="H15" s="66">
        <v>0.75</v>
      </c>
      <c r="I15" s="66">
        <v>3.3526428519273913E-2</v>
      </c>
      <c r="J15" s="95"/>
      <c r="K15" s="94"/>
      <c r="L15" s="66">
        <v>2</v>
      </c>
      <c r="M15" s="66">
        <v>7.8863309809744667E-2</v>
      </c>
      <c r="N15" s="67">
        <v>0.60778399999999999</v>
      </c>
      <c r="O15" s="66">
        <v>8</v>
      </c>
      <c r="P15" s="66">
        <v>12.3529</v>
      </c>
      <c r="Q15" s="67">
        <v>15.7311</v>
      </c>
      <c r="R15" s="66">
        <v>0.5</v>
      </c>
      <c r="S15" s="67">
        <v>5.5051500000000004</v>
      </c>
      <c r="T15" s="66">
        <v>6</v>
      </c>
      <c r="U15" s="66">
        <v>2.7715326553706243E-2</v>
      </c>
      <c r="V15" s="67">
        <v>0.42122098561402715</v>
      </c>
      <c r="W15" s="66">
        <v>3</v>
      </c>
      <c r="X15" s="66">
        <v>0.63594564852947622</v>
      </c>
      <c r="Y15" s="67">
        <v>0.16028393651291017</v>
      </c>
      <c r="Z15" s="66">
        <v>0.5</v>
      </c>
      <c r="AA15" s="67">
        <v>18.913712261568076</v>
      </c>
      <c r="AB15" s="77">
        <v>3.93947</v>
      </c>
      <c r="AC15" s="66">
        <v>1.0276849582345446</v>
      </c>
      <c r="AD15" s="77">
        <v>3.9236200000000001</v>
      </c>
      <c r="AE15" s="67">
        <v>8.2455570336307389</v>
      </c>
      <c r="AF15" s="66"/>
      <c r="AG15" s="67"/>
      <c r="AH15" s="66">
        <v>16</v>
      </c>
      <c r="AI15" s="67">
        <v>3.3462000000000006E-2</v>
      </c>
      <c r="AJ15" s="66">
        <v>0.33333333333333331</v>
      </c>
      <c r="AK15" s="66">
        <v>5.4741916767843415E-2</v>
      </c>
      <c r="AL15" s="67">
        <v>7.9346906578534548E-2</v>
      </c>
      <c r="AM15" s="66">
        <v>2</v>
      </c>
      <c r="AN15" s="66">
        <v>6.2482730502113511E-2</v>
      </c>
      <c r="AO15" s="67">
        <v>8.8529905369874831E-2</v>
      </c>
      <c r="AP15" s="66">
        <v>6</v>
      </c>
      <c r="AQ15" s="66">
        <v>3.8650667622974354E-4</v>
      </c>
      <c r="AR15" s="90" t="s">
        <v>125</v>
      </c>
      <c r="AS15" s="66">
        <v>4.8876939037329819E-3</v>
      </c>
      <c r="AT15" s="67">
        <v>2.2101919867297492E-2</v>
      </c>
      <c r="AU15" s="66">
        <v>1</v>
      </c>
      <c r="AV15" s="66">
        <v>4.7059358207480119E-2</v>
      </c>
      <c r="AW15" s="66">
        <v>0.1764574504414349</v>
      </c>
      <c r="AX15" s="66">
        <v>0.37886108614890879</v>
      </c>
      <c r="AY15" s="67">
        <v>1.2550181309153121</v>
      </c>
      <c r="AZ15" s="66">
        <v>0.83333333333333337</v>
      </c>
      <c r="BA15" s="66">
        <v>3.0156504487235884E-2</v>
      </c>
      <c r="BB15" s="66">
        <v>5.792779532605135E-2</v>
      </c>
      <c r="BC15" s="67">
        <v>0.19670255451339236</v>
      </c>
      <c r="BD15" s="66">
        <v>1</v>
      </c>
      <c r="BE15" s="67">
        <v>9.0177099999999992</v>
      </c>
      <c r="BF15" s="66">
        <v>3</v>
      </c>
      <c r="BG15" s="67">
        <v>29.351500000000001</v>
      </c>
      <c r="BH15" s="66">
        <v>8</v>
      </c>
      <c r="BI15" s="67">
        <v>26.6477</v>
      </c>
      <c r="BJ15" s="90">
        <v>1</v>
      </c>
      <c r="BK15" s="94">
        <v>14.205613682974475</v>
      </c>
      <c r="BL15" s="95">
        <v>1.5</v>
      </c>
      <c r="BM15" s="90">
        <v>4.6329114553019899</v>
      </c>
      <c r="BN15" s="94">
        <v>1.2015288413052481</v>
      </c>
      <c r="BO15" s="90"/>
      <c r="BP15" s="95"/>
      <c r="BQ15" s="95"/>
      <c r="BR15" s="90"/>
      <c r="BS15" s="94"/>
      <c r="BT15" s="134">
        <v>2</v>
      </c>
      <c r="BU15" s="135">
        <v>2.2171700329999999</v>
      </c>
      <c r="BV15" s="134">
        <v>0.5</v>
      </c>
      <c r="BW15" s="135">
        <v>3.9297054579999999</v>
      </c>
      <c r="BX15" s="137">
        <v>12</v>
      </c>
      <c r="BY15" s="135">
        <v>1.5088775608114154E-3</v>
      </c>
      <c r="BZ15" s="134"/>
      <c r="CA15" s="135"/>
      <c r="CB15" s="137">
        <v>24</v>
      </c>
      <c r="CC15" s="135">
        <v>213.65420547778055</v>
      </c>
      <c r="CD15" s="134"/>
      <c r="CE15" s="135"/>
      <c r="CF15" s="138">
        <v>48</v>
      </c>
      <c r="CG15" s="139">
        <v>15.72497632</v>
      </c>
      <c r="CH15" s="134">
        <v>4.5</v>
      </c>
      <c r="CI15" s="134"/>
      <c r="CJ15" s="135">
        <v>4.3794744799999998</v>
      </c>
      <c r="CK15" s="134">
        <v>1</v>
      </c>
      <c r="CL15" s="134">
        <v>0.27890095409999999</v>
      </c>
      <c r="CM15" s="134">
        <v>1.157817208</v>
      </c>
      <c r="CN15" s="134">
        <v>0.14869966840000001</v>
      </c>
      <c r="CO15" s="135">
        <v>0.3869813185</v>
      </c>
      <c r="CP15" s="141">
        <v>24</v>
      </c>
      <c r="CQ15" s="141">
        <v>0.93121979700000002</v>
      </c>
      <c r="CR15" s="142">
        <v>7.2243869590000003</v>
      </c>
      <c r="CS15" s="134">
        <v>0.75</v>
      </c>
      <c r="CT15" s="134">
        <v>9.0809999999999995</v>
      </c>
      <c r="CU15" s="134">
        <v>72.474999999999994</v>
      </c>
      <c r="CV15" s="135">
        <v>218.05199999999999</v>
      </c>
    </row>
    <row r="16" spans="1:100" x14ac:dyDescent="0.15">
      <c r="A16" s="66"/>
      <c r="B16" s="67"/>
      <c r="C16" s="66">
        <v>12</v>
      </c>
      <c r="D16" s="66">
        <v>9.2497501087980286E-2</v>
      </c>
      <c r="E16" s="66">
        <v>1.5683392086433334E-2</v>
      </c>
      <c r="F16" s="82"/>
      <c r="G16" s="67"/>
      <c r="H16" s="66">
        <v>1</v>
      </c>
      <c r="I16" s="66">
        <v>2.1399089328392171E-2</v>
      </c>
      <c r="J16" s="66">
        <v>7.7736913221104265E-2</v>
      </c>
      <c r="K16" s="67">
        <v>5.4975259958688745E-2</v>
      </c>
      <c r="L16" s="66">
        <v>3</v>
      </c>
      <c r="M16" s="66">
        <v>6.1305579214982114E-2</v>
      </c>
      <c r="N16" s="94"/>
      <c r="O16" s="66">
        <v>12</v>
      </c>
      <c r="P16" s="66">
        <v>6</v>
      </c>
      <c r="Q16" s="67">
        <v>8.9243699999999997</v>
      </c>
      <c r="R16" s="66">
        <v>0.75</v>
      </c>
      <c r="S16" s="67">
        <v>3.8350499999999998</v>
      </c>
      <c r="T16" s="66">
        <v>8</v>
      </c>
      <c r="U16" s="66">
        <v>1.3983954428645716E-2</v>
      </c>
      <c r="V16" s="67">
        <v>0.25417919504111702</v>
      </c>
      <c r="W16" s="66">
        <v>4</v>
      </c>
      <c r="X16" s="66">
        <v>0.2016879724150675</v>
      </c>
      <c r="Y16" s="67">
        <v>5.2838441576928942E-2</v>
      </c>
      <c r="Z16" s="66">
        <v>0.75</v>
      </c>
      <c r="AA16" s="67">
        <v>9.9416341632851761</v>
      </c>
      <c r="AB16" s="77">
        <v>5.8587499999999997</v>
      </c>
      <c r="AC16" s="66">
        <v>0.73073515271480494</v>
      </c>
      <c r="AD16" s="77">
        <v>5.9069799999999999</v>
      </c>
      <c r="AE16" s="67">
        <v>4.6228521087889334</v>
      </c>
      <c r="AF16" s="66"/>
      <c r="AG16" s="67"/>
      <c r="AH16" s="66">
        <v>24</v>
      </c>
      <c r="AI16" s="67">
        <v>2.8314000000000002E-2</v>
      </c>
      <c r="AJ16" s="66">
        <v>0.5</v>
      </c>
      <c r="AK16" s="66">
        <v>5.3002944883579567E-2</v>
      </c>
      <c r="AL16" s="67">
        <v>5.3002944883579567E-2</v>
      </c>
      <c r="AM16" s="66">
        <v>3</v>
      </c>
      <c r="AN16" s="66">
        <v>1.6102748130094227E-2</v>
      </c>
      <c r="AO16" s="67">
        <v>3.7732883959350705E-2</v>
      </c>
      <c r="AP16" s="66">
        <v>8</v>
      </c>
      <c r="AQ16" s="90" t="s">
        <v>125</v>
      </c>
      <c r="AR16" s="90" t="s">
        <v>125</v>
      </c>
      <c r="AS16" s="66">
        <v>2.8365144478823602E-3</v>
      </c>
      <c r="AT16" s="67">
        <v>1.4999611131034124E-2</v>
      </c>
      <c r="AU16" s="66">
        <v>1.25</v>
      </c>
      <c r="AV16" s="66">
        <v>3.1136801642508097E-2</v>
      </c>
      <c r="AW16" s="66">
        <v>0.11202888150420902</v>
      </c>
      <c r="AX16" s="66">
        <v>0.2455443808569911</v>
      </c>
      <c r="AY16" s="67">
        <v>0.81341092283018634</v>
      </c>
      <c r="AZ16" s="66">
        <v>1</v>
      </c>
      <c r="BA16" s="66">
        <v>2.3503579034573469E-2</v>
      </c>
      <c r="BB16" s="66">
        <v>4.0573922936789915E-2</v>
      </c>
      <c r="BC16" s="67">
        <v>0.1646228060089979</v>
      </c>
      <c r="BD16" s="66">
        <v>1.5</v>
      </c>
      <c r="BE16" s="67">
        <v>6.6344599999999998</v>
      </c>
      <c r="BF16" s="66">
        <v>4</v>
      </c>
      <c r="BG16" s="67">
        <v>25.256</v>
      </c>
      <c r="BH16" s="66">
        <v>12</v>
      </c>
      <c r="BI16" s="67">
        <v>17.8977</v>
      </c>
      <c r="BJ16" s="90">
        <v>1.5</v>
      </c>
      <c r="BK16" s="94">
        <v>11.714398668373693</v>
      </c>
      <c r="BL16" s="95">
        <v>2</v>
      </c>
      <c r="BM16" s="90">
        <v>2.4838307535642525</v>
      </c>
      <c r="BN16" s="94">
        <v>0.88479752676835</v>
      </c>
      <c r="BO16" s="90"/>
      <c r="BP16" s="95"/>
      <c r="BQ16" s="95"/>
      <c r="BR16" s="90"/>
      <c r="BS16" s="94"/>
      <c r="BT16" s="134">
        <v>4</v>
      </c>
      <c r="BU16" s="135">
        <v>1.81126502</v>
      </c>
      <c r="BV16" s="134">
        <v>1</v>
      </c>
      <c r="BW16" s="135">
        <v>3.3456461019999999</v>
      </c>
      <c r="BX16" s="137">
        <v>24</v>
      </c>
      <c r="BY16" s="135">
        <v>1.0032864803272991E-3</v>
      </c>
      <c r="BZ16" s="134"/>
      <c r="CA16" s="135"/>
      <c r="CB16" s="134"/>
      <c r="CC16" s="135"/>
      <c r="CD16" s="134"/>
      <c r="CE16" s="135"/>
      <c r="CF16" s="138">
        <v>72</v>
      </c>
      <c r="CG16" s="139">
        <v>3.6240234569999998</v>
      </c>
      <c r="CH16" s="134">
        <v>6</v>
      </c>
      <c r="CI16" s="134">
        <v>0.59476170799999994</v>
      </c>
      <c r="CJ16" s="135">
        <v>2.096447543</v>
      </c>
      <c r="CK16" s="134">
        <v>1.5</v>
      </c>
      <c r="CL16" s="134">
        <v>0.24089068130000002</v>
      </c>
      <c r="CM16" s="134">
        <v>0.95900307559999998</v>
      </c>
      <c r="CN16" s="134">
        <v>0.13089407850000001</v>
      </c>
      <c r="CO16" s="135">
        <v>0.49941318039999999</v>
      </c>
      <c r="CP16" s="134"/>
      <c r="CQ16" s="134"/>
      <c r="CR16" s="135"/>
      <c r="CS16" s="134">
        <v>1</v>
      </c>
      <c r="CT16" s="134">
        <v>5.0970000000000004</v>
      </c>
      <c r="CU16" s="134">
        <v>42.866</v>
      </c>
      <c r="CV16" s="135">
        <v>171.19499999999999</v>
      </c>
    </row>
    <row r="17" spans="1:100" x14ac:dyDescent="0.15">
      <c r="A17" s="66"/>
      <c r="B17" s="66"/>
      <c r="C17" s="66">
        <v>24</v>
      </c>
      <c r="D17" s="66">
        <v>5.8697553454772455E-2</v>
      </c>
      <c r="E17" s="66">
        <v>1.0948131369934711E-2</v>
      </c>
      <c r="F17" s="82"/>
      <c r="G17" s="67"/>
      <c r="H17" s="66">
        <v>1.5</v>
      </c>
      <c r="I17" s="66">
        <v>9.9955637108995379E-3</v>
      </c>
      <c r="J17" s="66">
        <v>8.5677599826752687E-2</v>
      </c>
      <c r="K17" s="67">
        <v>0.1923035456173848</v>
      </c>
      <c r="L17" s="66">
        <v>4</v>
      </c>
      <c r="M17" s="66">
        <v>3.8311839090138418E-2</v>
      </c>
      <c r="N17" s="67">
        <v>0.36021700000000001</v>
      </c>
      <c r="O17" s="66">
        <v>24</v>
      </c>
      <c r="P17" s="66">
        <v>1.21008</v>
      </c>
      <c r="Q17" s="67">
        <v>1.76471</v>
      </c>
      <c r="R17" s="66">
        <v>1</v>
      </c>
      <c r="S17" s="67">
        <v>3.3402099999999999</v>
      </c>
      <c r="T17" s="66"/>
      <c r="U17" s="66"/>
      <c r="V17" s="67"/>
      <c r="W17" s="66">
        <v>6</v>
      </c>
      <c r="X17" s="66">
        <v>6.9256413898525465E-2</v>
      </c>
      <c r="Y17" s="67">
        <v>1.9427637885502273E-2</v>
      </c>
      <c r="Z17" s="66">
        <v>1</v>
      </c>
      <c r="AA17" s="67">
        <v>6.0187427001531546</v>
      </c>
      <c r="AB17" s="77">
        <v>7.9284999999999997</v>
      </c>
      <c r="AC17" s="66">
        <v>0.4234186664336862</v>
      </c>
      <c r="AD17" s="77">
        <v>7.8470899999999997</v>
      </c>
      <c r="AE17" s="67">
        <v>2.506570937938156</v>
      </c>
      <c r="AF17" s="66"/>
      <c r="AG17" s="67"/>
      <c r="AH17" s="66"/>
      <c r="AI17" s="67"/>
      <c r="AJ17" s="66">
        <v>0.66666666666666663</v>
      </c>
      <c r="AK17" s="66">
        <v>3.8380444484548686E-2</v>
      </c>
      <c r="AL17" s="67">
        <v>5.3865413738942929E-2</v>
      </c>
      <c r="AM17" s="66">
        <v>4</v>
      </c>
      <c r="AN17" s="66">
        <v>1E-3</v>
      </c>
      <c r="AO17" s="67">
        <v>1.9783357541433948E-2</v>
      </c>
      <c r="AP17" s="66">
        <v>10</v>
      </c>
      <c r="AQ17" s="90" t="s">
        <v>125</v>
      </c>
      <c r="AR17" s="90" t="s">
        <v>125</v>
      </c>
      <c r="AS17" s="66">
        <v>1.2589170053518626E-3</v>
      </c>
      <c r="AT17" s="67">
        <v>1.2173066653544735E-2</v>
      </c>
      <c r="AU17" s="66">
        <v>1.5</v>
      </c>
      <c r="AV17" s="90" t="s">
        <v>125</v>
      </c>
      <c r="AW17" s="66">
        <v>7.5670046352604492E-2</v>
      </c>
      <c r="AX17" s="66">
        <v>0.1764574504414349</v>
      </c>
      <c r="AY17" s="67">
        <v>0.56089297416302819</v>
      </c>
      <c r="AZ17" s="66">
        <v>1.5</v>
      </c>
      <c r="BA17" s="90" t="s">
        <v>125</v>
      </c>
      <c r="BB17" s="66">
        <v>2.1374550971427722E-2</v>
      </c>
      <c r="BC17" s="67">
        <v>8.2703901960653775E-2</v>
      </c>
      <c r="BD17" s="66">
        <v>2</v>
      </c>
      <c r="BE17" s="67">
        <v>4.31562</v>
      </c>
      <c r="BF17" s="66">
        <v>5</v>
      </c>
      <c r="BG17" s="67">
        <v>23.0717</v>
      </c>
      <c r="BH17" s="66"/>
      <c r="BI17" s="67"/>
      <c r="BJ17" s="90">
        <v>2</v>
      </c>
      <c r="BK17" s="94">
        <v>8.9697223491334022</v>
      </c>
      <c r="BL17" s="95">
        <v>3</v>
      </c>
      <c r="BM17" s="90">
        <v>1.4983387107492565</v>
      </c>
      <c r="BN17" s="94">
        <v>1.1742684702663755</v>
      </c>
      <c r="BO17" s="90"/>
      <c r="BP17" s="95"/>
      <c r="BQ17" s="95"/>
      <c r="BR17" s="90"/>
      <c r="BS17" s="90"/>
      <c r="BT17" s="134">
        <v>8</v>
      </c>
      <c r="BU17" s="135">
        <v>1.2094310109999999</v>
      </c>
      <c r="BV17" s="134">
        <v>1.5</v>
      </c>
      <c r="BW17" s="135">
        <v>3.088566809</v>
      </c>
      <c r="BX17" s="137">
        <v>30</v>
      </c>
      <c r="BY17" s="135">
        <v>6.7229518370795504E-4</v>
      </c>
      <c r="BZ17" s="134"/>
      <c r="CA17" s="135"/>
      <c r="CB17" s="134"/>
      <c r="CC17" s="135"/>
      <c r="CD17" s="134"/>
      <c r="CE17" s="135"/>
      <c r="CF17" s="136"/>
      <c r="CG17" s="135"/>
      <c r="CH17" s="134">
        <v>8</v>
      </c>
      <c r="CI17" s="134">
        <v>0.43639121600000003</v>
      </c>
      <c r="CJ17" s="135">
        <v>1.7484692550000001</v>
      </c>
      <c r="CK17" s="134">
        <v>2</v>
      </c>
      <c r="CL17" s="134">
        <v>0.15520653379999999</v>
      </c>
      <c r="CM17" s="134">
        <v>0.81112913289999999</v>
      </c>
      <c r="CN17" s="134">
        <v>8.200682539000001E-2</v>
      </c>
      <c r="CO17" s="135">
        <v>0.52109871229999993</v>
      </c>
      <c r="CP17" s="134"/>
      <c r="CQ17" s="134"/>
      <c r="CR17" s="135"/>
      <c r="CS17" s="134">
        <v>2</v>
      </c>
      <c r="CT17" s="134">
        <v>1.1950000000000001</v>
      </c>
      <c r="CU17" s="134">
        <v>5.1909999999999998</v>
      </c>
      <c r="CV17" s="135">
        <v>43.662999999999997</v>
      </c>
    </row>
    <row r="18" spans="1:100" x14ac:dyDescent="0.15">
      <c r="A18" s="66"/>
      <c r="B18" s="66"/>
      <c r="C18" s="66">
        <v>48</v>
      </c>
      <c r="D18" s="66">
        <v>3.4455614518910438E-2</v>
      </c>
      <c r="E18" s="66">
        <v>4.9061068221655409E-3</v>
      </c>
      <c r="F18" s="82"/>
      <c r="G18" s="67"/>
      <c r="H18" s="66">
        <v>2</v>
      </c>
      <c r="I18" s="66">
        <v>3.8023859072140631E-3</v>
      </c>
      <c r="J18" s="66">
        <v>7.0741993117468843E-2</v>
      </c>
      <c r="K18" s="67">
        <v>0.22128261327141102</v>
      </c>
      <c r="L18" s="66">
        <v>6</v>
      </c>
      <c r="M18" s="66">
        <v>1.8302061063110567E-2</v>
      </c>
      <c r="N18" s="67">
        <v>0.15667300000000001</v>
      </c>
      <c r="O18" s="66"/>
      <c r="P18" s="66"/>
      <c r="Q18" s="66"/>
      <c r="R18" s="66">
        <v>2</v>
      </c>
      <c r="S18" s="67">
        <v>2.87629</v>
      </c>
      <c r="T18" s="66"/>
      <c r="U18" s="66"/>
      <c r="V18" s="67"/>
      <c r="W18" s="66">
        <v>8</v>
      </c>
      <c r="X18" s="66">
        <v>7.7972238045390579E-2</v>
      </c>
      <c r="Y18" s="94" t="s">
        <v>125</v>
      </c>
      <c r="Z18" s="66">
        <v>1.5</v>
      </c>
      <c r="AA18" s="67">
        <v>3.5994966833615356</v>
      </c>
      <c r="AB18" s="77">
        <v>10.063800000000001</v>
      </c>
      <c r="AC18" s="66">
        <v>0.32694898993020216</v>
      </c>
      <c r="AD18" s="77">
        <v>10.089600000000001</v>
      </c>
      <c r="AE18" s="67">
        <v>1.5254219803428148</v>
      </c>
      <c r="AF18" s="66"/>
      <c r="AG18" s="67"/>
      <c r="AH18" s="66"/>
      <c r="AI18" s="67"/>
      <c r="AJ18" s="66">
        <v>0.83333333333333337</v>
      </c>
      <c r="AK18" s="66">
        <v>2.4425867674039564E-2</v>
      </c>
      <c r="AL18" s="67">
        <v>3.540544033120209E-2</v>
      </c>
      <c r="AM18" s="66"/>
      <c r="AN18" s="66"/>
      <c r="AO18" s="67"/>
      <c r="AP18" s="66"/>
      <c r="AQ18" s="66"/>
      <c r="AR18" s="66"/>
      <c r="AS18" s="66"/>
      <c r="AT18" s="67"/>
      <c r="AU18" s="66">
        <v>2</v>
      </c>
      <c r="AV18" s="90" t="s">
        <v>125</v>
      </c>
      <c r="AW18" s="66">
        <v>3.827894854786433E-2</v>
      </c>
      <c r="AX18" s="66">
        <v>8.7438761992901723E-2</v>
      </c>
      <c r="AY18" s="67">
        <v>0.3081697457088306</v>
      </c>
      <c r="AZ18" s="66">
        <v>2</v>
      </c>
      <c r="BA18" s="90" t="s">
        <v>125</v>
      </c>
      <c r="BB18" s="90" t="s">
        <v>125</v>
      </c>
      <c r="BC18" s="67">
        <v>4.6784608543905426E-2</v>
      </c>
      <c r="BD18" s="66"/>
      <c r="BE18" s="67"/>
      <c r="BF18" s="66">
        <v>6</v>
      </c>
      <c r="BG18" s="67">
        <v>19.522200000000002</v>
      </c>
      <c r="BH18" s="66"/>
      <c r="BI18" s="67"/>
      <c r="BJ18" s="90">
        <v>2.5</v>
      </c>
      <c r="BK18" s="94">
        <v>7.1939762546924726</v>
      </c>
      <c r="BL18" s="95">
        <v>4</v>
      </c>
      <c r="BM18" s="90">
        <v>0.8308300576683475</v>
      </c>
      <c r="BN18" s="94">
        <v>1.1215894098664199</v>
      </c>
      <c r="BO18" s="90"/>
      <c r="BP18" s="95"/>
      <c r="BQ18" s="95"/>
      <c r="BR18" s="90"/>
      <c r="BS18" s="90"/>
      <c r="BT18" s="134">
        <v>12</v>
      </c>
      <c r="BU18" s="135">
        <v>0.89420377699999998</v>
      </c>
      <c r="BV18" s="134">
        <v>2</v>
      </c>
      <c r="BW18" s="135">
        <v>2.559092594</v>
      </c>
      <c r="BX18" s="134"/>
      <c r="BY18" s="135"/>
      <c r="BZ18" s="134"/>
      <c r="CA18" s="135"/>
      <c r="CB18" s="134"/>
      <c r="CC18" s="135"/>
      <c r="CD18" s="134"/>
      <c r="CE18" s="135"/>
      <c r="CF18" s="136"/>
      <c r="CG18" s="135"/>
      <c r="CH18" s="134">
        <v>10</v>
      </c>
      <c r="CI18" s="134"/>
      <c r="CJ18" s="135">
        <v>0.97193047600000004</v>
      </c>
      <c r="CK18" s="134">
        <v>2.5</v>
      </c>
      <c r="CL18" s="134">
        <v>7.7787533319999991E-2</v>
      </c>
      <c r="CM18" s="134">
        <v>0.59255681869999999</v>
      </c>
      <c r="CN18" s="134">
        <v>6.0900379649999996E-2</v>
      </c>
      <c r="CO18" s="135">
        <v>0.37087708429999999</v>
      </c>
      <c r="CP18" s="134"/>
      <c r="CQ18" s="134"/>
      <c r="CR18" s="135"/>
      <c r="CS18" s="134">
        <v>3</v>
      </c>
      <c r="CT18" s="134">
        <v>0.49399999999999999</v>
      </c>
      <c r="CU18" s="134">
        <v>2.0350000000000001</v>
      </c>
      <c r="CV18" s="135">
        <v>4.0250000000000004</v>
      </c>
    </row>
    <row r="19" spans="1:100" x14ac:dyDescent="0.15">
      <c r="A19" s="66"/>
      <c r="B19" s="66"/>
      <c r="C19" s="66"/>
      <c r="D19" s="66"/>
      <c r="E19" s="66"/>
      <c r="F19" s="82"/>
      <c r="G19" s="67"/>
      <c r="H19" s="66">
        <v>3</v>
      </c>
      <c r="I19" s="95"/>
      <c r="J19" s="66">
        <v>3.3616871313927724E-2</v>
      </c>
      <c r="K19" s="67">
        <v>0.12686367609039348</v>
      </c>
      <c r="L19" s="66">
        <v>8</v>
      </c>
      <c r="M19" s="66">
        <v>1.0516591384263061E-2</v>
      </c>
      <c r="N19" s="67">
        <v>6.00032E-2</v>
      </c>
      <c r="O19" s="66"/>
      <c r="P19" s="66"/>
      <c r="Q19" s="66"/>
      <c r="R19" s="66">
        <v>4</v>
      </c>
      <c r="S19" s="67">
        <v>2.9072200000000001</v>
      </c>
      <c r="T19" s="66"/>
      <c r="U19" s="66"/>
      <c r="V19" s="67"/>
      <c r="W19" s="66">
        <v>10</v>
      </c>
      <c r="X19" s="66">
        <v>2.2463116009241731E-2</v>
      </c>
      <c r="Y19" s="94" t="s">
        <v>125</v>
      </c>
      <c r="Z19" s="66"/>
      <c r="AA19" s="67"/>
      <c r="AB19" s="77">
        <v>11.982900000000001</v>
      </c>
      <c r="AC19" s="66">
        <v>0.2172551099166993</v>
      </c>
      <c r="AD19" s="77">
        <v>11.943199999999999</v>
      </c>
      <c r="AE19" s="67">
        <v>0.77364193054868668</v>
      </c>
      <c r="AF19" s="66"/>
      <c r="AG19" s="67"/>
      <c r="AH19" s="66"/>
      <c r="AI19" s="67"/>
      <c r="AJ19" s="66">
        <v>1</v>
      </c>
      <c r="AK19" s="66">
        <v>1.3884172474339545E-2</v>
      </c>
      <c r="AL19" s="67">
        <v>2.4425867674039564E-2</v>
      </c>
      <c r="AM19" s="66"/>
      <c r="AN19" s="66"/>
      <c r="AO19" s="67"/>
      <c r="AP19" s="66"/>
      <c r="AQ19" s="66"/>
      <c r="AR19" s="66"/>
      <c r="AS19" s="66"/>
      <c r="AT19" s="67"/>
      <c r="AU19" s="66">
        <v>2.5</v>
      </c>
      <c r="AV19" s="90" t="s">
        <v>125</v>
      </c>
      <c r="AW19" s="90" t="s">
        <v>125</v>
      </c>
      <c r="AX19" s="66">
        <v>4.4232348633945789E-2</v>
      </c>
      <c r="AY19" s="67">
        <v>0.18389503337517552</v>
      </c>
      <c r="AZ19" s="66"/>
      <c r="BA19" s="66"/>
      <c r="BB19" s="66"/>
      <c r="BC19" s="67"/>
      <c r="BD19" s="66"/>
      <c r="BE19" s="67"/>
      <c r="BF19" s="66"/>
      <c r="BG19" s="67"/>
      <c r="BH19" s="66"/>
      <c r="BI19" s="67"/>
      <c r="BJ19" s="90">
        <v>3</v>
      </c>
      <c r="BK19" s="94">
        <v>4.7939444795367177</v>
      </c>
      <c r="BL19" s="95">
        <v>6</v>
      </c>
      <c r="BM19" s="97" t="s">
        <v>125</v>
      </c>
      <c r="BN19" s="94">
        <v>0.77097980088916707</v>
      </c>
      <c r="BO19" s="90"/>
      <c r="BP19" s="95"/>
      <c r="BQ19" s="95"/>
      <c r="BR19" s="90"/>
      <c r="BS19" s="90"/>
      <c r="BT19" s="134">
        <v>16</v>
      </c>
      <c r="BU19" s="135">
        <v>0.68402189000000002</v>
      </c>
      <c r="BV19" s="134">
        <v>3</v>
      </c>
      <c r="BW19" s="135">
        <v>1.8050116110000001</v>
      </c>
      <c r="BX19" s="134"/>
      <c r="BY19" s="135"/>
      <c r="BZ19" s="134"/>
      <c r="CA19" s="135"/>
      <c r="CB19" s="134"/>
      <c r="CC19" s="135"/>
      <c r="CD19" s="134"/>
      <c r="CE19" s="135"/>
      <c r="CF19" s="136"/>
      <c r="CG19" s="135"/>
      <c r="CH19" s="134">
        <v>12</v>
      </c>
      <c r="CI19" s="134">
        <v>0.19179796700000001</v>
      </c>
      <c r="CJ19" s="135">
        <v>0.52885668699999999</v>
      </c>
      <c r="CK19" s="134">
        <v>3</v>
      </c>
      <c r="CL19" s="134">
        <v>3.2291632399999999E-2</v>
      </c>
      <c r="CM19" s="134">
        <v>0.38178600099999999</v>
      </c>
      <c r="CN19" s="134" t="s">
        <v>125</v>
      </c>
      <c r="CO19" s="135">
        <v>0.23235391799999999</v>
      </c>
      <c r="CP19" s="134"/>
      <c r="CQ19" s="134"/>
      <c r="CR19" s="135"/>
      <c r="CS19" s="134">
        <v>4</v>
      </c>
      <c r="CT19" s="134">
        <v>0.29799999999999999</v>
      </c>
      <c r="CU19" s="134">
        <v>0.90500000000000003</v>
      </c>
      <c r="CV19" s="135">
        <v>1.595</v>
      </c>
    </row>
    <row r="20" spans="1:100" x14ac:dyDescent="0.15">
      <c r="A20" s="66"/>
      <c r="B20" s="66"/>
      <c r="C20" s="66"/>
      <c r="D20" s="66"/>
      <c r="E20" s="66"/>
      <c r="F20" s="66"/>
      <c r="G20" s="67"/>
      <c r="H20" s="66">
        <v>4</v>
      </c>
      <c r="I20" s="95"/>
      <c r="J20" s="66">
        <v>1.0974817109898234E-2</v>
      </c>
      <c r="K20" s="67">
        <v>6.2046500484077685E-2</v>
      </c>
      <c r="L20" s="66">
        <v>24</v>
      </c>
      <c r="M20" s="95" t="s">
        <v>125</v>
      </c>
      <c r="N20" s="95" t="s">
        <v>125</v>
      </c>
      <c r="O20" s="66"/>
      <c r="P20" s="66"/>
      <c r="Q20" s="66"/>
      <c r="R20" s="66">
        <v>6</v>
      </c>
      <c r="S20" s="67">
        <v>2.1958799999999998</v>
      </c>
      <c r="T20" s="66"/>
      <c r="U20" s="66"/>
      <c r="V20" s="67"/>
      <c r="W20" s="66"/>
      <c r="X20" s="66"/>
      <c r="Y20" s="94"/>
      <c r="Z20" s="66"/>
      <c r="AA20" s="67"/>
      <c r="AB20" s="77">
        <v>16.1431</v>
      </c>
      <c r="AC20" s="66">
        <v>5.3774948111443517E-2</v>
      </c>
      <c r="AD20" s="77">
        <v>15.693099999999999</v>
      </c>
      <c r="AE20" s="67">
        <v>0.16793066199260342</v>
      </c>
      <c r="AF20" s="66"/>
      <c r="AG20" s="67"/>
      <c r="AH20" s="66"/>
      <c r="AI20" s="67"/>
      <c r="AJ20" s="66">
        <v>1.5</v>
      </c>
      <c r="AK20" s="66">
        <v>8.1510770794828678E-3</v>
      </c>
      <c r="AL20" s="67">
        <v>1.0054025907595486E-2</v>
      </c>
      <c r="AM20" s="66"/>
      <c r="AN20" s="66"/>
      <c r="AO20" s="67"/>
      <c r="AP20" s="66"/>
      <c r="AQ20" s="66"/>
      <c r="AR20" s="66"/>
      <c r="AS20" s="66"/>
      <c r="AT20" s="67"/>
      <c r="AU20" s="66">
        <v>3</v>
      </c>
      <c r="AV20" s="90" t="s">
        <v>125</v>
      </c>
      <c r="AW20" s="90" t="s">
        <v>125</v>
      </c>
      <c r="AX20" s="66">
        <v>2.3319165247833448E-2</v>
      </c>
      <c r="AY20" s="67">
        <v>0.10103689702462358</v>
      </c>
      <c r="AZ20" s="66"/>
      <c r="BA20" s="66"/>
      <c r="BB20" s="66"/>
      <c r="BC20" s="67"/>
      <c r="BD20" s="66"/>
      <c r="BE20" s="67"/>
      <c r="BF20" s="66"/>
      <c r="BG20" s="67"/>
      <c r="BH20" s="66"/>
      <c r="BI20" s="67"/>
      <c r="BJ20" s="90">
        <v>3.5</v>
      </c>
      <c r="BK20" s="94">
        <v>3.0217323912972951</v>
      </c>
      <c r="BL20" s="95">
        <v>8</v>
      </c>
      <c r="BM20" s="97" t="s">
        <v>125</v>
      </c>
      <c r="BN20" s="94">
        <v>0.75927482434962079</v>
      </c>
      <c r="BO20" s="90"/>
      <c r="BP20" s="95"/>
      <c r="BQ20" s="95"/>
      <c r="BR20" s="90"/>
      <c r="BS20" s="90"/>
      <c r="BT20" s="134">
        <v>24</v>
      </c>
      <c r="BU20" s="135">
        <v>0.400183336</v>
      </c>
      <c r="BV20" s="134">
        <v>4</v>
      </c>
      <c r="BW20" s="135">
        <v>1.4573370290000001</v>
      </c>
      <c r="BX20" s="134"/>
      <c r="BY20" s="135"/>
      <c r="BZ20" s="134"/>
      <c r="CA20" s="135"/>
      <c r="CB20" s="134"/>
      <c r="CC20" s="135"/>
      <c r="CD20" s="134"/>
      <c r="CE20" s="135"/>
      <c r="CF20" s="136"/>
      <c r="CG20" s="135"/>
      <c r="CH20" s="134"/>
      <c r="CI20" s="134"/>
      <c r="CJ20" s="135"/>
      <c r="CK20" s="134">
        <v>3.5</v>
      </c>
      <c r="CL20" s="134" t="s">
        <v>125</v>
      </c>
      <c r="CM20" s="134">
        <v>0.15848931920000001</v>
      </c>
      <c r="CN20" s="134" t="s">
        <v>125</v>
      </c>
      <c r="CO20" s="135">
        <v>0.1014261639</v>
      </c>
      <c r="CP20" s="134"/>
      <c r="CQ20" s="134"/>
      <c r="CR20" s="135"/>
      <c r="CS20" s="134"/>
      <c r="CT20" s="134"/>
      <c r="CU20" s="134"/>
      <c r="CV20" s="135"/>
    </row>
    <row r="21" spans="1:100" x14ac:dyDescent="0.15">
      <c r="A21" s="66"/>
      <c r="B21" s="66"/>
      <c r="C21" s="66"/>
      <c r="D21" s="66"/>
      <c r="E21" s="66"/>
      <c r="F21" s="66"/>
      <c r="G21" s="67"/>
      <c r="H21" s="66">
        <v>6</v>
      </c>
      <c r="I21" s="95"/>
      <c r="J21" s="66">
        <v>1.9956450153300856E-3</v>
      </c>
      <c r="K21" s="67">
        <v>1.4110431398907351E-3</v>
      </c>
      <c r="L21" s="66"/>
      <c r="M21" s="66"/>
      <c r="N21" s="67"/>
      <c r="O21" s="66"/>
      <c r="P21" s="66"/>
      <c r="R21" s="66">
        <v>8</v>
      </c>
      <c r="S21" s="67">
        <v>1.4536100000000001</v>
      </c>
      <c r="T21" s="66"/>
      <c r="U21" s="66"/>
      <c r="V21" s="67"/>
      <c r="W21" s="66"/>
      <c r="X21" s="66"/>
      <c r="Y21" s="67"/>
      <c r="Z21" s="66"/>
      <c r="AA21" s="67"/>
      <c r="AB21" s="66"/>
      <c r="AC21" s="66"/>
      <c r="AD21" s="66"/>
      <c r="AE21" s="67"/>
      <c r="AF21" s="66"/>
      <c r="AG21" s="67"/>
      <c r="AH21" s="66"/>
      <c r="AI21" s="67"/>
      <c r="AJ21" s="66">
        <v>2</v>
      </c>
      <c r="AK21" s="66">
        <v>6.6083494432534621E-3</v>
      </c>
      <c r="AL21" s="67">
        <v>1.2202533258010509E-2</v>
      </c>
      <c r="AM21" s="66"/>
      <c r="AN21" s="66"/>
      <c r="AO21" s="67"/>
      <c r="AP21" s="66"/>
      <c r="AQ21" s="66"/>
      <c r="AR21" s="66"/>
      <c r="AS21" s="66"/>
      <c r="AT21" s="67"/>
      <c r="AU21" s="66">
        <v>4</v>
      </c>
      <c r="AV21" s="90" t="s">
        <v>125</v>
      </c>
      <c r="AW21" s="90" t="s">
        <v>125</v>
      </c>
      <c r="AX21" s="90" t="s">
        <v>125</v>
      </c>
      <c r="AY21" s="67">
        <v>3.9077610516497621E-2</v>
      </c>
      <c r="AZ21" s="66"/>
      <c r="BA21" s="66"/>
      <c r="BB21" s="66"/>
      <c r="BC21" s="67"/>
      <c r="BD21" s="66"/>
      <c r="BE21" s="67"/>
      <c r="BF21" s="66"/>
      <c r="BG21" s="67"/>
      <c r="BH21" s="66"/>
      <c r="BI21" s="67"/>
      <c r="BJ21" s="90">
        <v>4</v>
      </c>
      <c r="BK21" s="94">
        <v>2.2713549094823788</v>
      </c>
      <c r="BL21" s="95">
        <v>10</v>
      </c>
      <c r="BM21" s="97" t="s">
        <v>125</v>
      </c>
      <c r="BN21" s="94">
        <v>0.86472317811785904</v>
      </c>
      <c r="BO21" s="90"/>
      <c r="BP21" s="95"/>
      <c r="BQ21" s="95"/>
      <c r="BR21" s="90"/>
      <c r="BS21" s="90"/>
      <c r="BT21" s="134">
        <v>32</v>
      </c>
      <c r="BU21" s="135">
        <v>0.197531336</v>
      </c>
      <c r="BV21" s="134">
        <v>6</v>
      </c>
      <c r="BW21" s="135">
        <v>1.279042572</v>
      </c>
      <c r="BX21" s="134"/>
      <c r="BY21" s="135"/>
      <c r="BZ21" s="134"/>
      <c r="CA21" s="135"/>
      <c r="CB21" s="134"/>
      <c r="CC21" s="135"/>
      <c r="CD21" s="134"/>
      <c r="CE21" s="135"/>
      <c r="CF21" s="136"/>
      <c r="CG21" s="135"/>
      <c r="CH21" s="134"/>
      <c r="CI21" s="134"/>
      <c r="CJ21" s="135"/>
      <c r="CK21" s="134">
        <v>4</v>
      </c>
      <c r="CL21" s="134" t="s">
        <v>125</v>
      </c>
      <c r="CM21" s="134">
        <v>6.8605668420000002E-2</v>
      </c>
      <c r="CN21" s="134" t="s">
        <v>125</v>
      </c>
      <c r="CO21" s="135">
        <v>5.029675887E-2</v>
      </c>
      <c r="CP21" s="134"/>
      <c r="CQ21" s="134"/>
      <c r="CR21" s="135"/>
      <c r="CS21" s="134"/>
      <c r="CT21" s="134"/>
      <c r="CU21" s="134"/>
      <c r="CV21" s="135"/>
    </row>
    <row r="22" spans="1:100" x14ac:dyDescent="0.15">
      <c r="A22" s="66"/>
      <c r="B22" s="66"/>
      <c r="C22" s="66"/>
      <c r="D22" s="66"/>
      <c r="E22" s="66"/>
      <c r="F22" s="66"/>
      <c r="G22" s="67"/>
      <c r="H22" s="66"/>
      <c r="I22" s="66"/>
      <c r="J22" s="66"/>
      <c r="K22" s="67"/>
      <c r="L22" s="66"/>
      <c r="M22" s="66"/>
      <c r="N22" s="67"/>
      <c r="O22" s="66"/>
      <c r="Q22" s="66"/>
      <c r="R22" s="66"/>
      <c r="S22" s="67"/>
      <c r="T22" s="66"/>
      <c r="U22" s="66"/>
      <c r="V22" s="67"/>
      <c r="W22" s="66"/>
      <c r="X22" s="66"/>
      <c r="Y22" s="67"/>
      <c r="Z22" s="66"/>
      <c r="AA22" s="67"/>
      <c r="AB22" s="66"/>
      <c r="AC22" s="66"/>
      <c r="AD22" s="66"/>
      <c r="AE22" s="67"/>
      <c r="AF22" s="66"/>
      <c r="AG22" s="67"/>
      <c r="AH22" s="66"/>
      <c r="AI22" s="67"/>
      <c r="AJ22" s="66">
        <v>2.5</v>
      </c>
      <c r="AK22" s="66">
        <v>2.1352021594199977E-3</v>
      </c>
      <c r="AL22" s="67">
        <v>4.4861005139347643E-3</v>
      </c>
      <c r="AM22" s="66"/>
      <c r="AN22" s="66"/>
      <c r="AO22" s="67"/>
      <c r="AP22" s="66"/>
      <c r="AQ22" s="66"/>
      <c r="AR22" s="66"/>
      <c r="AS22" s="66"/>
      <c r="AT22" s="67"/>
      <c r="AU22" s="66"/>
      <c r="AV22" s="66"/>
      <c r="AW22" s="66"/>
      <c r="AX22" s="66"/>
      <c r="AY22" s="67"/>
      <c r="AZ22" s="66"/>
      <c r="BA22" s="66"/>
      <c r="BB22" s="66"/>
      <c r="BC22" s="67"/>
      <c r="BD22" s="66"/>
      <c r="BE22" s="67"/>
      <c r="BF22" s="66"/>
      <c r="BG22" s="67"/>
      <c r="BH22" s="66"/>
      <c r="BI22" s="67"/>
      <c r="BJ22" s="90"/>
      <c r="BK22" s="94"/>
      <c r="BL22" s="95">
        <v>12</v>
      </c>
      <c r="BM22" s="97" t="s">
        <v>125</v>
      </c>
      <c r="BN22" s="94">
        <v>0.49471149312512142</v>
      </c>
      <c r="BO22" s="90"/>
      <c r="BP22" s="95"/>
      <c r="BQ22" s="95"/>
      <c r="BR22" s="90"/>
      <c r="BS22" s="90"/>
      <c r="BT22" s="134"/>
      <c r="BU22" s="135"/>
      <c r="BV22" s="134">
        <v>8</v>
      </c>
      <c r="BW22" s="135">
        <v>1.2170605910000001</v>
      </c>
      <c r="BX22" s="134"/>
      <c r="BY22" s="135"/>
      <c r="BZ22" s="134"/>
      <c r="CA22" s="135"/>
      <c r="CB22" s="134"/>
      <c r="CC22" s="135"/>
      <c r="CD22" s="134"/>
      <c r="CE22" s="135"/>
      <c r="CF22" s="136"/>
      <c r="CG22" s="135"/>
      <c r="CH22" s="134"/>
      <c r="CI22" s="134"/>
      <c r="CJ22" s="135"/>
      <c r="CK22" s="134"/>
      <c r="CL22" s="134"/>
      <c r="CM22" s="134"/>
      <c r="CN22" s="134"/>
      <c r="CO22" s="135"/>
      <c r="CP22" s="134"/>
      <c r="CQ22" s="134"/>
      <c r="CR22" s="135"/>
      <c r="CS22" s="134"/>
      <c r="CT22" s="134"/>
      <c r="CU22" s="134"/>
      <c r="CV22" s="135"/>
    </row>
    <row r="23" spans="1:100" x14ac:dyDescent="0.15">
      <c r="A23" s="66"/>
      <c r="B23" s="66"/>
      <c r="C23" s="66"/>
      <c r="D23" s="66"/>
      <c r="E23" s="66"/>
      <c r="F23" s="66"/>
      <c r="G23" s="67"/>
      <c r="H23" s="66"/>
      <c r="I23" s="66"/>
      <c r="J23" s="66"/>
      <c r="K23" s="67"/>
      <c r="L23" s="66"/>
      <c r="M23" s="66"/>
      <c r="N23" s="67"/>
      <c r="O23" s="66"/>
      <c r="P23" s="66"/>
      <c r="Q23" s="66"/>
      <c r="R23" s="66"/>
      <c r="S23" s="67"/>
      <c r="T23" s="66"/>
      <c r="U23" s="66"/>
      <c r="V23" s="67"/>
      <c r="W23" s="66"/>
      <c r="X23" s="66"/>
      <c r="Y23" s="67"/>
      <c r="Z23" s="66"/>
      <c r="AA23" s="67"/>
      <c r="AB23" s="66"/>
      <c r="AC23" s="66"/>
      <c r="AD23" s="66"/>
      <c r="AE23" s="67"/>
      <c r="AF23" s="66"/>
      <c r="AG23" s="67"/>
      <c r="AH23" s="66"/>
      <c r="AI23" s="67"/>
      <c r="AJ23" s="66">
        <v>3</v>
      </c>
      <c r="AK23" s="66">
        <v>1.4494892540084581E-3</v>
      </c>
      <c r="AL23" s="67">
        <v>2.0673832819651924E-3</v>
      </c>
      <c r="AM23" s="66"/>
      <c r="AN23" s="66"/>
      <c r="AO23" s="67"/>
      <c r="AP23" s="66"/>
      <c r="AQ23" s="66"/>
      <c r="AR23" s="66"/>
      <c r="AS23" s="66"/>
      <c r="AT23" s="67"/>
      <c r="AU23" s="66"/>
      <c r="AV23" s="66"/>
      <c r="AW23" s="66"/>
      <c r="AX23" s="66"/>
      <c r="AY23" s="67"/>
      <c r="AZ23" s="66"/>
      <c r="BA23" s="66"/>
      <c r="BB23" s="66"/>
      <c r="BC23" s="67"/>
      <c r="BD23" s="66"/>
      <c r="BE23" s="67"/>
      <c r="BF23" s="66"/>
      <c r="BG23" s="67"/>
      <c r="BH23" s="66"/>
      <c r="BI23" s="67"/>
      <c r="BJ23" s="90"/>
      <c r="BK23" s="94"/>
      <c r="BL23" s="95"/>
      <c r="BM23" s="95"/>
      <c r="BN23" s="94"/>
      <c r="BO23" s="90"/>
      <c r="BP23" s="95"/>
      <c r="BQ23" s="90"/>
      <c r="BR23" s="90"/>
      <c r="BS23" s="90"/>
      <c r="BT23" s="134"/>
      <c r="BU23" s="135"/>
      <c r="BV23" s="134">
        <v>12</v>
      </c>
      <c r="BW23" s="135">
        <v>1.0442423439999999</v>
      </c>
      <c r="BX23" s="134"/>
      <c r="BY23" s="135"/>
      <c r="BZ23" s="134"/>
      <c r="CA23" s="135"/>
      <c r="CB23" s="134"/>
      <c r="CC23" s="135"/>
      <c r="CD23" s="134"/>
      <c r="CE23" s="135"/>
      <c r="CF23" s="136"/>
      <c r="CG23" s="135"/>
      <c r="CH23" s="134"/>
      <c r="CI23" s="134"/>
      <c r="CJ23" s="135"/>
      <c r="CK23" s="134"/>
      <c r="CL23" s="134"/>
      <c r="CM23" s="134"/>
      <c r="CN23" s="134"/>
      <c r="CO23" s="135"/>
      <c r="CP23" s="134"/>
      <c r="CQ23" s="134"/>
      <c r="CR23" s="135"/>
      <c r="CS23" s="134"/>
      <c r="CT23" s="134"/>
      <c r="CU23" s="134"/>
      <c r="CV23" s="135"/>
    </row>
    <row r="24" spans="1:100" x14ac:dyDescent="0.15">
      <c r="A24" s="66"/>
      <c r="B24" s="66"/>
      <c r="C24" s="66"/>
      <c r="D24" s="66"/>
      <c r="E24" s="66"/>
      <c r="F24" s="66"/>
      <c r="G24" s="67"/>
      <c r="H24" s="66"/>
      <c r="I24" s="66"/>
      <c r="J24" s="66"/>
      <c r="K24" s="67"/>
      <c r="L24" s="66"/>
      <c r="M24" s="66"/>
      <c r="N24" s="67"/>
      <c r="O24" s="66"/>
      <c r="P24" s="66"/>
      <c r="R24" s="66"/>
      <c r="S24" s="67"/>
      <c r="T24" s="66"/>
      <c r="U24" s="66"/>
      <c r="V24" s="67"/>
      <c r="W24" s="66"/>
      <c r="X24" s="66"/>
      <c r="Y24" s="67"/>
      <c r="Z24" s="66"/>
      <c r="AA24" s="67"/>
      <c r="AB24" s="66"/>
      <c r="AC24" s="66"/>
      <c r="AD24" s="66"/>
      <c r="AE24" s="67"/>
      <c r="AF24" s="66"/>
      <c r="AG24" s="67"/>
      <c r="AH24" s="66"/>
      <c r="AI24" s="67"/>
      <c r="AJ24" s="66">
        <v>4</v>
      </c>
      <c r="AK24" s="90" t="s">
        <v>125</v>
      </c>
      <c r="AL24" s="67">
        <v>1.0496100973346979E-3</v>
      </c>
      <c r="AM24" s="66"/>
      <c r="AN24" s="66"/>
      <c r="AO24" s="67"/>
      <c r="AP24" s="66"/>
      <c r="AQ24" s="66"/>
      <c r="AR24" s="66"/>
      <c r="AS24" s="66"/>
      <c r="AT24" s="67"/>
      <c r="AU24" s="66"/>
      <c r="AV24" s="66"/>
      <c r="AW24" s="66"/>
      <c r="AX24" s="66"/>
      <c r="AY24" s="67"/>
      <c r="AZ24" s="66"/>
      <c r="BA24" s="66"/>
      <c r="BB24" s="66"/>
      <c r="BC24" s="67"/>
      <c r="BD24" s="66"/>
      <c r="BE24" s="67"/>
      <c r="BF24" s="66"/>
      <c r="BG24" s="67"/>
      <c r="BH24" s="66"/>
      <c r="BI24" s="67"/>
      <c r="BJ24" s="90"/>
      <c r="BK24" s="94"/>
      <c r="BL24" s="95"/>
      <c r="BM24" s="95"/>
      <c r="BN24" s="94"/>
      <c r="BO24" s="90"/>
      <c r="BP24" s="95"/>
      <c r="BQ24" s="90"/>
      <c r="BR24" s="90"/>
      <c r="BS24" s="90"/>
      <c r="BT24" s="134"/>
      <c r="BU24" s="135"/>
      <c r="BV24" s="134">
        <v>18</v>
      </c>
      <c r="BW24" s="135">
        <v>0.762609129</v>
      </c>
      <c r="BX24" s="134"/>
      <c r="BY24" s="135"/>
      <c r="BZ24" s="134"/>
      <c r="CA24" s="135"/>
      <c r="CB24" s="134"/>
      <c r="CC24" s="135"/>
      <c r="CD24" s="134"/>
      <c r="CE24" s="135"/>
      <c r="CF24" s="136"/>
      <c r="CG24" s="135"/>
      <c r="CH24" s="134"/>
      <c r="CI24" s="134"/>
      <c r="CJ24" s="135"/>
      <c r="CK24" s="134"/>
      <c r="CL24" s="134"/>
      <c r="CM24" s="134"/>
      <c r="CN24" s="134"/>
      <c r="CO24" s="135"/>
      <c r="CP24" s="134"/>
      <c r="CQ24" s="134"/>
      <c r="CR24" s="135"/>
      <c r="CS24" s="134"/>
      <c r="CT24" s="134"/>
      <c r="CU24" s="134"/>
      <c r="CV24" s="135"/>
    </row>
    <row r="25" spans="1:100" x14ac:dyDescent="0.15">
      <c r="BT25" s="134"/>
      <c r="BU25" s="134"/>
      <c r="BV25" s="134">
        <v>24</v>
      </c>
      <c r="BW25" s="135">
        <v>0.37392714999999999</v>
      </c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In vivo PK references</vt:lpstr>
      <vt:lpstr>In vivo datasets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Sieto Bosgra</dc:creator>
  <cp:lastModifiedBy>John Wambaugh</cp:lastModifiedBy>
  <dcterms:created xsi:type="dcterms:W3CDTF">2012-04-17T07:34:17Z</dcterms:created>
  <dcterms:modified xsi:type="dcterms:W3CDTF">2016-12-22T18:28:38Z</dcterms:modified>
</cp:coreProperties>
</file>