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801"/>
  <workbookPr defaultThemeVersion="124226"/>
  <mc:AlternateContent xmlns:mc="http://schemas.openxmlformats.org/markup-compatibility/2006">
    <mc:Choice Requires="x15">
      <x15ac:absPath xmlns:x15ac="http://schemas.microsoft.com/office/spreadsheetml/2010/11/ac" url="C:\Users\jwambaug\git\httk-datatables\"/>
    </mc:Choice>
  </mc:AlternateContent>
  <xr:revisionPtr revIDLastSave="0" documentId="13_ncr:1_{7041BCFB-8A65-471C-944F-D995B1FAC060}" xr6:coauthVersionLast="46" xr6:coauthVersionMax="46" xr10:uidLastSave="{00000000-0000-0000-0000-000000000000}"/>
  <bookViews>
    <workbookView xWindow="675" yWindow="7860" windowWidth="23040" windowHeight="7845" tabRatio="884" xr2:uid="{00000000-000D-0000-FFFF-FFFF00000000}"/>
  </bookViews>
  <sheets>
    <sheet name="Basic PK" sheetId="7" r:id="rId1"/>
    <sheet name="VolumeFlow" sheetId="14" r:id="rId2"/>
    <sheet name="TissueComp" sheetId="5" r:id="rId3"/>
    <sheet name="Flows" sheetId="3" r:id="rId4"/>
    <sheet name="Human Density" sheetId="2" r:id="rId5"/>
    <sheet name="Percent BW" sheetId="1" r:id="rId6"/>
    <sheet name="Composition of Bone" sheetId="6" r:id="rId7"/>
    <sheet name="Blood Fraction" sheetId="12" r:id="rId8"/>
    <sheet name="PlasmaLipid" sheetId="13" r:id="rId9"/>
    <sheet name="Average Properties" sheetId="10" r:id="rId10"/>
    <sheet name="Average Properties Calc" sheetId="8" r:id="rId11"/>
  </sheets>
  <definedNames>
    <definedName name="bbib18" localSheetId="2">TissueComp!$A$34</definedName>
    <definedName name="bbib18" localSheetId="1">VolumeFlow!#REF!</definedName>
    <definedName name="bbib8" localSheetId="2">TissueComp!$A$35</definedName>
    <definedName name="bbib8" localSheetId="1">TissueComp!$A$47</definedName>
    <definedName name="btblfn10" localSheetId="2">TissueComp!#REF!</definedName>
    <definedName name="btblfn10" localSheetId="1">VolumeFlow!#REF!</definedName>
    <definedName name="btblfn11" localSheetId="2">TissueComp!#REF!</definedName>
    <definedName name="btblfn11" localSheetId="1">VolumeFlow!#REF!</definedName>
    <definedName name="btblfn7" localSheetId="2">TissueComp!#REF!</definedName>
    <definedName name="btblfn7" localSheetId="1">VolumeFlow!#REF!</definedName>
    <definedName name="btblfn8" localSheetId="2">TissueComp!#REF!</definedName>
    <definedName name="btblfn8" localSheetId="1">VolumeFlow!#REF!</definedName>
    <definedName name="btblfn9" localSheetId="2">TissueComp!#REF!</definedName>
    <definedName name="btblfn9" localSheetId="1">VolumeFlow!#REF!</definedName>
    <definedName name="tblfn10" localSheetId="2">TissueComp!$A$33</definedName>
    <definedName name="tblfn10" localSheetId="1">VolumeFlow!#REF!</definedName>
    <definedName name="tblfn8" localSheetId="2">TissueComp!$A$31</definedName>
    <definedName name="tblfn8" localSheetId="1">VolumeFlow!$A$76</definedName>
    <definedName name="tblfn9" localSheetId="2">TissueComp!$A$32</definedName>
    <definedName name="tblfn9" localSheetId="1">VolumeFlow!$A$77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4" i="7" l="1"/>
  <c r="J16" i="5"/>
  <c r="I16" i="5"/>
  <c r="K16" i="5"/>
  <c r="M21" i="3" l="1"/>
  <c r="M20" i="3"/>
  <c r="M19" i="3"/>
  <c r="M17" i="3"/>
  <c r="M14" i="3"/>
  <c r="M12" i="3"/>
  <c r="M11" i="3"/>
  <c r="M10" i="3"/>
  <c r="M9" i="3"/>
  <c r="M8" i="3"/>
  <c r="M4" i="3"/>
  <c r="M3" i="3"/>
  <c r="L17" i="3"/>
  <c r="L15" i="3"/>
  <c r="L14" i="3"/>
  <c r="L12" i="3"/>
  <c r="L11" i="3"/>
  <c r="L10" i="3"/>
  <c r="L9" i="3"/>
  <c r="L8" i="3"/>
  <c r="L7" i="3"/>
  <c r="L4" i="3"/>
  <c r="L3" i="3"/>
  <c r="X10" i="1"/>
  <c r="X9" i="1"/>
  <c r="X8" i="1"/>
  <c r="C66" i="14"/>
  <c r="C61" i="14"/>
  <c r="C60" i="14"/>
  <c r="C59" i="14"/>
  <c r="C58" i="14"/>
  <c r="C57" i="14"/>
  <c r="C56" i="14"/>
  <c r="C55" i="14"/>
  <c r="C54" i="14"/>
  <c r="C53" i="14"/>
  <c r="C52" i="14"/>
  <c r="C51" i="14"/>
  <c r="X17" i="1"/>
  <c r="C72" i="14" s="1"/>
  <c r="X15" i="1"/>
  <c r="C71" i="14" s="1"/>
  <c r="X13" i="1"/>
  <c r="C69" i="14" s="1"/>
  <c r="X12" i="1"/>
  <c r="C68" i="14" s="1"/>
  <c r="X11" i="1"/>
  <c r="C67" i="14" s="1"/>
  <c r="X4" i="1"/>
  <c r="C63" i="14" s="1"/>
  <c r="V4" i="1"/>
  <c r="V10" i="1"/>
  <c r="V9" i="1"/>
  <c r="V8" i="1"/>
  <c r="E71" i="14" l="1"/>
  <c r="E67" i="14"/>
  <c r="E63" i="14"/>
  <c r="E59" i="14"/>
  <c r="E54" i="14"/>
  <c r="E51" i="14"/>
  <c r="S17" i="3"/>
  <c r="R17" i="3"/>
  <c r="R15" i="3"/>
  <c r="S14" i="3"/>
  <c r="R14" i="3"/>
  <c r="S12" i="3"/>
  <c r="R12" i="3"/>
  <c r="S11" i="3"/>
  <c r="R11" i="3"/>
  <c r="S10" i="3"/>
  <c r="R10" i="3"/>
  <c r="S9" i="3"/>
  <c r="R9" i="3"/>
  <c r="S8" i="3"/>
  <c r="R8" i="3"/>
  <c r="R7" i="3"/>
  <c r="S4" i="3"/>
  <c r="R4" i="3"/>
  <c r="S3" i="3"/>
  <c r="R3" i="3"/>
  <c r="E61" i="14"/>
  <c r="E73" i="14"/>
  <c r="E72" i="14"/>
  <c r="E57" i="14"/>
  <c r="E69" i="14"/>
  <c r="E66" i="14"/>
  <c r="E56" i="14"/>
  <c r="E68" i="14"/>
  <c r="E55" i="14"/>
  <c r="E65" i="14"/>
  <c r="F21" i="3"/>
  <c r="L21" i="3" s="1"/>
  <c r="F20" i="3"/>
  <c r="L20" i="3" s="1"/>
  <c r="F19" i="3"/>
  <c r="L19" i="3" s="1"/>
  <c r="H15" i="7"/>
  <c r="H3" i="7"/>
  <c r="H2" i="7"/>
  <c r="H6" i="7"/>
  <c r="H7" i="7"/>
  <c r="H8" i="7"/>
  <c r="H10" i="7"/>
  <c r="H11" i="7"/>
  <c r="H12" i="7"/>
  <c r="E14" i="7" l="1"/>
  <c r="G14" i="7"/>
  <c r="G15" i="7"/>
  <c r="C14" i="7"/>
  <c r="C15" i="7"/>
  <c r="F15" i="7"/>
  <c r="K32" i="13" l="1"/>
  <c r="K26" i="13"/>
  <c r="K25" i="13"/>
  <c r="K19" i="13"/>
  <c r="K18" i="13"/>
  <c r="K15" i="13"/>
  <c r="D15" i="7"/>
  <c r="D14" i="7"/>
  <c r="F3" i="7"/>
  <c r="F2" i="7"/>
  <c r="E3" i="7"/>
  <c r="E2" i="7"/>
  <c r="D3" i="7"/>
  <c r="D2" i="7"/>
  <c r="C3" i="7"/>
  <c r="C2" i="7"/>
  <c r="T22" i="1"/>
  <c r="X22" i="1" s="1"/>
  <c r="U20" i="1"/>
  <c r="T20" i="1"/>
  <c r="X20" i="1" s="1"/>
  <c r="U19" i="1"/>
  <c r="U18" i="1"/>
  <c r="T18" i="1"/>
  <c r="U17" i="1"/>
  <c r="U16" i="1"/>
  <c r="U15" i="1"/>
  <c r="T15" i="1"/>
  <c r="U14" i="1"/>
  <c r="U13" i="1"/>
  <c r="T13" i="1"/>
  <c r="U12" i="1"/>
  <c r="T12" i="1"/>
  <c r="U11" i="1"/>
  <c r="T11" i="1"/>
  <c r="U10" i="1"/>
  <c r="T10" i="1"/>
  <c r="U9" i="1"/>
  <c r="U8" i="1"/>
  <c r="U7" i="1"/>
  <c r="U6" i="1"/>
  <c r="U5" i="1"/>
  <c r="U4" i="1"/>
  <c r="R22" i="1"/>
  <c r="R21" i="1"/>
  <c r="S20" i="1"/>
  <c r="R20" i="1"/>
  <c r="S18" i="1"/>
  <c r="R18" i="1"/>
  <c r="S17" i="1"/>
  <c r="S15" i="1"/>
  <c r="R15" i="1"/>
  <c r="S13" i="1"/>
  <c r="R13" i="1"/>
  <c r="S12" i="1"/>
  <c r="R12" i="1"/>
  <c r="S11" i="1"/>
  <c r="R11" i="1"/>
  <c r="S10" i="1"/>
  <c r="R10" i="1"/>
  <c r="S6" i="1"/>
  <c r="S4" i="1"/>
  <c r="P22" i="1"/>
  <c r="V22" i="1" s="1"/>
  <c r="P20" i="1"/>
  <c r="V20" i="1" s="1"/>
  <c r="Q18" i="1"/>
  <c r="P18" i="1"/>
  <c r="Q15" i="1"/>
  <c r="P15" i="1"/>
  <c r="Q13" i="1"/>
  <c r="P13" i="1"/>
  <c r="Q12" i="1"/>
  <c r="P12" i="1"/>
  <c r="Q11" i="1"/>
  <c r="P11" i="1"/>
  <c r="Q10" i="1"/>
  <c r="P10" i="1"/>
  <c r="Q6" i="1"/>
  <c r="Q4" i="1"/>
  <c r="O20" i="1"/>
  <c r="O19" i="1"/>
  <c r="O18" i="1"/>
  <c r="O16" i="1"/>
  <c r="O15" i="1"/>
  <c r="O13" i="1"/>
  <c r="O12" i="1"/>
  <c r="O11" i="1"/>
  <c r="O10" i="1"/>
  <c r="O9" i="1"/>
  <c r="O8" i="1"/>
  <c r="O5" i="1"/>
  <c r="O4" i="1"/>
  <c r="N22" i="1"/>
  <c r="N21" i="1"/>
  <c r="N20" i="1"/>
  <c r="N15" i="1"/>
  <c r="N13" i="1"/>
  <c r="N12" i="1"/>
  <c r="N11" i="1"/>
  <c r="N10" i="1"/>
  <c r="Q20" i="1"/>
  <c r="G13" i="7"/>
  <c r="I3" i="3"/>
  <c r="U22" i="1"/>
  <c r="K21" i="3"/>
  <c r="F12" i="7" s="1"/>
  <c r="J21" i="3"/>
  <c r="E12" i="7" s="1"/>
  <c r="I21" i="3"/>
  <c r="D12" i="7" s="1"/>
  <c r="H21" i="3"/>
  <c r="C12" i="7" s="1"/>
  <c r="K3" i="3"/>
  <c r="F4" i="7" s="1"/>
  <c r="J3" i="3"/>
  <c r="E4" i="7" s="1"/>
  <c r="H3" i="3"/>
  <c r="C4" i="7" s="1"/>
  <c r="A61" i="8"/>
  <c r="A60" i="8"/>
  <c r="A59" i="8"/>
  <c r="A58" i="8"/>
  <c r="A57" i="8"/>
  <c r="A56" i="8"/>
  <c r="A55" i="8"/>
  <c r="A54" i="8"/>
  <c r="A53" i="8"/>
  <c r="A52" i="8"/>
  <c r="A51" i="8"/>
  <c r="A3" i="8"/>
  <c r="H16" i="12"/>
  <c r="F16" i="12"/>
  <c r="D16" i="12"/>
  <c r="B16" i="12"/>
  <c r="J15" i="12"/>
  <c r="J14" i="12"/>
  <c r="J13" i="12"/>
  <c r="J12" i="12"/>
  <c r="J11" i="12"/>
  <c r="J10" i="12"/>
  <c r="J9" i="12"/>
  <c r="J8" i="12"/>
  <c r="J7" i="12"/>
  <c r="J6" i="12"/>
  <c r="J5" i="12"/>
  <c r="J4" i="12"/>
  <c r="A49" i="8"/>
  <c r="A48" i="8"/>
  <c r="A47" i="8"/>
  <c r="A46" i="8"/>
  <c r="A45" i="8"/>
  <c r="A44" i="8"/>
  <c r="A43" i="8"/>
  <c r="A42" i="8"/>
  <c r="A41" i="8"/>
  <c r="A40" i="8"/>
  <c r="A39" i="8"/>
  <c r="A37" i="8"/>
  <c r="A36" i="8"/>
  <c r="A35" i="8"/>
  <c r="A34" i="8"/>
  <c r="A33" i="8"/>
  <c r="A32" i="8"/>
  <c r="A31" i="8"/>
  <c r="A30" i="8"/>
  <c r="A29" i="8"/>
  <c r="A28" i="8"/>
  <c r="A27" i="8"/>
  <c r="A25" i="8"/>
  <c r="A24" i="8"/>
  <c r="A23" i="8"/>
  <c r="A22" i="8"/>
  <c r="A21" i="8"/>
  <c r="A20" i="8"/>
  <c r="A19" i="8"/>
  <c r="A18" i="8"/>
  <c r="A17" i="8"/>
  <c r="A16" i="8"/>
  <c r="A15" i="8"/>
  <c r="A13" i="8"/>
  <c r="A12" i="8"/>
  <c r="A11" i="8"/>
  <c r="A10" i="8"/>
  <c r="A9" i="8"/>
  <c r="A8" i="8"/>
  <c r="A7" i="8"/>
  <c r="A6" i="8"/>
  <c r="A5" i="8"/>
  <c r="A4" i="8"/>
  <c r="F6" i="7"/>
  <c r="E6" i="7"/>
  <c r="E15" i="7" s="1"/>
  <c r="D6" i="7"/>
  <c r="C6" i="7"/>
  <c r="E7" i="7"/>
  <c r="F7" i="7"/>
  <c r="D7" i="7"/>
  <c r="C7" i="7"/>
  <c r="F8" i="7"/>
  <c r="E8" i="7"/>
  <c r="D8" i="7"/>
  <c r="C8" i="7"/>
  <c r="E17" i="3"/>
  <c r="Q17" i="3" s="1"/>
  <c r="E12" i="3"/>
  <c r="D12" i="3"/>
  <c r="C12" i="3"/>
  <c r="B12" i="3"/>
  <c r="Q15" i="3"/>
  <c r="P15" i="3"/>
  <c r="O15" i="3"/>
  <c r="N15" i="3"/>
  <c r="Q14" i="3"/>
  <c r="P14" i="3"/>
  <c r="O14" i="3"/>
  <c r="N14" i="3"/>
  <c r="Q11" i="3"/>
  <c r="P11" i="3"/>
  <c r="O11" i="3"/>
  <c r="N11" i="3"/>
  <c r="Q10" i="3"/>
  <c r="P10" i="3"/>
  <c r="P12" i="3" s="1"/>
  <c r="O10" i="3"/>
  <c r="N10" i="3"/>
  <c r="Q9" i="3"/>
  <c r="P9" i="3"/>
  <c r="O9" i="3"/>
  <c r="I9" i="3" s="1"/>
  <c r="E20" i="14" s="1"/>
  <c r="N9" i="3"/>
  <c r="Q8" i="3"/>
  <c r="P8" i="3"/>
  <c r="O8" i="3"/>
  <c r="N8" i="3"/>
  <c r="Q7" i="3"/>
  <c r="P7" i="3"/>
  <c r="O7" i="3"/>
  <c r="P6" i="3"/>
  <c r="Q4" i="3"/>
  <c r="P4" i="3"/>
  <c r="O4" i="3"/>
  <c r="Q3" i="3"/>
  <c r="P3" i="3"/>
  <c r="O3" i="3"/>
  <c r="N3" i="3"/>
  <c r="E5" i="3"/>
  <c r="Q5" i="3" s="1"/>
  <c r="E13" i="3"/>
  <c r="Q13" i="3" s="1"/>
  <c r="E6" i="3"/>
  <c r="Q6" i="3" s="1"/>
  <c r="E16" i="3"/>
  <c r="Q16" i="3" s="1"/>
  <c r="D13" i="3"/>
  <c r="P13" i="3" s="1"/>
  <c r="C13" i="3"/>
  <c r="O13" i="3"/>
  <c r="B13" i="3"/>
  <c r="N13" i="3" s="1"/>
  <c r="B7" i="3"/>
  <c r="N7" i="3" s="1"/>
  <c r="C6" i="3"/>
  <c r="O6" i="3" s="1"/>
  <c r="D5" i="3"/>
  <c r="P5" i="3" s="1"/>
  <c r="C5" i="3"/>
  <c r="O5" i="3" s="1"/>
  <c r="E20" i="3"/>
  <c r="K20" i="3" s="1"/>
  <c r="F11" i="7" s="1"/>
  <c r="E19" i="3"/>
  <c r="K19" i="3" s="1"/>
  <c r="F10" i="7" s="1"/>
  <c r="D20" i="3"/>
  <c r="J20" i="3" s="1"/>
  <c r="E11" i="7" s="1"/>
  <c r="D19" i="3"/>
  <c r="J19" i="3" s="1"/>
  <c r="E10" i="7" s="1"/>
  <c r="C20" i="3"/>
  <c r="I20" i="3" s="1"/>
  <c r="D11" i="7" s="1"/>
  <c r="C19" i="3"/>
  <c r="I19" i="3" s="1"/>
  <c r="D10" i="7" s="1"/>
  <c r="B20" i="3"/>
  <c r="H20" i="3" s="1"/>
  <c r="C11" i="7" s="1"/>
  <c r="B19" i="3"/>
  <c r="H19" i="3" s="1"/>
  <c r="C10" i="7" s="1"/>
  <c r="F10" i="6"/>
  <c r="F9" i="6"/>
  <c r="F8" i="6"/>
  <c r="F7" i="6"/>
  <c r="F6" i="6"/>
  <c r="F5" i="6"/>
  <c r="F4" i="6"/>
  <c r="F3" i="6"/>
  <c r="G8" i="6"/>
  <c r="G7" i="6"/>
  <c r="G6" i="6"/>
  <c r="G4" i="6" s="1"/>
  <c r="B4" i="2" s="1"/>
  <c r="G5" i="6"/>
  <c r="J9" i="2"/>
  <c r="J3" i="2"/>
  <c r="J2" i="2"/>
  <c r="H21" i="1"/>
  <c r="T21" i="1" s="1"/>
  <c r="X21" i="1" s="1"/>
  <c r="F4" i="1"/>
  <c r="R4" i="1" s="1"/>
  <c r="D21" i="1"/>
  <c r="P21" i="1" s="1"/>
  <c r="B26" i="2"/>
  <c r="T19" i="1" s="1"/>
  <c r="X19" i="1" s="1"/>
  <c r="B22" i="2"/>
  <c r="B20" i="2" s="1"/>
  <c r="B19" i="2"/>
  <c r="Q16" i="1" s="1"/>
  <c r="B17" i="2"/>
  <c r="Q14" i="1" s="1"/>
  <c r="B12" i="2"/>
  <c r="T9" i="1" s="1"/>
  <c r="B11" i="2"/>
  <c r="Q8" i="1" s="1"/>
  <c r="B9" i="2"/>
  <c r="T7" i="1" s="1"/>
  <c r="B3" i="2"/>
  <c r="T5" i="1" s="1"/>
  <c r="X5" i="1" s="1"/>
  <c r="N4" i="3"/>
  <c r="H4" i="3" s="1"/>
  <c r="J53" i="8" l="1"/>
  <c r="F53" i="8"/>
  <c r="B53" i="8"/>
  <c r="I53" i="8"/>
  <c r="E53" i="8"/>
  <c r="C53" i="8"/>
  <c r="H53" i="8"/>
  <c r="D53" i="8"/>
  <c r="G53" i="8"/>
  <c r="J57" i="8"/>
  <c r="F57" i="8"/>
  <c r="B57" i="8"/>
  <c r="I57" i="8"/>
  <c r="E57" i="8"/>
  <c r="H57" i="8"/>
  <c r="D57" i="8"/>
  <c r="G57" i="8"/>
  <c r="C57" i="8"/>
  <c r="J61" i="8"/>
  <c r="F61" i="8"/>
  <c r="B61" i="8"/>
  <c r="I61" i="8"/>
  <c r="E61" i="8"/>
  <c r="H61" i="8"/>
  <c r="D61" i="8"/>
  <c r="G61" i="8"/>
  <c r="C61" i="8"/>
  <c r="S15" i="3"/>
  <c r="I54" i="8"/>
  <c r="E54" i="8"/>
  <c r="D54" i="8"/>
  <c r="F54" i="8"/>
  <c r="H54" i="8"/>
  <c r="B54" i="8"/>
  <c r="G54" i="8"/>
  <c r="C54" i="8"/>
  <c r="J54" i="8"/>
  <c r="I58" i="8"/>
  <c r="E58" i="8"/>
  <c r="H58" i="8"/>
  <c r="D58" i="8"/>
  <c r="G58" i="8"/>
  <c r="C58" i="8"/>
  <c r="J58" i="8"/>
  <c r="F58" i="8"/>
  <c r="B58" i="8"/>
  <c r="H51" i="8"/>
  <c r="D51" i="8"/>
  <c r="G51" i="8"/>
  <c r="E51" i="8"/>
  <c r="C51" i="8"/>
  <c r="J51" i="8"/>
  <c r="F51" i="8"/>
  <c r="B51" i="8"/>
  <c r="I51" i="8"/>
  <c r="H55" i="8"/>
  <c r="D55" i="8"/>
  <c r="G55" i="8"/>
  <c r="C55" i="8"/>
  <c r="E55" i="8"/>
  <c r="J55" i="8"/>
  <c r="F55" i="8"/>
  <c r="B55" i="8"/>
  <c r="I55" i="8"/>
  <c r="H59" i="8"/>
  <c r="D59" i="8"/>
  <c r="G59" i="8"/>
  <c r="C59" i="8"/>
  <c r="J59" i="8"/>
  <c r="F59" i="8"/>
  <c r="B59" i="8"/>
  <c r="I59" i="8"/>
  <c r="E59" i="8"/>
  <c r="G52" i="8"/>
  <c r="C52" i="8"/>
  <c r="F52" i="8"/>
  <c r="B52" i="8"/>
  <c r="D52" i="8"/>
  <c r="J52" i="8"/>
  <c r="I52" i="8"/>
  <c r="E52" i="8"/>
  <c r="H52" i="8"/>
  <c r="G56" i="8"/>
  <c r="C56" i="8"/>
  <c r="J56" i="8"/>
  <c r="B56" i="8"/>
  <c r="H56" i="8"/>
  <c r="F56" i="8"/>
  <c r="I56" i="8"/>
  <c r="E56" i="8"/>
  <c r="D56" i="8"/>
  <c r="G60" i="8"/>
  <c r="C60" i="8"/>
  <c r="J60" i="8"/>
  <c r="F60" i="8"/>
  <c r="B60" i="8"/>
  <c r="I60" i="8"/>
  <c r="E60" i="8"/>
  <c r="H60" i="8"/>
  <c r="D60" i="8"/>
  <c r="G15" i="3"/>
  <c r="J4" i="3"/>
  <c r="E39" i="14" s="1"/>
  <c r="I4" i="3"/>
  <c r="E15" i="14" s="1"/>
  <c r="S13" i="3"/>
  <c r="R13" i="3"/>
  <c r="F13" i="3" s="1"/>
  <c r="S7" i="3"/>
  <c r="C33" i="14"/>
  <c r="C20" i="14"/>
  <c r="C44" i="14"/>
  <c r="C10" i="14"/>
  <c r="C35" i="14"/>
  <c r="C6" i="14"/>
  <c r="C8" i="14"/>
  <c r="C47" i="14"/>
  <c r="C12" i="14"/>
  <c r="X18" i="1"/>
  <c r="C73" i="14" s="1"/>
  <c r="C4" i="14"/>
  <c r="X7" i="1"/>
  <c r="C65" i="14" s="1"/>
  <c r="C39" i="14"/>
  <c r="C31" i="14"/>
  <c r="C19" i="14"/>
  <c r="C21" i="14"/>
  <c r="C25" i="14"/>
  <c r="C43" i="14"/>
  <c r="C45" i="14"/>
  <c r="C23" i="14"/>
  <c r="C32" i="14"/>
  <c r="C49" i="14"/>
  <c r="C7" i="14"/>
  <c r="J20" i="8"/>
  <c r="F20" i="8"/>
  <c r="B20" i="8"/>
  <c r="I20" i="8"/>
  <c r="E20" i="8"/>
  <c r="C20" i="8"/>
  <c r="G20" i="8"/>
  <c r="H20" i="8"/>
  <c r="D20" i="8"/>
  <c r="H44" i="8"/>
  <c r="D44" i="8"/>
  <c r="G44" i="8"/>
  <c r="C44" i="8"/>
  <c r="E44" i="8"/>
  <c r="I44" i="8"/>
  <c r="J44" i="8"/>
  <c r="B44" i="8"/>
  <c r="F44" i="8"/>
  <c r="I11" i="8"/>
  <c r="E11" i="8"/>
  <c r="H11" i="8"/>
  <c r="D11" i="8"/>
  <c r="G11" i="8"/>
  <c r="C11" i="8"/>
  <c r="J11" i="8"/>
  <c r="B11" i="8"/>
  <c r="F11" i="8"/>
  <c r="I7" i="8"/>
  <c r="E7" i="8"/>
  <c r="H7" i="8"/>
  <c r="D7" i="8"/>
  <c r="C7" i="8"/>
  <c r="G7" i="8"/>
  <c r="F7" i="8"/>
  <c r="J7" i="8"/>
  <c r="B7" i="8"/>
  <c r="J31" i="8"/>
  <c r="F31" i="8"/>
  <c r="I31" i="8"/>
  <c r="E31" i="8"/>
  <c r="C31" i="8"/>
  <c r="H31" i="8"/>
  <c r="G31" i="8"/>
  <c r="D31" i="8"/>
  <c r="B31" i="8"/>
  <c r="G19" i="8"/>
  <c r="C19" i="8"/>
  <c r="J19" i="8"/>
  <c r="F19" i="8"/>
  <c r="B19" i="8"/>
  <c r="D19" i="8"/>
  <c r="I19" i="8"/>
  <c r="H19" i="8"/>
  <c r="E19" i="8"/>
  <c r="I21" i="8"/>
  <c r="E21" i="8"/>
  <c r="H21" i="8"/>
  <c r="D21" i="8"/>
  <c r="J21" i="8"/>
  <c r="B21" i="8"/>
  <c r="G21" i="8"/>
  <c r="F21" i="8"/>
  <c r="C21" i="8"/>
  <c r="I25" i="8"/>
  <c r="E25" i="8"/>
  <c r="H25" i="8"/>
  <c r="D25" i="8"/>
  <c r="F25" i="8"/>
  <c r="B25" i="8"/>
  <c r="C25" i="8"/>
  <c r="J25" i="8"/>
  <c r="G25" i="8"/>
  <c r="I43" i="8"/>
  <c r="E43" i="8"/>
  <c r="H43" i="8"/>
  <c r="D43" i="8"/>
  <c r="F43" i="8"/>
  <c r="J43" i="8"/>
  <c r="C43" i="8"/>
  <c r="B43" i="8"/>
  <c r="G43" i="8"/>
  <c r="G45" i="8"/>
  <c r="C45" i="8"/>
  <c r="J45" i="8"/>
  <c r="F45" i="8"/>
  <c r="B45" i="8"/>
  <c r="D45" i="8"/>
  <c r="I45" i="8"/>
  <c r="H45" i="8"/>
  <c r="E45" i="8"/>
  <c r="J33" i="8"/>
  <c r="F33" i="8"/>
  <c r="B33" i="8"/>
  <c r="I33" i="8"/>
  <c r="E33" i="8"/>
  <c r="C33" i="8"/>
  <c r="G33" i="8"/>
  <c r="H33" i="8"/>
  <c r="D33" i="8"/>
  <c r="G23" i="8"/>
  <c r="C23" i="8"/>
  <c r="J23" i="8"/>
  <c r="F23" i="8"/>
  <c r="B23" i="8"/>
  <c r="H23" i="8"/>
  <c r="E23" i="8"/>
  <c r="D23" i="8"/>
  <c r="I23" i="8"/>
  <c r="I47" i="8"/>
  <c r="E47" i="8"/>
  <c r="H47" i="8"/>
  <c r="D47" i="8"/>
  <c r="J47" i="8"/>
  <c r="B47" i="8"/>
  <c r="G47" i="8"/>
  <c r="F47" i="8"/>
  <c r="C47" i="8"/>
  <c r="G13" i="8"/>
  <c r="C13" i="8"/>
  <c r="J13" i="8"/>
  <c r="F13" i="8"/>
  <c r="B13" i="8"/>
  <c r="E13" i="8"/>
  <c r="H13" i="8"/>
  <c r="D13" i="8"/>
  <c r="I13" i="8"/>
  <c r="J35" i="8"/>
  <c r="F35" i="8"/>
  <c r="I35" i="8"/>
  <c r="E35" i="8"/>
  <c r="C35" i="8"/>
  <c r="G35" i="8"/>
  <c r="H35" i="8"/>
  <c r="B35" i="8"/>
  <c r="D35" i="8"/>
  <c r="G9" i="8"/>
  <c r="C9" i="8"/>
  <c r="J9" i="8"/>
  <c r="F9" i="8"/>
  <c r="B9" i="8"/>
  <c r="I9" i="8"/>
  <c r="E9" i="8"/>
  <c r="D9" i="8"/>
  <c r="H9" i="8"/>
  <c r="G5" i="8"/>
  <c r="C5" i="8"/>
  <c r="F5" i="8"/>
  <c r="J5" i="8"/>
  <c r="B5" i="8"/>
  <c r="E5" i="8"/>
  <c r="H5" i="8"/>
  <c r="D5" i="8"/>
  <c r="I5" i="8"/>
  <c r="J32" i="8"/>
  <c r="F32" i="8"/>
  <c r="I32" i="8"/>
  <c r="E32" i="8"/>
  <c r="B32" i="8"/>
  <c r="C32" i="8"/>
  <c r="G32" i="8"/>
  <c r="H32" i="8"/>
  <c r="D32" i="8"/>
  <c r="G49" i="8"/>
  <c r="C49" i="8"/>
  <c r="J49" i="8"/>
  <c r="F49" i="8"/>
  <c r="B49" i="8"/>
  <c r="H49" i="8"/>
  <c r="E49" i="8"/>
  <c r="D49" i="8"/>
  <c r="I49" i="8"/>
  <c r="H8" i="8"/>
  <c r="D8" i="8"/>
  <c r="G8" i="8"/>
  <c r="C8" i="8"/>
  <c r="J8" i="8"/>
  <c r="B8" i="8"/>
  <c r="E8" i="8"/>
  <c r="I8" i="8"/>
  <c r="F8" i="8"/>
  <c r="L18" i="13"/>
  <c r="N12" i="3"/>
  <c r="L25" i="13"/>
  <c r="L26" i="13"/>
  <c r="Q12" i="3"/>
  <c r="Q18" i="3" s="1"/>
  <c r="E18" i="3" s="1"/>
  <c r="B19" i="1"/>
  <c r="N19" i="1" s="1"/>
  <c r="F23" i="1"/>
  <c r="B18" i="1"/>
  <c r="N18" i="1" s="1"/>
  <c r="H4" i="1"/>
  <c r="I5" i="3"/>
  <c r="N5" i="3"/>
  <c r="I6" i="3"/>
  <c r="E16" i="14" s="1"/>
  <c r="N6" i="3"/>
  <c r="L19" i="13"/>
  <c r="L32" i="13"/>
  <c r="I10" i="3"/>
  <c r="I7" i="3"/>
  <c r="E17" i="14" s="1"/>
  <c r="I14" i="3"/>
  <c r="E23" i="14" s="1"/>
  <c r="B16" i="1"/>
  <c r="G3" i="6"/>
  <c r="I8" i="3"/>
  <c r="E19" i="14" s="1"/>
  <c r="I13" i="3"/>
  <c r="E22" i="14" s="1"/>
  <c r="I11" i="3"/>
  <c r="E18" i="14" s="1"/>
  <c r="I15" i="3"/>
  <c r="E24" i="14" s="1"/>
  <c r="P6" i="1"/>
  <c r="T6" i="1"/>
  <c r="R6" i="1"/>
  <c r="O6" i="1"/>
  <c r="N6" i="1"/>
  <c r="O16" i="3"/>
  <c r="I16" i="3" s="1"/>
  <c r="N16" i="3"/>
  <c r="P16" i="3"/>
  <c r="T17" i="1"/>
  <c r="R17" i="1"/>
  <c r="N17" i="1"/>
  <c r="O17" i="1"/>
  <c r="Q17" i="1"/>
  <c r="P17" i="1"/>
  <c r="B4" i="3"/>
  <c r="E27" i="14"/>
  <c r="P17" i="3"/>
  <c r="J17" i="3" s="1"/>
  <c r="N17" i="3"/>
  <c r="O17" i="3"/>
  <c r="I17" i="3" s="1"/>
  <c r="E25" i="14" s="1"/>
  <c r="B10" i="2"/>
  <c r="D4" i="1"/>
  <c r="K4" i="3"/>
  <c r="E2" i="14" s="1"/>
  <c r="J5" i="3"/>
  <c r="J6" i="3"/>
  <c r="E40" i="14" s="1"/>
  <c r="J7" i="3"/>
  <c r="E41" i="14" s="1"/>
  <c r="J8" i="3"/>
  <c r="E43" i="14" s="1"/>
  <c r="J9" i="3"/>
  <c r="E44" i="14" s="1"/>
  <c r="J10" i="3"/>
  <c r="J11" i="3"/>
  <c r="E42" i="14" s="1"/>
  <c r="J12" i="3"/>
  <c r="E45" i="14" s="1"/>
  <c r="J13" i="3"/>
  <c r="E46" i="14" s="1"/>
  <c r="J14" i="3"/>
  <c r="E47" i="14" s="1"/>
  <c r="J15" i="3"/>
  <c r="E48" i="14" s="1"/>
  <c r="J16" i="3"/>
  <c r="D4" i="7"/>
  <c r="N14" i="1"/>
  <c r="P5" i="1"/>
  <c r="V5" i="1" s="1"/>
  <c r="P7" i="1"/>
  <c r="P9" i="1"/>
  <c r="P19" i="1"/>
  <c r="V19" i="1" s="1"/>
  <c r="S5" i="1"/>
  <c r="S7" i="1"/>
  <c r="S9" i="1"/>
  <c r="S19" i="1"/>
  <c r="K5" i="3"/>
  <c r="K6" i="3"/>
  <c r="E3" i="14" s="1"/>
  <c r="K7" i="3"/>
  <c r="E4" i="14" s="1"/>
  <c r="K8" i="3"/>
  <c r="E6" i="14" s="1"/>
  <c r="K9" i="3"/>
  <c r="E7" i="14" s="1"/>
  <c r="K10" i="3"/>
  <c r="K11" i="3"/>
  <c r="E5" i="14" s="1"/>
  <c r="K12" i="3"/>
  <c r="E8" i="14" s="1"/>
  <c r="K13" i="3"/>
  <c r="E9" i="14" s="1"/>
  <c r="K14" i="3"/>
  <c r="E10" i="14" s="1"/>
  <c r="K15" i="3"/>
  <c r="E11" i="14" s="1"/>
  <c r="K16" i="3"/>
  <c r="K17" i="3"/>
  <c r="E12" i="14" s="1"/>
  <c r="N7" i="1"/>
  <c r="O7" i="1"/>
  <c r="Q5" i="1"/>
  <c r="Q7" i="1"/>
  <c r="Q9" i="1"/>
  <c r="Q19" i="1"/>
  <c r="R8" i="1"/>
  <c r="R14" i="1"/>
  <c r="R16" i="1"/>
  <c r="T8" i="1"/>
  <c r="T14" i="1"/>
  <c r="T16" i="1"/>
  <c r="X16" i="1" s="1"/>
  <c r="O12" i="3"/>
  <c r="H7" i="3"/>
  <c r="E29" i="14" s="1"/>
  <c r="H8" i="3"/>
  <c r="E31" i="14" s="1"/>
  <c r="H9" i="3"/>
  <c r="E32" i="14" s="1"/>
  <c r="H10" i="3"/>
  <c r="H11" i="3"/>
  <c r="E30" i="14" s="1"/>
  <c r="H12" i="3"/>
  <c r="E33" i="14" s="1"/>
  <c r="H13" i="3"/>
  <c r="E34" i="14" s="1"/>
  <c r="H14" i="3"/>
  <c r="E35" i="14" s="1"/>
  <c r="H15" i="3"/>
  <c r="E36" i="14" s="1"/>
  <c r="H17" i="3"/>
  <c r="N8" i="1"/>
  <c r="P8" i="1"/>
  <c r="C18" i="14" s="1"/>
  <c r="P14" i="1"/>
  <c r="P16" i="1"/>
  <c r="V16" i="1" s="1"/>
  <c r="S8" i="1"/>
  <c r="S14" i="1"/>
  <c r="S16" i="1"/>
  <c r="N5" i="1"/>
  <c r="N9" i="1"/>
  <c r="O14" i="1"/>
  <c r="R5" i="1"/>
  <c r="R7" i="1"/>
  <c r="R9" i="1"/>
  <c r="R19" i="1"/>
  <c r="E70" i="14" l="1"/>
  <c r="L13" i="3"/>
  <c r="M15" i="3"/>
  <c r="E60" i="14" s="1"/>
  <c r="H16" i="3"/>
  <c r="B16" i="3" s="1"/>
  <c r="S16" i="3"/>
  <c r="R16" i="3"/>
  <c r="F16" i="3" s="1"/>
  <c r="L16" i="3" s="1"/>
  <c r="H5" i="3"/>
  <c r="B5" i="3" s="1"/>
  <c r="S5" i="3"/>
  <c r="R5" i="3"/>
  <c r="G13" i="3"/>
  <c r="H6" i="3"/>
  <c r="E28" i="14" s="1"/>
  <c r="R6" i="3"/>
  <c r="F6" i="3" s="1"/>
  <c r="S6" i="3"/>
  <c r="G7" i="3"/>
  <c r="T7" i="3"/>
  <c r="K18" i="3"/>
  <c r="E14" i="14" s="1"/>
  <c r="C22" i="14"/>
  <c r="C24" i="14"/>
  <c r="C29" i="14"/>
  <c r="C11" i="14"/>
  <c r="C3" i="14"/>
  <c r="X6" i="1"/>
  <c r="C64" i="14" s="1"/>
  <c r="C34" i="14"/>
  <c r="C40" i="14"/>
  <c r="C30" i="14"/>
  <c r="C46" i="14"/>
  <c r="C17" i="14"/>
  <c r="C28" i="14"/>
  <c r="C16" i="14"/>
  <c r="C5" i="14"/>
  <c r="C48" i="14"/>
  <c r="C41" i="14"/>
  <c r="X14" i="1"/>
  <c r="C70" i="14" s="1"/>
  <c r="C9" i="14"/>
  <c r="C42" i="14"/>
  <c r="C36" i="14"/>
  <c r="C37" i="14"/>
  <c r="J10" i="8"/>
  <c r="F10" i="8"/>
  <c r="B10" i="8"/>
  <c r="I10" i="8"/>
  <c r="E10" i="8"/>
  <c r="H10" i="8"/>
  <c r="C10" i="8"/>
  <c r="G10" i="8"/>
  <c r="D10" i="8"/>
  <c r="J36" i="8"/>
  <c r="F36" i="8"/>
  <c r="I36" i="8"/>
  <c r="E36" i="8"/>
  <c r="B36" i="8"/>
  <c r="C36" i="8"/>
  <c r="H36" i="8"/>
  <c r="G36" i="8"/>
  <c r="D36" i="8"/>
  <c r="H22" i="8"/>
  <c r="D22" i="8"/>
  <c r="G22" i="8"/>
  <c r="C22" i="8"/>
  <c r="I22" i="8"/>
  <c r="E22" i="8"/>
  <c r="F22" i="8"/>
  <c r="B22" i="8"/>
  <c r="J22" i="8"/>
  <c r="J6" i="8"/>
  <c r="F6" i="8"/>
  <c r="B6" i="8"/>
  <c r="I6" i="8"/>
  <c r="E6" i="8"/>
  <c r="D6" i="8"/>
  <c r="G6" i="8"/>
  <c r="C6" i="8"/>
  <c r="H6" i="8"/>
  <c r="J34" i="8"/>
  <c r="F34" i="8"/>
  <c r="I34" i="8"/>
  <c r="E34" i="8"/>
  <c r="C34" i="8"/>
  <c r="B34" i="8"/>
  <c r="H34" i="8"/>
  <c r="G34" i="8"/>
  <c r="D34" i="8"/>
  <c r="H48" i="8"/>
  <c r="D48" i="8"/>
  <c r="G48" i="8"/>
  <c r="C48" i="8"/>
  <c r="I48" i="8"/>
  <c r="E48" i="8"/>
  <c r="F48" i="8"/>
  <c r="J48" i="8"/>
  <c r="B48" i="8"/>
  <c r="H40" i="8"/>
  <c r="D40" i="8"/>
  <c r="G40" i="8"/>
  <c r="C40" i="8"/>
  <c r="I40" i="8"/>
  <c r="E40" i="8"/>
  <c r="F40" i="8"/>
  <c r="B40" i="8"/>
  <c r="J40" i="8"/>
  <c r="G41" i="8"/>
  <c r="C41" i="8"/>
  <c r="J41" i="8"/>
  <c r="F41" i="8"/>
  <c r="B41" i="8"/>
  <c r="H41" i="8"/>
  <c r="E41" i="8"/>
  <c r="D41" i="8"/>
  <c r="I41" i="8"/>
  <c r="J37" i="8"/>
  <c r="F37" i="8"/>
  <c r="B37" i="8"/>
  <c r="I37" i="8"/>
  <c r="E37" i="8"/>
  <c r="C37" i="8"/>
  <c r="G37" i="8"/>
  <c r="H37" i="8"/>
  <c r="D37" i="8"/>
  <c r="J24" i="8"/>
  <c r="F24" i="8"/>
  <c r="B24" i="8"/>
  <c r="I24" i="8"/>
  <c r="E24" i="8"/>
  <c r="G24" i="8"/>
  <c r="C24" i="8"/>
  <c r="D24" i="8"/>
  <c r="H24" i="8"/>
  <c r="J29" i="8"/>
  <c r="F29" i="8"/>
  <c r="B29" i="8"/>
  <c r="I29" i="8"/>
  <c r="E29" i="8"/>
  <c r="C29" i="8"/>
  <c r="H29" i="8"/>
  <c r="G29" i="8"/>
  <c r="D29" i="8"/>
  <c r="H12" i="8"/>
  <c r="D12" i="8"/>
  <c r="G12" i="8"/>
  <c r="C12" i="8"/>
  <c r="F12" i="8"/>
  <c r="J12" i="8"/>
  <c r="I12" i="8"/>
  <c r="E12" i="8"/>
  <c r="B12" i="8"/>
  <c r="H4" i="8"/>
  <c r="D4" i="8"/>
  <c r="G4" i="8"/>
  <c r="C4" i="8"/>
  <c r="F4" i="8"/>
  <c r="J4" i="8"/>
  <c r="I4" i="8"/>
  <c r="E4" i="8"/>
  <c r="B4" i="8"/>
  <c r="J46" i="8"/>
  <c r="F46" i="8"/>
  <c r="B46" i="8"/>
  <c r="I46" i="8"/>
  <c r="E46" i="8"/>
  <c r="C46" i="8"/>
  <c r="G46" i="8"/>
  <c r="H46" i="8"/>
  <c r="D46" i="8"/>
  <c r="I17" i="8"/>
  <c r="H17" i="8"/>
  <c r="D17" i="8"/>
  <c r="F17" i="8"/>
  <c r="E17" i="8"/>
  <c r="C17" i="8"/>
  <c r="J17" i="8"/>
  <c r="G17" i="8"/>
  <c r="B17" i="8"/>
  <c r="I39" i="8"/>
  <c r="E39" i="8"/>
  <c r="H39" i="8"/>
  <c r="D39" i="8"/>
  <c r="J39" i="8"/>
  <c r="B39" i="8"/>
  <c r="G39" i="8"/>
  <c r="F39" i="8"/>
  <c r="C39" i="8"/>
  <c r="J28" i="8"/>
  <c r="F28" i="8"/>
  <c r="I28" i="8"/>
  <c r="E28" i="8"/>
  <c r="B28" i="8"/>
  <c r="C28" i="8"/>
  <c r="G28" i="8"/>
  <c r="H28" i="8"/>
  <c r="D28" i="8"/>
  <c r="I16" i="8"/>
  <c r="J16" i="8"/>
  <c r="E16" i="8"/>
  <c r="H16" i="8"/>
  <c r="D16" i="8"/>
  <c r="C16" i="8"/>
  <c r="F16" i="8"/>
  <c r="B16" i="8"/>
  <c r="G16" i="8"/>
  <c r="T4" i="1"/>
  <c r="H23" i="1"/>
  <c r="R23" i="1"/>
  <c r="N16" i="1"/>
  <c r="B4" i="1"/>
  <c r="N18" i="3"/>
  <c r="H18" i="3" s="1"/>
  <c r="E38" i="14" s="1"/>
  <c r="P18" i="3"/>
  <c r="D18" i="3" s="1"/>
  <c r="B18" i="3"/>
  <c r="E37" i="14"/>
  <c r="B17" i="3"/>
  <c r="I12" i="3"/>
  <c r="E21" i="14" s="1"/>
  <c r="O18" i="3"/>
  <c r="P4" i="1"/>
  <c r="C15" i="14" s="1"/>
  <c r="D23" i="1"/>
  <c r="C17" i="3"/>
  <c r="E49" i="14"/>
  <c r="D17" i="3"/>
  <c r="D16" i="3"/>
  <c r="C16" i="3"/>
  <c r="E53" i="14" l="1"/>
  <c r="M7" i="3"/>
  <c r="M13" i="3"/>
  <c r="E58" i="14" s="1"/>
  <c r="B6" i="3"/>
  <c r="E64" i="14"/>
  <c r="L6" i="3"/>
  <c r="G5" i="3"/>
  <c r="M5" i="3" s="1"/>
  <c r="T5" i="3"/>
  <c r="T8" i="3"/>
  <c r="T9" i="3"/>
  <c r="S18" i="3"/>
  <c r="T4" i="3"/>
  <c r="T10" i="3"/>
  <c r="T14" i="3"/>
  <c r="T11" i="3"/>
  <c r="T12" i="3"/>
  <c r="T17" i="3"/>
  <c r="T15" i="3"/>
  <c r="T13" i="3"/>
  <c r="T6" i="3"/>
  <c r="G6" i="3"/>
  <c r="F5" i="3"/>
  <c r="L5" i="3" s="1"/>
  <c r="R18" i="3"/>
  <c r="F18" i="3" s="1"/>
  <c r="T16" i="3"/>
  <c r="G16" i="3"/>
  <c r="M16" i="3" s="1"/>
  <c r="C50" i="14"/>
  <c r="C2" i="14"/>
  <c r="E62" i="8"/>
  <c r="E7" i="10" s="1"/>
  <c r="J30" i="8"/>
  <c r="F30" i="8"/>
  <c r="I30" i="8"/>
  <c r="E30" i="8"/>
  <c r="C30" i="8"/>
  <c r="B30" i="8"/>
  <c r="G30" i="8"/>
  <c r="H30" i="8"/>
  <c r="D30" i="8"/>
  <c r="I3" i="8"/>
  <c r="E3" i="8"/>
  <c r="H3" i="8"/>
  <c r="D3" i="8"/>
  <c r="G3" i="8"/>
  <c r="C3" i="8"/>
  <c r="J3" i="8"/>
  <c r="B3" i="8"/>
  <c r="F3" i="8"/>
  <c r="H18" i="8"/>
  <c r="D18" i="8"/>
  <c r="G18" i="8"/>
  <c r="C18" i="8"/>
  <c r="E18" i="8"/>
  <c r="J18" i="8"/>
  <c r="B18" i="8"/>
  <c r="I18" i="8"/>
  <c r="F18" i="8"/>
  <c r="J42" i="8"/>
  <c r="F42" i="8"/>
  <c r="B42" i="8"/>
  <c r="I42" i="8"/>
  <c r="E42" i="8"/>
  <c r="G42" i="8"/>
  <c r="C42" i="8"/>
  <c r="D42" i="8"/>
  <c r="H42" i="8"/>
  <c r="T23" i="1"/>
  <c r="J18" i="3"/>
  <c r="E50" i="14" s="1"/>
  <c r="N4" i="1"/>
  <c r="C27" i="14" s="1"/>
  <c r="B23" i="1"/>
  <c r="P23" i="1"/>
  <c r="I18" i="3"/>
  <c r="E26" i="14" s="1"/>
  <c r="C18" i="3"/>
  <c r="E74" i="14" l="1"/>
  <c r="L18" i="3"/>
  <c r="M6" i="3"/>
  <c r="E52" i="14" s="1"/>
  <c r="T18" i="3"/>
  <c r="G18" i="3" s="1"/>
  <c r="M18" i="3" s="1"/>
  <c r="I62" i="8"/>
  <c r="I7" i="10" s="1"/>
  <c r="F62" i="8"/>
  <c r="F7" i="10" s="1"/>
  <c r="V23" i="1"/>
  <c r="C62" i="14" s="1"/>
  <c r="C26" i="14"/>
  <c r="H62" i="8"/>
  <c r="H7" i="10" s="1"/>
  <c r="G62" i="8"/>
  <c r="G7" i="10" s="1"/>
  <c r="C62" i="8"/>
  <c r="C7" i="10" s="1"/>
  <c r="H14" i="8"/>
  <c r="H3" i="10" s="1"/>
  <c r="X23" i="1"/>
  <c r="C74" i="14" s="1"/>
  <c r="B62" i="8"/>
  <c r="B7" i="10" s="1"/>
  <c r="D62" i="8"/>
  <c r="D7" i="10" s="1"/>
  <c r="J62" i="8"/>
  <c r="J7" i="10" s="1"/>
  <c r="C14" i="14"/>
  <c r="E50" i="8"/>
  <c r="E6" i="10" s="1"/>
  <c r="J50" i="8"/>
  <c r="J6" i="10" s="1"/>
  <c r="J14" i="8"/>
  <c r="J3" i="10" s="1"/>
  <c r="D50" i="8"/>
  <c r="D6" i="10" s="1"/>
  <c r="C50" i="8"/>
  <c r="C6" i="10" s="1"/>
  <c r="H50" i="8"/>
  <c r="H6" i="10" s="1"/>
  <c r="G50" i="8"/>
  <c r="G6" i="10" s="1"/>
  <c r="F50" i="8"/>
  <c r="F6" i="10" s="1"/>
  <c r="E14" i="8"/>
  <c r="E3" i="10" s="1"/>
  <c r="J15" i="8"/>
  <c r="F15" i="8"/>
  <c r="B15" i="8"/>
  <c r="I15" i="8"/>
  <c r="E15" i="8"/>
  <c r="D15" i="8"/>
  <c r="H15" i="8"/>
  <c r="G15" i="8"/>
  <c r="C15" i="8"/>
  <c r="I14" i="8"/>
  <c r="I3" i="10" s="1"/>
  <c r="B50" i="8"/>
  <c r="B6" i="10" s="1"/>
  <c r="I50" i="8"/>
  <c r="I6" i="10" s="1"/>
  <c r="D14" i="8"/>
  <c r="D3" i="10" s="1"/>
  <c r="N23" i="1"/>
  <c r="C38" i="14" s="1"/>
  <c r="C14" i="8" l="1"/>
  <c r="C3" i="10" s="1"/>
  <c r="B14" i="8"/>
  <c r="B3" i="10" s="1"/>
  <c r="G14" i="8"/>
  <c r="G3" i="10" s="1"/>
  <c r="F14" i="8"/>
  <c r="F3" i="10" s="1"/>
  <c r="D26" i="8"/>
  <c r="D4" i="10" s="1"/>
  <c r="F26" i="8"/>
  <c r="F4" i="10" s="1"/>
  <c r="C26" i="8"/>
  <c r="C4" i="10" s="1"/>
  <c r="E26" i="8"/>
  <c r="E4" i="10" s="1"/>
  <c r="J26" i="8"/>
  <c r="J4" i="10" s="1"/>
  <c r="G26" i="8"/>
  <c r="G4" i="10" s="1"/>
  <c r="I26" i="8"/>
  <c r="I4" i="10" s="1"/>
  <c r="J27" i="8"/>
  <c r="F27" i="8"/>
  <c r="I27" i="8"/>
  <c r="E27" i="8"/>
  <c r="C27" i="8"/>
  <c r="H27" i="8"/>
  <c r="B27" i="8"/>
  <c r="G27" i="8"/>
  <c r="D27" i="8"/>
  <c r="H26" i="8"/>
  <c r="H4" i="10" s="1"/>
  <c r="B26" i="8"/>
  <c r="B4" i="10" s="1"/>
  <c r="B38" i="8" l="1"/>
  <c r="B5" i="10" s="1"/>
  <c r="I38" i="8"/>
  <c r="I5" i="10" s="1"/>
  <c r="H38" i="8"/>
  <c r="H5" i="10" s="1"/>
  <c r="F38" i="8"/>
  <c r="F5" i="10" s="1"/>
  <c r="D38" i="8"/>
  <c r="D5" i="10" s="1"/>
  <c r="C38" i="8"/>
  <c r="C5" i="10" s="1"/>
  <c r="J38" i="8"/>
  <c r="J5" i="10" s="1"/>
  <c r="G38" i="8"/>
  <c r="G5" i="10" s="1"/>
  <c r="E38" i="8"/>
  <c r="E5" i="10"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U.S. EPA User or Contractor</author>
  </authors>
  <commentList>
    <comment ref="C14" authorId="0" shapeId="0" xr:uid="{00000000-0006-0000-0200-000001000000}">
      <text>
        <r>
          <rPr>
            <b/>
            <sz val="9"/>
            <color indexed="81"/>
            <rFont val="Tahoma"/>
            <family val="2"/>
          </rPr>
          <t>uses ruark with same plasma as below</t>
        </r>
      </text>
    </comment>
    <comment ref="E14" authorId="0" shapeId="0" xr:uid="{00000000-0006-0000-0200-000002000000}">
      <text>
        <r>
          <rPr>
            <b/>
            <sz val="9"/>
            <color indexed="81"/>
            <rFont val="Tahoma"/>
            <family val="2"/>
          </rPr>
          <t>uses ruark with same plasma as below</t>
        </r>
      </text>
    </comment>
    <comment ref="G14" authorId="0" shapeId="0" xr:uid="{00000000-0006-0000-0200-000003000000}">
      <text>
        <r>
          <rPr>
            <sz val="9"/>
            <color indexed="81"/>
            <rFont val="Tahoma"/>
            <family val="2"/>
          </rPr>
          <t xml:space="preserve">uses ruark with same plasma as below
</t>
        </r>
      </text>
    </comment>
  </commentList>
</comments>
</file>

<file path=xl/sharedStrings.xml><?xml version="1.0" encoding="utf-8"?>
<sst xmlns="http://schemas.openxmlformats.org/spreadsheetml/2006/main" count="995" uniqueCount="376">
  <si>
    <t>Tissue</t>
  </si>
  <si>
    <t>Mean</t>
  </si>
  <si>
    <t>Standard Deviation</t>
  </si>
  <si>
    <t>Adipose</t>
  </si>
  <si>
    <t>Adrenals</t>
  </si>
  <si>
    <t>Bone</t>
  </si>
  <si>
    <t>Brain</t>
  </si>
  <si>
    <t>Stomach</t>
  </si>
  <si>
    <t>Heart</t>
  </si>
  <si>
    <t>Kidneys</t>
  </si>
  <si>
    <t>Liver</t>
  </si>
  <si>
    <t>Muscle</t>
  </si>
  <si>
    <t>Pancreas</t>
  </si>
  <si>
    <t>Skin</t>
  </si>
  <si>
    <t>Spleen</t>
  </si>
  <si>
    <t>Thyroid</t>
  </si>
  <si>
    <t>Mice</t>
  </si>
  <si>
    <t>Rat</t>
  </si>
  <si>
    <t>Dog</t>
  </si>
  <si>
    <t>Man</t>
  </si>
  <si>
    <t>Cortical Bone</t>
  </si>
  <si>
    <t>Trabecular Bone</t>
  </si>
  <si>
    <t>Red Marrow</t>
  </si>
  <si>
    <t>Yellow Marrow</t>
  </si>
  <si>
    <t>Large Intestine</t>
  </si>
  <si>
    <t>Stratum Corneum</t>
  </si>
  <si>
    <t>Epidermis</t>
  </si>
  <si>
    <t>Dermis</t>
  </si>
  <si>
    <t>Hypodermis</t>
  </si>
  <si>
    <t>Blood</t>
  </si>
  <si>
    <t>Rest</t>
  </si>
  <si>
    <t>GI Contents</t>
  </si>
  <si>
    <t>Density (g/cm^3)</t>
  </si>
  <si>
    <t>Cardiac Output</t>
  </si>
  <si>
    <t>Mouse</t>
  </si>
  <si>
    <t>Human</t>
  </si>
  <si>
    <t>Hepatic Artery</t>
  </si>
  <si>
    <t>Lung</t>
  </si>
  <si>
    <t>Kidney</t>
  </si>
  <si>
    <t>Total</t>
  </si>
  <si>
    <t>e Data taken from (Gomez et al., 2002).</t>
  </si>
  <si>
    <t>c Data taken from (Rodgers et al., 2005a).</t>
  </si>
  <si>
    <t>b Values from taken from (ICRP, 1975). Original values given as fraction of total tissue mass were rescaled to cellular volume as follows: Water fraction of total tissue reduced by interstitial volume and subsequently all values normalized by cellular fraction.</t>
  </si>
  <si>
    <t>a Values from taken from (Kawai et al., 1994). Original values given as fraction of total organ volume were rescaled to tissue volume by subtracting vascular volume.</t>
  </si>
  <si>
    <t>Red blood cells</t>
  </si>
  <si>
    <t>Gut</t>
  </si>
  <si>
    <r>
      <t>pH</t>
    </r>
    <r>
      <rPr>
        <vertAlign val="superscript"/>
        <sz val="11"/>
        <color indexed="8"/>
        <rFont val="Calibri"/>
        <family val="2"/>
      </rPr>
      <t>d</t>
    </r>
  </si>
  <si>
    <r>
      <t>Acidic Phospholipid</t>
    </r>
    <r>
      <rPr>
        <vertAlign val="superscript"/>
        <sz val="11"/>
        <color indexed="8"/>
        <rFont val="Calibri"/>
        <family val="2"/>
      </rPr>
      <t>c</t>
    </r>
  </si>
  <si>
    <r>
      <t>Neutral Phospholipid</t>
    </r>
    <r>
      <rPr>
        <vertAlign val="superscript"/>
        <sz val="11"/>
        <color indexed="8"/>
        <rFont val="Calibri"/>
        <family val="2"/>
      </rPr>
      <t>c</t>
    </r>
  </si>
  <si>
    <r>
      <t>Neutral Lipid</t>
    </r>
    <r>
      <rPr>
        <vertAlign val="superscript"/>
        <sz val="11"/>
        <color indexed="8"/>
        <rFont val="Calibri"/>
        <family val="2"/>
      </rPr>
      <t>c</t>
    </r>
  </si>
  <si>
    <t>Protein</t>
  </si>
  <si>
    <t>Lipid</t>
  </si>
  <si>
    <t>Water</t>
  </si>
  <si>
    <t>Interstitium</t>
  </si>
  <si>
    <t>Cells</t>
  </si>
  <si>
    <t>Fraction of total lipid</t>
  </si>
  <si>
    <r>
      <t>Fraction of cell volume</t>
    </r>
    <r>
      <rPr>
        <vertAlign val="superscript"/>
        <sz val="11"/>
        <color indexed="8"/>
        <rFont val="Calibri"/>
        <family val="2"/>
      </rPr>
      <t>b</t>
    </r>
  </si>
  <si>
    <r>
      <t>Fraction of total volume</t>
    </r>
    <r>
      <rPr>
        <vertAlign val="superscript"/>
        <sz val="11"/>
        <color indexed="8"/>
        <rFont val="Calibri"/>
        <family val="2"/>
      </rPr>
      <t>a</t>
    </r>
  </si>
  <si>
    <t>Percent of Total Body Weight</t>
  </si>
  <si>
    <t>Skeleton</t>
  </si>
  <si>
    <t>Cortical</t>
  </si>
  <si>
    <t>Trabecular</t>
  </si>
  <si>
    <t>Cartilage</t>
  </si>
  <si>
    <t>Periarticular Tissue</t>
  </si>
  <si>
    <t>Average</t>
  </si>
  <si>
    <t>Percent of Body Weight</t>
  </si>
  <si>
    <t>Density</t>
  </si>
  <si>
    <t>Note</t>
  </si>
  <si>
    <t>Assumed</t>
  </si>
  <si>
    <t>Small Intestine</t>
  </si>
  <si>
    <t>Plasma</t>
  </si>
  <si>
    <t>Urine</t>
  </si>
  <si>
    <t>Bile</t>
  </si>
  <si>
    <t>GFR</t>
  </si>
  <si>
    <t xml:space="preserve">Flow (ml/min) </t>
  </si>
  <si>
    <t>Fraction Cardiac Output</t>
  </si>
  <si>
    <t>Parameter</t>
  </si>
  <si>
    <t>Units</t>
  </si>
  <si>
    <t>Total Body Water</t>
  </si>
  <si>
    <t>Plasma Volume</t>
  </si>
  <si>
    <t>Average BW</t>
  </si>
  <si>
    <t>kg</t>
  </si>
  <si>
    <t>Total Plasma Protein</t>
  </si>
  <si>
    <t>g/ml</t>
  </si>
  <si>
    <t>Plasma albumin</t>
  </si>
  <si>
    <t>Plasma a-1-AGP</t>
  </si>
  <si>
    <t>Hematocrit</t>
  </si>
  <si>
    <t>fraction</t>
  </si>
  <si>
    <t>Volume Fraction of Blood in Organs and Tissues</t>
  </si>
  <si>
    <t>Range</t>
  </si>
  <si>
    <t>0.12-0.34</t>
  </si>
  <si>
    <t>0.23-0.36</t>
  </si>
  <si>
    <t>0.40-0.62</t>
  </si>
  <si>
    <t>0.03-0.05</t>
  </si>
  <si>
    <t>0.17-0.19</t>
  </si>
  <si>
    <t>.02-.04</t>
  </si>
  <si>
    <t>.11-.027</t>
  </si>
  <si>
    <t>0.12-0.27</t>
  </si>
  <si>
    <t>0.26-0.52</t>
  </si>
  <si>
    <t>0.01-0.09</t>
  </si>
  <si>
    <t>0.17-0.28</t>
  </si>
  <si>
    <t>0.02-0.03</t>
  </si>
  <si>
    <t>0.03-0.10</t>
  </si>
  <si>
    <t>0.22-0.50</t>
  </si>
  <si>
    <t>Rabbit</t>
  </si>
  <si>
    <t>a</t>
  </si>
  <si>
    <t>Flow (ml/min/kg BW^(3/4))</t>
  </si>
  <si>
    <t>Blood Flow (ml/min/kg^(3/4))</t>
  </si>
  <si>
    <t>ml/min/kg^(3/4)</t>
  </si>
  <si>
    <t>Average Body Temperature</t>
  </si>
  <si>
    <t>C</t>
  </si>
  <si>
    <r>
      <t>Robertshaw, D., Temperature Regulation and Thermal Environment, in </t>
    </r>
    <r>
      <rPr>
        <i/>
        <sz val="9"/>
        <color rgb="FF000000"/>
        <rFont val="Arial"/>
        <family val="2"/>
      </rPr>
      <t>Dukes' Physiology of Domestic Animals,</t>
    </r>
    <r>
      <rPr>
        <sz val="9"/>
        <color rgb="FF000000"/>
        <rFont val="Arial"/>
        <family val="2"/>
      </rPr>
      <t> 12th ed., Reece W.O., Ed. Copyright 2004 by Cornell University.</t>
    </r>
  </si>
  <si>
    <t>Volume (L/kg)</t>
  </si>
  <si>
    <t>ml/kg</t>
  </si>
  <si>
    <t>Plasma Protein Volume Fraction</t>
  </si>
  <si>
    <t>J Lipid Res. 2012 Jan; 53(1): 51–65.</t>
  </si>
  <si>
    <t>TABLE 1.</t>
  </si>
  <si>
    <t>Basal plasma lipid comparison across species</t>
  </si>
  <si>
    <t>Species</t>
  </si>
  <si>
    <t>N in each group</t>
  </si>
  <si>
    <t>CETP</t>
  </si>
  <si>
    <t>TG (mg/dL)</t>
  </si>
  <si>
    <t>TC (mg/dL)</t>
  </si>
  <si>
    <t>VLDL (mg/dL)</t>
  </si>
  <si>
    <t>LDL-c (mg/dL)</t>
  </si>
  <si>
    <t>HDL-c (mg/dL)</t>
  </si>
  <si>
    <t>CRP (ug/ml)</t>
  </si>
  <si>
    <t>Dyslipidemic human</t>
  </si>
  <si>
    <t>Yes</t>
  </si>
  <si>
    <t>154 ± 15</t>
  </si>
  <si>
    <t>226 ± 6</t>
  </si>
  <si>
    <t>NA</t>
  </si>
  <si>
    <t>154 ± 7</t>
  </si>
  <si>
    <t>48 ± 4</t>
  </si>
  <si>
    <t>0.1−8.6</t>
  </si>
  <si>
    <t>Dyslipidemic African Green</t>
  </si>
  <si>
    <t>52 ± 10</t>
  </si>
  <si>
    <t>336 ± 51</t>
  </si>
  <si>
    <t>33 ± 10</t>
  </si>
  <si>
    <t>210 ± 36</t>
  </si>
  <si>
    <t>92 ± 7</t>
  </si>
  <si>
    <t>Not available</t>
  </si>
  <si>
    <t>African Green</t>
  </si>
  <si>
    <t>54 ± 3</t>
  </si>
  <si>
    <t>134 ± 5</t>
  </si>
  <si>
    <t>4 ± 1</t>
  </si>
  <si>
    <t>71 ± 3</t>
  </si>
  <si>
    <t>59 ± 4</t>
  </si>
  <si>
    <t>1.0 ± 0.5a</t>
  </si>
  <si>
    <t>1.7 ± 0.5b</t>
  </si>
  <si>
    <t>Cynomolgus</t>
  </si>
  <si>
    <t>60 ± 8</t>
  </si>
  <si>
    <t>139 ± 13</t>
  </si>
  <si>
    <t>5 ± 2</t>
  </si>
  <si>
    <t>66 ± 9</t>
  </si>
  <si>
    <t>67 ± 5</t>
  </si>
  <si>
    <t>0.6 ± 0.1a</t>
  </si>
  <si>
    <r>
      <t>0.3 ± 0.1</t>
    </r>
    <r>
      <rPr>
        <i/>
        <sz val="9.3000000000000007"/>
        <color rgb="FF000000"/>
        <rFont val="Times New Roman"/>
        <family val="1"/>
      </rPr>
      <t>b</t>
    </r>
  </si>
  <si>
    <t>Rhesus</t>
  </si>
  <si>
    <t>42 ± 3</t>
  </si>
  <si>
    <t>120 ± 5</t>
  </si>
  <si>
    <t>59 ± 3</t>
  </si>
  <si>
    <t>58 ± 5</t>
  </si>
  <si>
    <r>
      <t>0.5–0.9</t>
    </r>
    <r>
      <rPr>
        <vertAlign val="superscript"/>
        <sz val="11"/>
        <color rgb="FF000000"/>
        <rFont val="Times New Roman"/>
        <family val="1"/>
      </rPr>
      <t>(68)</t>
    </r>
  </si>
  <si>
    <t>Rhesus, Met syn</t>
  </si>
  <si>
    <t>118 ± 13</t>
  </si>
  <si>
    <t>159 ± 12</t>
  </si>
  <si>
    <t>9 ± 1</t>
  </si>
  <si>
    <t>85 ± 7</t>
  </si>
  <si>
    <t>65 ± 7</t>
  </si>
  <si>
    <t>0.24 ± 0.03a</t>
  </si>
  <si>
    <t>0.23 ± 0.03b</t>
  </si>
  <si>
    <t>Rhesus, diabetic</t>
  </si>
  <si>
    <t>192 ± 35</t>
  </si>
  <si>
    <t>194 ± 18</t>
  </si>
  <si>
    <t>22 ± 6</t>
  </si>
  <si>
    <t>99 ± 7</t>
  </si>
  <si>
    <t>62 ± 11</t>
  </si>
  <si>
    <t>0.9 ± 0.1a</t>
  </si>
  <si>
    <t>0.24 ± 0.04b</t>
  </si>
  <si>
    <t>Rhesus DIO</t>
  </si>
  <si>
    <t>179 ± 31</t>
  </si>
  <si>
    <t>131 ± 13</t>
  </si>
  <si>
    <t>12 ± 1</t>
  </si>
  <si>
    <t>68 ± 9</t>
  </si>
  <si>
    <t>51 ± 7</t>
  </si>
  <si>
    <t>1.1 ± 0.3a</t>
  </si>
  <si>
    <t>0.3 ± 0.1b</t>
  </si>
  <si>
    <t>Marmoset</t>
  </si>
  <si>
    <t>363 ± 134</t>
  </si>
  <si>
    <t>161 ± 16</t>
  </si>
  <si>
    <t>25 ± 11</t>
  </si>
  <si>
    <t>77 ± 9</t>
  </si>
  <si>
    <t>58 ± 10</t>
  </si>
  <si>
    <t>Not detectable</t>
  </si>
  <si>
    <t>Pig</t>
  </si>
  <si>
    <t>No</t>
  </si>
  <si>
    <t>32 ± 2</t>
  </si>
  <si>
    <t>96 ± 7</t>
  </si>
  <si>
    <t>5 ± 0.4</t>
  </si>
  <si>
    <t>39 ± 4</t>
  </si>
  <si>
    <t>52 ± 3</t>
  </si>
  <si>
    <t>0.0075 ± 0.002a</t>
  </si>
  <si>
    <t>98 ± 15</t>
  </si>
  <si>
    <t>196 ± 6</t>
  </si>
  <si>
    <t>7 ± 2</t>
  </si>
  <si>
    <t>26 ± 3</t>
  </si>
  <si>
    <t>163 ± 3</t>
  </si>
  <si>
    <t>1.5 ± 0.3c</t>
  </si>
  <si>
    <t>47 ± 5</t>
  </si>
  <si>
    <t>29 ± 1</t>
  </si>
  <si>
    <t>4 ± 0.3</t>
  </si>
  <si>
    <t>8 ± 0.4</t>
  </si>
  <si>
    <t>18 ± 1</t>
  </si>
  <si>
    <t>0.94 ± 0.07c</t>
  </si>
  <si>
    <t>Rabbit (Chol)</t>
  </si>
  <si>
    <t>811 ± 48</t>
  </si>
  <si>
    <t>439 ± 26</t>
  </si>
  <si>
    <t>317 ± 24</t>
  </si>
  <si>
    <t>44 ± 4</t>
  </si>
  <si>
    <t>Hamster</t>
  </si>
  <si>
    <t>226 ± 11</t>
  </si>
  <si>
    <t>141 ± 7</t>
  </si>
  <si>
    <t>16 ± 1</t>
  </si>
  <si>
    <t>31 ± 2</t>
  </si>
  <si>
    <t>94 ± 6</t>
  </si>
  <si>
    <t>Hamster HFD</t>
  </si>
  <si>
    <t>534 ± 43</t>
  </si>
  <si>
    <t>184 ± 4</t>
  </si>
  <si>
    <t>35 ± 2</t>
  </si>
  <si>
    <t>39 ± 3</t>
  </si>
  <si>
    <t>110 ± 3</t>
  </si>
  <si>
    <t>ZDF/+ rat</t>
  </si>
  <si>
    <t>85 ± 2</t>
  </si>
  <si>
    <t>98 ± 4</t>
  </si>
  <si>
    <t>10 ± 0.3</t>
  </si>
  <si>
    <t>36 ± 3</t>
  </si>
  <si>
    <t>53 ± 1</t>
  </si>
  <si>
    <t>674 ± 88c</t>
  </si>
  <si>
    <t>ZDF rat HFD</t>
  </si>
  <si>
    <t>1482 ± 210</t>
  </si>
  <si>
    <t>148 ± 8</t>
  </si>
  <si>
    <t>62 ± 7</t>
  </si>
  <si>
    <t>20 ± 2</t>
  </si>
  <si>
    <t>66 ± 2</t>
  </si>
  <si>
    <t>1252 ± 44c</t>
  </si>
  <si>
    <t>C57BL/6</t>
  </si>
  <si>
    <t>130 ± 10</t>
  </si>
  <si>
    <t>127 ± 4</t>
  </si>
  <si>
    <t>8 ± 1</t>
  </si>
  <si>
    <t>21 ± 2</t>
  </si>
  <si>
    <t>97 ± 4</t>
  </si>
  <si>
    <t>10 ± 0.3c</t>
  </si>
  <si>
    <t>db/db</t>
  </si>
  <si>
    <t>308 ± 16</t>
  </si>
  <si>
    <t>170 ± 5</t>
  </si>
  <si>
    <t>13±-1</t>
  </si>
  <si>
    <t>30 ± 2</t>
  </si>
  <si>
    <t>126 ± 4</t>
  </si>
  <si>
    <t>16 ± 1c</t>
  </si>
  <si>
    <t>ApoE</t>
  </si>
  <si>
    <t>102 ± 14</t>
  </si>
  <si>
    <t>412 ± 21</t>
  </si>
  <si>
    <t>226 ± 17</t>
  </si>
  <si>
    <t>178 ± 13</t>
  </si>
  <si>
    <t>7 ± 0.3c</t>
  </si>
  <si>
    <t>ApoE (Chol)</t>
  </si>
  <si>
    <t>154 ± 31</t>
  </si>
  <si>
    <t>9 ± 0.3c</t>
  </si>
  <si>
    <t>LDLr</t>
  </si>
  <si>
    <t>124 ± 8</t>
  </si>
  <si>
    <t>250 ± 8</t>
  </si>
  <si>
    <t>13 ± 1</t>
  </si>
  <si>
    <t>168 ± 5</t>
  </si>
  <si>
    <t>69 ± 3</t>
  </si>
  <si>
    <t>7 ± 1c</t>
  </si>
  <si>
    <t>LDLr (Chol)</t>
  </si>
  <si>
    <t>404 ± 35</t>
  </si>
  <si>
    <t>1677 ± 98</t>
  </si>
  <si>
    <t>904 ± 47</t>
  </si>
  <si>
    <t>761 ± 57</t>
  </si>
  <si>
    <t>12 ± 2</t>
  </si>
  <si>
    <t>8 ± 0.4c</t>
  </si>
  <si>
    <t>CETP /LDLr</t>
  </si>
  <si>
    <t>67 ± 9</t>
  </si>
  <si>
    <t>89 ± 4</t>
  </si>
  <si>
    <t>10 ± 2</t>
  </si>
  <si>
    <t>41 ± 2</t>
  </si>
  <si>
    <t>37 ± 4</t>
  </si>
  <si>
    <t>6 ± 0.2c</t>
  </si>
  <si>
    <t>CETP /LDLr (Chol)</t>
  </si>
  <si>
    <t>59 ± 6</t>
  </si>
  <si>
    <t>202 ± 4</t>
  </si>
  <si>
    <t>51 ± 4</t>
  </si>
  <si>
    <t>96 ± 4</t>
  </si>
  <si>
    <t>7 ± 0.3</t>
  </si>
  <si>
    <t>TG</t>
  </si>
  <si>
    <t>TC</t>
  </si>
  <si>
    <t>VLDL</t>
  </si>
  <si>
    <t>LDL-c</t>
  </si>
  <si>
    <t>HDL-c</t>
  </si>
  <si>
    <t>CRP</t>
  </si>
  <si>
    <t>cholesteryl ester transport protein</t>
  </si>
  <si>
    <t>plasma triglyceride</t>
  </si>
  <si>
    <t>total cholesterol </t>
  </si>
  <si>
    <t>low density lipoprotein cholesterol</t>
  </si>
  <si>
    <t>high density lipoprotein cholesterol</t>
  </si>
  <si>
    <t>very low density lipoprotein</t>
  </si>
  <si>
    <t>Plasma C-reactive protein</t>
  </si>
  <si>
    <t>Lipid Volume fraction</t>
  </si>
  <si>
    <t>Relative to human</t>
  </si>
  <si>
    <t>unitless</t>
  </si>
  <si>
    <t>Reference</t>
  </si>
  <si>
    <t>Schmitt 2008</t>
  </si>
  <si>
    <t>Ruark 2014</t>
  </si>
  <si>
    <r>
      <t>Neutral Lipid</t>
    </r>
    <r>
      <rPr>
        <b/>
        <vertAlign val="superscript"/>
        <sz val="11"/>
        <color indexed="8"/>
        <rFont val="Calibri"/>
        <family val="2"/>
      </rPr>
      <t>c</t>
    </r>
  </si>
  <si>
    <r>
      <t>Neutral Phospholipid</t>
    </r>
    <r>
      <rPr>
        <b/>
        <vertAlign val="superscript"/>
        <sz val="11"/>
        <color indexed="8"/>
        <rFont val="Calibri"/>
        <family val="2"/>
      </rPr>
      <t>c</t>
    </r>
  </si>
  <si>
    <r>
      <t>Acidic Phospholipid</t>
    </r>
    <r>
      <rPr>
        <b/>
        <vertAlign val="superscript"/>
        <sz val="11"/>
        <color indexed="8"/>
        <rFont val="Calibri"/>
        <family val="2"/>
      </rPr>
      <t>c</t>
    </r>
  </si>
  <si>
    <t>Plasma Effective Neutral Lipid Volume Fraction</t>
  </si>
  <si>
    <r>
      <t>Davies, Brian, and Tim Morris. "Physiological parameters in laboratory animals and humans." </t>
    </r>
    <r>
      <rPr>
        <i/>
        <sz val="10"/>
        <color rgb="FF222222"/>
        <rFont val="Arial"/>
        <family val="2"/>
      </rPr>
      <t>Pharmaceutical research</t>
    </r>
    <r>
      <rPr>
        <sz val="10"/>
        <color rgb="FF222222"/>
        <rFont val="Arial"/>
        <family val="2"/>
      </rPr>
      <t> 10.7 (1993): 1093-1095.</t>
    </r>
  </si>
  <si>
    <r>
      <t>Brown, Ronald P., et al. "Physiological parameter values for physiologically based pharmacokinetic models." </t>
    </r>
    <r>
      <rPr>
        <i/>
        <sz val="10"/>
        <color rgb="FF222222"/>
        <rFont val="Arial"/>
        <family val="2"/>
      </rPr>
      <t>Toxicology and industrial health</t>
    </r>
    <r>
      <rPr>
        <sz val="10"/>
        <color rgb="FF222222"/>
        <rFont val="Arial"/>
        <family val="2"/>
      </rPr>
      <t> 13.4 (1997): 407-484.</t>
    </r>
  </si>
  <si>
    <r>
      <t>Birnbaum, L., et al. "Physiological parameter values for PBPK models." </t>
    </r>
    <r>
      <rPr>
        <i/>
        <sz val="10"/>
        <color rgb="FF222222"/>
        <rFont val="Arial"/>
        <family val="2"/>
      </rPr>
      <t>International Life Sciences Institute, Risk Science Institute, Washington, DC</t>
    </r>
    <r>
      <rPr>
        <sz val="10"/>
        <color rgb="FF222222"/>
        <rFont val="Arial"/>
        <family val="2"/>
      </rPr>
      <t> (1994).</t>
    </r>
  </si>
  <si>
    <r>
      <t>Stammers, Arthur Dighton. "The blood count and body temperature in normal rats." </t>
    </r>
    <r>
      <rPr>
        <i/>
        <sz val="10"/>
        <color rgb="FF222222"/>
        <rFont val="Arial"/>
        <family val="2"/>
      </rPr>
      <t>The Journal of physiology</t>
    </r>
    <r>
      <rPr>
        <sz val="10"/>
        <color rgb="FF222222"/>
        <rFont val="Arial"/>
        <family val="2"/>
      </rPr>
      <t> 61.3 (1926): 329.</t>
    </r>
  </si>
  <si>
    <r>
      <t>Gordon, Christopher J. </t>
    </r>
    <r>
      <rPr>
        <i/>
        <sz val="10"/>
        <color rgb="FF222222"/>
        <rFont val="Arial"/>
        <family val="2"/>
      </rPr>
      <t>Temperature regulation in laboratory rodents</t>
    </r>
    <r>
      <rPr>
        <sz val="10"/>
        <color rgb="FF222222"/>
        <rFont val="Arial"/>
        <family val="2"/>
      </rPr>
      <t>. Cambridge University Press, 1993.</t>
    </r>
  </si>
  <si>
    <r>
      <t>Schmitt, Walter. "General approach for the calculation of tissue to plasma partition coefficients." </t>
    </r>
    <r>
      <rPr>
        <i/>
        <sz val="10"/>
        <color rgb="FF222222"/>
        <rFont val="Arial"/>
        <family val="2"/>
      </rPr>
      <t>Toxicology in Vitro</t>
    </r>
    <r>
      <rPr>
        <sz val="10"/>
        <color rgb="FF222222"/>
        <rFont val="Arial"/>
        <family val="2"/>
      </rPr>
      <t> 22.2 (2008): 457-467.</t>
    </r>
  </si>
  <si>
    <r>
      <t>Gomez, N. N., M. S. Ojeda, and M. S. Gimenez. "Lung lipid composition in zinc-deficient rats." </t>
    </r>
    <r>
      <rPr>
        <i/>
        <sz val="10"/>
        <color rgb="FF222222"/>
        <rFont val="Arial"/>
        <family val="2"/>
      </rPr>
      <t>Lipids</t>
    </r>
    <r>
      <rPr>
        <sz val="10"/>
        <color rgb="FF222222"/>
        <rFont val="Arial"/>
        <family val="2"/>
      </rPr>
      <t> 37.3 (2002): 291-296.</t>
    </r>
  </si>
  <si>
    <r>
      <t>Waddell, WILLIAM J., and ROGER G. Bates. "Intracellular pH." </t>
    </r>
    <r>
      <rPr>
        <i/>
        <sz val="10"/>
        <color rgb="FF222222"/>
        <rFont val="Arial"/>
        <family val="2"/>
      </rPr>
      <t>Physiological Reviews</t>
    </r>
    <r>
      <rPr>
        <sz val="10"/>
        <color rgb="FF222222"/>
        <rFont val="Arial"/>
        <family val="2"/>
      </rPr>
      <t> 49.2 (1969): 285-329.</t>
    </r>
  </si>
  <si>
    <r>
      <t>Malan, A., J. L. Rodeau, and F. Daull. "Intracellular pH in hibernation and respiratory acidosis in the European hamster." </t>
    </r>
    <r>
      <rPr>
        <i/>
        <sz val="10"/>
        <color rgb="FF222222"/>
        <rFont val="Arial"/>
        <family val="2"/>
      </rPr>
      <t>Journal of Comparative Physiology B: Biochemical, Systemic, and Environmental Physiology</t>
    </r>
    <r>
      <rPr>
        <sz val="10"/>
        <color rgb="FF222222"/>
        <rFont val="Arial"/>
        <family val="2"/>
      </rPr>
      <t> 156.2 (1985): 251-258.</t>
    </r>
  </si>
  <si>
    <r>
      <t>Wood, Stephen C., and Karl E. Schaefer. "Regulation of intracellular pH in lungs and other tissues during hypercapnia." </t>
    </r>
    <r>
      <rPr>
        <i/>
        <sz val="10"/>
        <color rgb="FF222222"/>
        <rFont val="Arial"/>
        <family val="2"/>
      </rPr>
      <t>Journal of Applied Physiology</t>
    </r>
    <r>
      <rPr>
        <sz val="10"/>
        <color rgb="FF222222"/>
        <rFont val="Arial"/>
        <family val="2"/>
      </rPr>
      <t> 45.1 (1978): 115-118.</t>
    </r>
  </si>
  <si>
    <r>
      <t>Schanker, LEWIS S., and MICHAEL J. Less. "Lung pH and pulmonary absorption of nonvolatile drugs in the rat." </t>
    </r>
    <r>
      <rPr>
        <i/>
        <sz val="10"/>
        <color rgb="FF222222"/>
        <rFont val="Arial"/>
        <family val="2"/>
      </rPr>
      <t>Drug Metabolism and Disposition</t>
    </r>
    <r>
      <rPr>
        <sz val="10"/>
        <color rgb="FF222222"/>
        <rFont val="Arial"/>
        <family val="2"/>
      </rPr>
      <t> 5.2 (1977): 174-178.</t>
    </r>
  </si>
  <si>
    <r>
      <t>Harrison, D. K., and W. F. Walker. "Micro‐electrode measurement of skin pH in humans during ischaemia, hypoxia and local hypothermia." </t>
    </r>
    <r>
      <rPr>
        <i/>
        <sz val="10"/>
        <color rgb="FF222222"/>
        <rFont val="Arial"/>
        <family val="2"/>
      </rPr>
      <t>The Journal of physiology</t>
    </r>
    <r>
      <rPr>
        <sz val="10"/>
        <color rgb="FF222222"/>
        <rFont val="Arial"/>
        <family val="2"/>
      </rPr>
      <t> 291.1 (1979): 339-350.</t>
    </r>
  </si>
  <si>
    <r>
      <t>Civelek, Vildan N., et al. "Intracellular pH in adipocytes: effects of free fatty acid diffusion across the plasma membrane, lipolytic agonists, and insulin." </t>
    </r>
    <r>
      <rPr>
        <i/>
        <sz val="10"/>
        <color rgb="FF222222"/>
        <rFont val="Arial"/>
        <family val="2"/>
      </rPr>
      <t>Proceedings of the National Academy of Sciences</t>
    </r>
    <r>
      <rPr>
        <sz val="10"/>
        <color rgb="FF222222"/>
        <rFont val="Arial"/>
        <family val="2"/>
      </rPr>
      <t> 93.19 (1996): 10139-10144.</t>
    </r>
  </si>
  <si>
    <r>
      <t>Rodgers, Trudy, David Leahy, and Malcolm Rowland. "Physiologically based pharmacokinetic modeling 1: predicting the tissue distribution of moderate‐to‐strong bases." </t>
    </r>
    <r>
      <rPr>
        <i/>
        <sz val="10"/>
        <color rgb="FF222222"/>
        <rFont val="Arial"/>
        <family val="2"/>
      </rPr>
      <t>Journal of pharmaceutical sciences</t>
    </r>
    <r>
      <rPr>
        <sz val="10"/>
        <color rgb="FF222222"/>
        <rFont val="Arial"/>
        <family val="2"/>
      </rPr>
      <t> 94.6 (2005): 1259-1276.</t>
    </r>
  </si>
  <si>
    <r>
      <t>International Commission on Radiological Protection. Task Group on Reference Man. </t>
    </r>
    <r>
      <rPr>
        <i/>
        <sz val="10"/>
        <color rgb="FF222222"/>
        <rFont val="Arial"/>
        <family val="2"/>
      </rPr>
      <t>Report of the Task Group on Reference Man: A Report</t>
    </r>
    <r>
      <rPr>
        <sz val="10"/>
        <color rgb="FF222222"/>
        <rFont val="Arial"/>
        <family val="2"/>
      </rPr>
      <t>. Vol. 23. Pergamon Press, 1975.</t>
    </r>
  </si>
  <si>
    <r>
      <t>Kawai, Ryosei, et al. "Physiologically based pharmacokinetic study on a cyclosporin derivative, SDZ IMM 125." </t>
    </r>
    <r>
      <rPr>
        <i/>
        <sz val="10"/>
        <color rgb="FF222222"/>
        <rFont val="Arial"/>
        <family val="2"/>
      </rPr>
      <t>Journal of pharmacokinetics and biopharmaceutics</t>
    </r>
    <r>
      <rPr>
        <sz val="10"/>
        <color rgb="FF222222"/>
        <rFont val="Arial"/>
        <family val="2"/>
      </rPr>
      <t> 22.5 (1994): 327-365.</t>
    </r>
  </si>
  <si>
    <t>References:</t>
  </si>
  <si>
    <r>
      <t>Ruark, Christopher D., et al. "Predicting passive and active tissue: plasma partition coefficients: interindividual and interspecies variability." </t>
    </r>
    <r>
      <rPr>
        <i/>
        <sz val="10"/>
        <color rgb="FF222222"/>
        <rFont val="Arial"/>
        <family val="2"/>
      </rPr>
      <t>Journal of pharmaceutical sciences</t>
    </r>
    <r>
      <rPr>
        <sz val="10"/>
        <color rgb="FF222222"/>
        <rFont val="Arial"/>
        <family val="2"/>
      </rPr>
      <t> 103.7 (2014): 2189-2198.</t>
    </r>
  </si>
  <si>
    <t>References</t>
  </si>
  <si>
    <t>EPA, Physiological Parameters Database for PBPK Modeling</t>
  </si>
  <si>
    <t>Monkey</t>
  </si>
  <si>
    <t>Gauvin, David V. "Electrocardiogram, hemodynamics, and core body temperatures of the normal freely moving cynomolgus monkey by remote radiotelemetry", Journal of Pharmacological and Toxicological Methods</t>
  </si>
  <si>
    <t>RabbitRaw</t>
  </si>
  <si>
    <t>Davies and Morris 1993</t>
  </si>
  <si>
    <t>Physiological Parameter Values for PBPK Models, ILSI-RSI, 1994</t>
  </si>
  <si>
    <t>ILSI-RSI 1994</t>
  </si>
  <si>
    <t>b</t>
  </si>
  <si>
    <t>Davies and Morris, 1993</t>
  </si>
  <si>
    <t>c</t>
  </si>
  <si>
    <t>Pearce et al., 2017</t>
  </si>
  <si>
    <t>b,c</t>
  </si>
  <si>
    <t>Davies 1993</t>
  </si>
  <si>
    <t>Pearce 2017</t>
  </si>
  <si>
    <t>Pulmonary Ventilation Rate</t>
  </si>
  <si>
    <t>l/h/kg^(3/4)</t>
  </si>
  <si>
    <t>Alveolar Dead Space Fraction</t>
  </si>
  <si>
    <t>Notes:  Monkey values for pulmonary ventilation rate and alveolar dead space are set equal to corresponding human values, in the absence of known measurements.</t>
  </si>
  <si>
    <t xml:space="preserve">Rat pulmonary ventilation and alveolar dead space fraction values have been assigned to the species other than human and monkey. </t>
  </si>
  <si>
    <t>Placenta</t>
  </si>
  <si>
    <t>f Placenta values transferred from hard-coded sequence in predict_partitioning_schmitt, where fractions of total lipid comprised by neutral lipid, neutral phospholipid, and acidic phospholipid are tentatively calculated as the average of the corresponding values for all other listed tissues in the human.</t>
  </si>
  <si>
    <t>d Values taken from ([Waddell and Bates, 1969], [Malan et al., 1985], [Wood and Schaefer, 1978], [Schanker and Less, 1977], [Harrison and Walker, 1979] and [Civelek et al., 1996]). Mean values were calculated when more than one value was found for the same tissue.</t>
  </si>
  <si>
    <r>
      <t>Fraction of total volume</t>
    </r>
    <r>
      <rPr>
        <b/>
        <vertAlign val="superscript"/>
        <sz val="11"/>
        <color indexed="8"/>
        <rFont val="Calibri"/>
        <family val="2"/>
      </rPr>
      <t>a,g</t>
    </r>
  </si>
  <si>
    <r>
      <t>Fraction of cell volume</t>
    </r>
    <r>
      <rPr>
        <b/>
        <vertAlign val="superscript"/>
        <sz val="11"/>
        <color indexed="8"/>
        <rFont val="Calibri"/>
        <family val="2"/>
      </rPr>
      <t>b,h</t>
    </r>
  </si>
  <si>
    <t>g Thyroid values taken from Pilari et al. 2017's "Development of Physiologically…" with tissue total volume fractions normalized to exclude vascular and luminal space. That is, the same total thyroid volume is assumed to be made up of cellular and interstitial components only, in proportion to one another as presented in the Pilari et al. 2017 data.</t>
  </si>
  <si>
    <t xml:space="preserve">h Thyroid fractional cellular volume components are computed using the Pilari et al. 2017 data, with the help of a key assumption. After the total thyroid volume is assumed to be made up of only cells and interstitum, the interstitium is assumed to be made up of 100% volume. That leaves the protein and lipid content in the tissue to be assumed to be only in the cellular component. With these assumptions, the Pilari data gives numbers from which each of the cellular volume fractions of water, lipid, and protein can be directly calculated. For instance, the cellular volume that is made up of water is ( the tissue volume fraction of cellular water ) divided by ( the tissue volume fraction of cells ).  </t>
  </si>
  <si>
    <r>
      <t>Fraction of total lipid</t>
    </r>
    <r>
      <rPr>
        <b/>
        <vertAlign val="superscript"/>
        <sz val="11"/>
        <color theme="1"/>
        <rFont val="Calibri"/>
        <family val="2"/>
        <scheme val="minor"/>
      </rPr>
      <t>i</t>
    </r>
  </si>
  <si>
    <t xml:space="preserve">Pilari et al. "Development of Physiologically Based Organ Models to Evaluate the Pharmacokinetics of Drugs in the Testes and the Thyroid Gland." CPT Pharmacometrics Syst. Pharmacol. (2017) 6, 532–542. PMID 28571120. </t>
  </si>
  <si>
    <t xml:space="preserve">i For the fractional volumes of total lipid content, the neutral lipid fraction is determined by subtracting Pilari et al.'s number for total phospholipid from total lipid, as they indicate that they meant to do in table 2, though they presented a number inconsistent with this method. The neutral phospholipid fraction of the total lipid content was computed simply as the neutral phospholipid tissue volume fraction divided by the total lipid tissue volume fraction. The acidic phospholipid fraction of the total lipid content was computed similarly, though the acidic phospholipid tissue volume fraction was calculated by converting from units of ( mg acidic phospholipid per g tissue ) to ( g acidic phospholipid per g tissue), with an assumption that the weight fraction is equivalent to the volume fraction. </t>
  </si>
  <si>
    <t>Pilari et al. 2017; Chow et al. 1982</t>
  </si>
  <si>
    <t xml:space="preserve">Chow et al. "Effects of Thyrotropin, Acetazolamide…" Journal of Pharmacology and Experimental Therapeutics 225.1 (1982): 17-23. </t>
  </si>
  <si>
    <r>
      <t>pH</t>
    </r>
    <r>
      <rPr>
        <b/>
        <vertAlign val="superscript"/>
        <sz val="11"/>
        <color indexed="8"/>
        <rFont val="Calibri"/>
        <family val="2"/>
      </rPr>
      <t>d,j</t>
    </r>
  </si>
  <si>
    <t>Wangemann et al. "Developmental delays consistent with cochlear hypothyroidism contribute to failure to develop hearing in mice lacking Slc26a4/pendrin expression." American Journal of Physiology: Renal Physiology. 2009;297(5):F1435-F1447.</t>
  </si>
  <si>
    <t xml:space="preserve">j Human thyroid tissue pH is estimated at 7.3, based on the measurements of turtle thyroid follicular cell pH made by Chow et al. 1982. Also, according to a study of mice by Wangemann et al. in 2009, thyroid follicular pH was measured at 7.6. </t>
  </si>
  <si>
    <r>
      <t>Reference</t>
    </r>
    <r>
      <rPr>
        <b/>
        <vertAlign val="superscript"/>
        <sz val="11"/>
        <color theme="1"/>
        <rFont val="Calibri"/>
        <family val="2"/>
        <scheme val="minor"/>
      </rPr>
      <t>k</t>
    </r>
  </si>
  <si>
    <t xml:space="preserve">k Httk collaborators have generally used estimates for placental parameters based on rapidly perfused tissue generally, and that is how the placental parameters were set here. More information on this estimate process is needed. </t>
  </si>
  <si>
    <t xml:space="preserve"> K.H. Lee. "Correlation between fetal acid-base status and the Apgar score." Postgraduate Medical Journal: (1972) 48, 405-408.</t>
  </si>
  <si>
    <t>Httk estimate, various references needed; Lee 1972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</si>
</sst>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17" x14ac:knownFonts="1">
    <font>
      <sz val="11"/>
      <color theme="1"/>
      <name val="Calibri"/>
      <family val="2"/>
      <scheme val="minor"/>
    </font>
    <font>
      <vertAlign val="superscript"/>
      <sz val="11"/>
      <color indexed="8"/>
      <name val="Calibri"/>
      <family val="2"/>
    </font>
    <font>
      <u/>
      <sz val="11"/>
      <color theme="10"/>
      <name val="Calibri"/>
      <family val="2"/>
    </font>
    <font>
      <b/>
      <sz val="11"/>
      <color theme="1"/>
      <name val="Calibri"/>
      <family val="2"/>
      <scheme val="minor"/>
    </font>
    <font>
      <i/>
      <sz val="11"/>
      <color theme="1"/>
      <name val="Calibri"/>
      <family val="2"/>
      <scheme val="minor"/>
    </font>
    <font>
      <sz val="9"/>
      <color rgb="FF000000"/>
      <name val="Arial"/>
      <family val="2"/>
    </font>
    <font>
      <i/>
      <sz val="9"/>
      <color rgb="FF000000"/>
      <name val="Arial"/>
      <family val="2"/>
    </font>
    <font>
      <sz val="12"/>
      <color rgb="FF000000"/>
      <name val="Times New Roman"/>
      <family val="1"/>
    </font>
    <font>
      <sz val="9.3000000000000007"/>
      <color rgb="FF000000"/>
      <name val="Times New Roman"/>
      <family val="1"/>
    </font>
    <font>
      <vertAlign val="superscript"/>
      <sz val="11"/>
      <color rgb="FF000000"/>
      <name val="Times New Roman"/>
      <family val="1"/>
    </font>
    <font>
      <i/>
      <sz val="9.3000000000000007"/>
      <color rgb="FF000000"/>
      <name val="Times New Roman"/>
      <family val="1"/>
    </font>
    <font>
      <b/>
      <vertAlign val="superscript"/>
      <sz val="11"/>
      <color indexed="8"/>
      <name val="Calibri"/>
      <family val="2"/>
    </font>
    <font>
      <sz val="9"/>
      <color indexed="81"/>
      <name val="Tahoma"/>
      <family val="2"/>
    </font>
    <font>
      <b/>
      <sz val="9"/>
      <color indexed="81"/>
      <name val="Tahoma"/>
      <family val="2"/>
    </font>
    <font>
      <sz val="10"/>
      <color rgb="FF222222"/>
      <name val="Arial"/>
      <family val="2"/>
    </font>
    <font>
      <i/>
      <sz val="10"/>
      <color rgb="FF222222"/>
      <name val="Arial"/>
      <family val="2"/>
    </font>
    <font>
      <b/>
      <vertAlign val="superscript"/>
      <sz val="11"/>
      <color theme="1"/>
      <name val="Calibri"/>
      <family val="2"/>
      <scheme val="minor"/>
    </font>
  </fonts>
  <fills count="4">
    <fill>
      <patternFill patternType="none"/>
    </fill>
    <fill>
      <patternFill patternType="gray125"/>
    </fill>
    <fill>
      <patternFill patternType="solid">
        <fgColor rgb="FFFFFFFF"/>
        <bgColor indexed="64"/>
      </patternFill>
    </fill>
    <fill>
      <patternFill patternType="solid">
        <fgColor rgb="FFFFFF00"/>
        <bgColor indexed="64"/>
      </patternFill>
    </fill>
  </fills>
  <borders count="3">
    <border>
      <left/>
      <right/>
      <top/>
      <bottom/>
      <diagonal/>
    </border>
    <border>
      <left/>
      <right/>
      <top style="medium">
        <color rgb="FF000000"/>
      </top>
      <bottom/>
      <diagonal/>
    </border>
    <border>
      <left/>
      <right/>
      <top/>
      <bottom style="medium">
        <color rgb="FF000000"/>
      </bottom>
      <diagonal/>
    </border>
  </borders>
  <cellStyleXfs count="2">
    <xf numFmtId="0" fontId="0" fillId="0" borderId="0"/>
    <xf numFmtId="0" fontId="2" fillId="0" borderId="0" applyNumberFormat="0" applyFill="0" applyBorder="0" applyAlignment="0" applyProtection="0">
      <alignment vertical="top"/>
      <protection locked="0"/>
    </xf>
  </cellStyleXfs>
  <cellXfs count="33">
    <xf numFmtId="0" fontId="0" fillId="0" borderId="0" xfId="0"/>
    <xf numFmtId="0" fontId="3" fillId="0" borderId="0" xfId="0" applyFont="1"/>
    <xf numFmtId="2" fontId="0" fillId="0" borderId="0" xfId="0" applyNumberFormat="1"/>
    <xf numFmtId="164" fontId="0" fillId="0" borderId="0" xfId="0" applyNumberFormat="1"/>
    <xf numFmtId="165" fontId="0" fillId="0" borderId="0" xfId="0" applyNumberFormat="1"/>
    <xf numFmtId="164" fontId="4" fillId="0" borderId="0" xfId="0" applyNumberFormat="1" applyFont="1"/>
    <xf numFmtId="165" fontId="4" fillId="0" borderId="0" xfId="0" applyNumberFormat="1" applyFont="1"/>
    <xf numFmtId="11" fontId="0" fillId="0" borderId="0" xfId="0" applyNumberFormat="1"/>
    <xf numFmtId="0" fontId="5" fillId="0" borderId="0" xfId="0" applyFont="1"/>
    <xf numFmtId="2" fontId="4" fillId="0" borderId="0" xfId="0" applyNumberFormat="1" applyFont="1"/>
    <xf numFmtId="0" fontId="8" fillId="2" borderId="0" xfId="0" applyFont="1" applyFill="1" applyAlignment="1">
      <alignment vertical="top" wrapText="1"/>
    </xf>
    <xf numFmtId="0" fontId="8" fillId="2" borderId="0" xfId="0" applyFont="1" applyFill="1" applyAlignment="1">
      <alignment horizontal="center" vertical="top" wrapText="1"/>
    </xf>
    <xf numFmtId="0" fontId="2" fillId="2" borderId="0" xfId="1" applyFill="1" applyAlignment="1" applyProtection="1">
      <alignment horizontal="center" vertical="top" wrapText="1"/>
    </xf>
    <xf numFmtId="0" fontId="8" fillId="2" borderId="1" xfId="0" applyFont="1" applyFill="1" applyBorder="1" applyAlignment="1">
      <alignment vertical="top" wrapText="1"/>
    </xf>
    <xf numFmtId="0" fontId="8" fillId="2" borderId="1" xfId="0" applyFont="1" applyFill="1" applyBorder="1" applyAlignment="1">
      <alignment horizontal="center" vertical="top" wrapText="1"/>
    </xf>
    <xf numFmtId="0" fontId="8" fillId="2" borderId="2" xfId="0" applyFont="1" applyFill="1" applyBorder="1" applyAlignment="1">
      <alignment vertical="top" wrapText="1"/>
    </xf>
    <xf numFmtId="0" fontId="8" fillId="2" borderId="2" xfId="0" applyFont="1" applyFill="1" applyBorder="1" applyAlignment="1">
      <alignment horizontal="center" vertical="top" wrapText="1"/>
    </xf>
    <xf numFmtId="0" fontId="0" fillId="2" borderId="2" xfId="0" applyFill="1" applyBorder="1"/>
    <xf numFmtId="0" fontId="7" fillId="0" borderId="0" xfId="0" applyFont="1"/>
    <xf numFmtId="0" fontId="8" fillId="2" borderId="0" xfId="0" applyFont="1" applyFill="1" applyBorder="1" applyAlignment="1">
      <alignment horizontal="center" vertical="top" wrapText="1"/>
    </xf>
    <xf numFmtId="0" fontId="0" fillId="0" borderId="0" xfId="0" applyAlignment="1">
      <alignment horizontal="left"/>
    </xf>
    <xf numFmtId="11" fontId="0" fillId="0" borderId="0" xfId="0" applyNumberFormat="1" applyAlignment="1">
      <alignment horizontal="left"/>
    </xf>
    <xf numFmtId="2" fontId="0" fillId="0" borderId="0" xfId="0" applyNumberFormat="1" applyAlignment="1">
      <alignment horizontal="left"/>
    </xf>
    <xf numFmtId="0" fontId="3" fillId="0" borderId="0" xfId="0" applyFont="1" applyAlignment="1">
      <alignment horizontal="left"/>
    </xf>
    <xf numFmtId="0" fontId="0" fillId="0" borderId="0" xfId="0" applyAlignment="1">
      <alignment horizontal="center"/>
    </xf>
    <xf numFmtId="0" fontId="14" fillId="0" borderId="0" xfId="0" applyFont="1"/>
    <xf numFmtId="0" fontId="0" fillId="0" borderId="0" xfId="0" applyFill="1"/>
    <xf numFmtId="0" fontId="3" fillId="0" borderId="0" xfId="0" applyFont="1" applyFill="1"/>
    <xf numFmtId="0" fontId="0" fillId="0" borderId="0" xfId="0" applyFont="1"/>
    <xf numFmtId="0" fontId="0" fillId="0" borderId="0" xfId="0" applyAlignment="1">
      <alignment horizontal="center"/>
    </xf>
    <xf numFmtId="11" fontId="0" fillId="3" borderId="0" xfId="0" applyNumberFormat="1" applyFill="1" applyAlignment="1">
      <alignment horizontal="left"/>
    </xf>
    <xf numFmtId="0" fontId="3" fillId="0" borderId="0" xfId="0" applyFont="1" applyAlignment="1">
      <alignment horizontal="center"/>
    </xf>
    <xf numFmtId="0" fontId="0" fillId="0" borderId="0" xfId="0" applyAlignment="1">
      <alignment horizontal="center"/>
    </xf>
  </cellXfs>
  <cellStyles count="2">
    <cellStyle name="Hyperlink" xfId="1" builtinId="8"/>
    <cellStyle name="Normal" xfId="0" builtinId="0"/>
  </cellStyles>
  <dxfs count="6">
    <dxf>
      <numFmt numFmtId="165" formatCode="0.000"/>
    </dxf>
    <dxf>
      <numFmt numFmtId="165" formatCode="0.000"/>
    </dxf>
    <dxf>
      <numFmt numFmtId="165" formatCode="0.000"/>
    </dxf>
    <dxf>
      <numFmt numFmtId="165" formatCode="0.000"/>
    </dxf>
    <dxf>
      <numFmt numFmtId="165" formatCode="0.000"/>
    </dxf>
    <dxf>
      <numFmt numFmtId="165" formatCode="0.00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B35B52E-DAB3-4133-BB0A-E817A59A59D5}" name="Table1" displayName="Table1" ref="A1:H17" totalsRowShown="0">
  <autoFilter ref="A1:H17" xr:uid="{48C012F2-270A-4595-A0D1-2F8944A01E8D}"/>
  <tableColumns count="8">
    <tableColumn id="1" xr3:uid="{36311C77-E515-44E1-B849-6BDC951DE56C}" name="Parameter"/>
    <tableColumn id="2" xr3:uid="{7776CC9B-A6DC-4860-ACD5-A0A0A5E9CE64}" name="Units"/>
    <tableColumn id="3" xr3:uid="{15048B8E-74C6-4F01-B347-1F3D1D0BCE1D}" name="Mouse" dataDxfId="5"/>
    <tableColumn id="4" xr3:uid="{E035F9F8-6099-41AD-990A-4304E517B6C9}" name="Rat" dataDxfId="4"/>
    <tableColumn id="5" xr3:uid="{2E4828F3-DFE8-4579-AE84-23E4C814C8A5}" name="Dog" dataDxfId="3"/>
    <tableColumn id="6" xr3:uid="{777167EB-4D9E-4E37-9FB5-C616859928D2}" name="Human" dataDxfId="2"/>
    <tableColumn id="7" xr3:uid="{C5ED6305-3946-434D-A087-079BFCE338DD}" name="Rabbit" dataDxfId="1"/>
    <tableColumn id="8" xr3:uid="{1377A546-F4C2-437C-9EA2-83B9CAE992D5}" name="Monkey" dataDxfId="0"/>
  </tableColumns>
  <tableStyleInfo name="TableStyleMedium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8" Type="http://schemas.openxmlformats.org/officeDocument/2006/relationships/hyperlink" Target="http://www.ncbi.nlm.nih.gov/pmc/articles/PMC3243481/table/tbl1/" TargetMode="External"/><Relationship Id="rId13" Type="http://schemas.openxmlformats.org/officeDocument/2006/relationships/hyperlink" Target="http://www.ncbi.nlm.nih.gov/pmc/articles/PMC3243481/table/tbl1/" TargetMode="External"/><Relationship Id="rId18" Type="http://schemas.openxmlformats.org/officeDocument/2006/relationships/hyperlink" Target="http://www.ncbi.nlm.nih.gov/pmc/articles/PMC3243481/table/tbl1/" TargetMode="External"/><Relationship Id="rId3" Type="http://schemas.openxmlformats.org/officeDocument/2006/relationships/hyperlink" Target="http://www.ncbi.nlm.nih.gov/pmc/articles/PMC3243481/table/tbl1/" TargetMode="External"/><Relationship Id="rId21" Type="http://schemas.openxmlformats.org/officeDocument/2006/relationships/hyperlink" Target="http://www.ncbi.nlm.nih.gov/pmc/articles/PMC3243481/table/tbl1/" TargetMode="External"/><Relationship Id="rId7" Type="http://schemas.openxmlformats.org/officeDocument/2006/relationships/hyperlink" Target="http://www.ncbi.nlm.nih.gov/pmc/articles/PMC3243481/table/tbl1/" TargetMode="External"/><Relationship Id="rId12" Type="http://schemas.openxmlformats.org/officeDocument/2006/relationships/hyperlink" Target="http://www.ncbi.nlm.nih.gov/pmc/articles/PMC3243481/table/tbl1/" TargetMode="External"/><Relationship Id="rId17" Type="http://schemas.openxmlformats.org/officeDocument/2006/relationships/hyperlink" Target="http://www.ncbi.nlm.nih.gov/pmc/articles/PMC3243481/table/tbl1/" TargetMode="External"/><Relationship Id="rId2" Type="http://schemas.openxmlformats.org/officeDocument/2006/relationships/hyperlink" Target="http://www.ncbi.nlm.nih.gov/pmc/articles/PMC3243481/table/tbl1/" TargetMode="External"/><Relationship Id="rId16" Type="http://schemas.openxmlformats.org/officeDocument/2006/relationships/hyperlink" Target="http://www.ncbi.nlm.nih.gov/pmc/articles/PMC3243481/table/tbl1/" TargetMode="External"/><Relationship Id="rId20" Type="http://schemas.openxmlformats.org/officeDocument/2006/relationships/hyperlink" Target="http://www.ncbi.nlm.nih.gov/pmc/articles/PMC3243481/table/tbl1/" TargetMode="External"/><Relationship Id="rId1" Type="http://schemas.openxmlformats.org/officeDocument/2006/relationships/hyperlink" Target="http://www.ncbi.nlm.nih.gov/pmc/articles/PMC3243481/table/tbl1/" TargetMode="External"/><Relationship Id="rId6" Type="http://schemas.openxmlformats.org/officeDocument/2006/relationships/hyperlink" Target="http://www.ncbi.nlm.nih.gov/pmc/articles/PMC3243481/table/tbl1/" TargetMode="External"/><Relationship Id="rId11" Type="http://schemas.openxmlformats.org/officeDocument/2006/relationships/hyperlink" Target="http://www.ncbi.nlm.nih.gov/pmc/articles/PMC3243481/table/tbl1/" TargetMode="External"/><Relationship Id="rId5" Type="http://schemas.openxmlformats.org/officeDocument/2006/relationships/hyperlink" Target="http://www.ncbi.nlm.nih.gov/pmc/articles/PMC3243481/table/tbl1/" TargetMode="External"/><Relationship Id="rId15" Type="http://schemas.openxmlformats.org/officeDocument/2006/relationships/hyperlink" Target="http://www.ncbi.nlm.nih.gov/pmc/articles/PMC3243481/table/tbl1/" TargetMode="External"/><Relationship Id="rId10" Type="http://schemas.openxmlformats.org/officeDocument/2006/relationships/hyperlink" Target="http://www.ncbi.nlm.nih.gov/pmc/articles/PMC3243481/table/tbl1/" TargetMode="External"/><Relationship Id="rId19" Type="http://schemas.openxmlformats.org/officeDocument/2006/relationships/hyperlink" Target="http://www.ncbi.nlm.nih.gov/pmc/articles/PMC3243481/table/tbl1/" TargetMode="External"/><Relationship Id="rId4" Type="http://schemas.openxmlformats.org/officeDocument/2006/relationships/hyperlink" Target="http://www.ncbi.nlm.nih.gov/pmc/articles/PMC3243481/table/tbl1/" TargetMode="External"/><Relationship Id="rId9" Type="http://schemas.openxmlformats.org/officeDocument/2006/relationships/hyperlink" Target="http://www.ncbi.nlm.nih.gov/pmc/articles/PMC3243481/table/tbl1/" TargetMode="External"/><Relationship Id="rId14" Type="http://schemas.openxmlformats.org/officeDocument/2006/relationships/hyperlink" Target="http://www.ncbi.nlm.nih.gov/pmc/articles/PMC3243481/table/tbl1/" TargetMode="External"/><Relationship Id="rId22"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29"/>
  <sheetViews>
    <sheetView tabSelected="1" topLeftCell="A2" workbookViewId="0">
      <selection activeCell="G12" sqref="G12"/>
    </sheetView>
  </sheetViews>
  <sheetFormatPr defaultRowHeight="15" x14ac:dyDescent="0.25"/>
  <cols>
    <col min="1" max="1" width="30.28515625" customWidth="1"/>
    <col min="3" max="7" width="11.5703125" bestFit="1" customWidth="1"/>
    <col min="8" max="8" width="10.28515625" customWidth="1"/>
  </cols>
  <sheetData>
    <row r="1" spans="1:8" ht="21" x14ac:dyDescent="0.3">
      <c r="A1" t="s">
        <v>76</v>
      </c>
      <c r="B1" t="s">
        <v>77</v>
      </c>
      <c r="C1" t="s">
        <v>34</v>
      </c>
      <c r="D1" t="s">
        <v>17</v>
      </c>
      <c r="E1" t="s">
        <v>18</v>
      </c>
      <c r="F1" t="s">
        <v>35</v>
      </c>
      <c r="G1" t="s">
        <v>104</v>
      </c>
      <c r="H1" t="s">
        <v>339</v>
      </c>
    </row>
    <row r="2" spans="1:8" x14ac:dyDescent="0.25">
      <c r="A2" t="s">
        <v>78</v>
      </c>
      <c r="B2" t="s">
        <v>113</v>
      </c>
      <c r="C2" s="4">
        <f>14.5/C5</f>
        <v>725</v>
      </c>
      <c r="D2" s="4">
        <f>167/D5</f>
        <v>668</v>
      </c>
      <c r="E2" s="4">
        <f>6036/E5</f>
        <v>603.6</v>
      </c>
      <c r="F2" s="4">
        <f>42000/F5</f>
        <v>600</v>
      </c>
      <c r="G2" s="4">
        <v>716</v>
      </c>
      <c r="H2" s="4">
        <f>3465/5</f>
        <v>693</v>
      </c>
    </row>
    <row r="3" spans="1:8" x14ac:dyDescent="0.25">
      <c r="A3" t="s">
        <v>79</v>
      </c>
      <c r="B3" t="s">
        <v>113</v>
      </c>
      <c r="C3" s="4">
        <f>1/C5</f>
        <v>50</v>
      </c>
      <c r="D3" s="4">
        <f>7.8/D5</f>
        <v>31.2</v>
      </c>
      <c r="E3" s="4">
        <f>515/E5</f>
        <v>51.5</v>
      </c>
      <c r="F3" s="4">
        <f>3000/F5</f>
        <v>42.857142857142854</v>
      </c>
      <c r="G3" s="4">
        <v>44</v>
      </c>
      <c r="H3" s="4">
        <f>224/5</f>
        <v>44.8</v>
      </c>
    </row>
    <row r="4" spans="1:8" x14ac:dyDescent="0.25">
      <c r="A4" t="s">
        <v>33</v>
      </c>
      <c r="B4" t="s">
        <v>108</v>
      </c>
      <c r="C4" s="4">
        <f>Flows!H3</f>
        <v>150.42412372345572</v>
      </c>
      <c r="D4" s="4">
        <f>Flows!I3</f>
        <v>209.30360723121805</v>
      </c>
      <c r="E4" s="4">
        <f>Flows!J3</f>
        <v>213.3935292046707</v>
      </c>
      <c r="F4" s="4">
        <f>Flows!K3</f>
        <v>231.40060868152614</v>
      </c>
      <c r="G4" s="4">
        <v>212</v>
      </c>
      <c r="H4" s="4">
        <f>Flows!L3</f>
        <v>324.78975528124914</v>
      </c>
    </row>
    <row r="5" spans="1:8" x14ac:dyDescent="0.25">
      <c r="A5" t="s">
        <v>80</v>
      </c>
      <c r="B5" t="s">
        <v>81</v>
      </c>
      <c r="C5" s="4">
        <v>0.02</v>
      </c>
      <c r="D5" s="4">
        <v>0.25</v>
      </c>
      <c r="E5" s="4">
        <v>10</v>
      </c>
      <c r="F5" s="4">
        <v>70</v>
      </c>
      <c r="G5" s="4">
        <v>2.5</v>
      </c>
      <c r="H5" s="4">
        <v>5</v>
      </c>
    </row>
    <row r="6" spans="1:8" x14ac:dyDescent="0.25">
      <c r="A6" t="s">
        <v>82</v>
      </c>
      <c r="B6" t="s">
        <v>83</v>
      </c>
      <c r="C6" s="4">
        <f>6.2/100</f>
        <v>6.2E-2</v>
      </c>
      <c r="D6" s="4">
        <f>6.7/100</f>
        <v>6.7000000000000004E-2</v>
      </c>
      <c r="E6" s="4">
        <f>9/100</f>
        <v>0.09</v>
      </c>
      <c r="F6" s="4">
        <f>7.4/100</f>
        <v>7.400000000000001E-2</v>
      </c>
      <c r="G6" s="4">
        <v>5.7000000000000002E-2</v>
      </c>
      <c r="H6" s="4">
        <f>8.8/100</f>
        <v>8.8000000000000009E-2</v>
      </c>
    </row>
    <row r="7" spans="1:8" x14ac:dyDescent="0.25">
      <c r="A7" t="s">
        <v>84</v>
      </c>
      <c r="B7" t="s">
        <v>83</v>
      </c>
      <c r="C7" s="4">
        <f>3.27/100</f>
        <v>3.27E-2</v>
      </c>
      <c r="D7" s="4">
        <f>3.16/100</f>
        <v>3.1600000000000003E-2</v>
      </c>
      <c r="E7" s="4">
        <f>2.63/100</f>
        <v>2.63E-2</v>
      </c>
      <c r="F7" s="4">
        <f>4.18/100</f>
        <v>4.1799999999999997E-2</v>
      </c>
      <c r="G7" s="4">
        <v>3.8699999999999998E-2</v>
      </c>
      <c r="H7" s="4">
        <f>4.93/100</f>
        <v>4.9299999999999997E-2</v>
      </c>
    </row>
    <row r="8" spans="1:8" x14ac:dyDescent="0.25">
      <c r="A8" t="s">
        <v>85</v>
      </c>
      <c r="B8" t="s">
        <v>83</v>
      </c>
      <c r="C8" s="4">
        <f>1.25/100</f>
        <v>1.2500000000000001E-2</v>
      </c>
      <c r="D8" s="4">
        <f>1.81/100</f>
        <v>1.8100000000000002E-2</v>
      </c>
      <c r="E8" s="4">
        <f>0.37/100</f>
        <v>3.7000000000000002E-3</v>
      </c>
      <c r="F8" s="4">
        <f>0.18/100</f>
        <v>1.8E-3</v>
      </c>
      <c r="G8" s="4">
        <v>1.2999999999999999E-3</v>
      </c>
      <c r="H8" s="4">
        <f>0.24/100</f>
        <v>2.3999999999999998E-3</v>
      </c>
    </row>
    <row r="9" spans="1:8" x14ac:dyDescent="0.25">
      <c r="A9" t="s">
        <v>86</v>
      </c>
      <c r="B9" t="s">
        <v>87</v>
      </c>
      <c r="C9" s="4">
        <v>0.45</v>
      </c>
      <c r="D9" s="4">
        <v>0.46</v>
      </c>
      <c r="E9" s="4">
        <v>0.42</v>
      </c>
      <c r="F9" s="4">
        <v>0.44</v>
      </c>
      <c r="G9" s="4">
        <v>0.36</v>
      </c>
      <c r="H9" s="4">
        <v>0.41</v>
      </c>
    </row>
    <row r="10" spans="1:8" x14ac:dyDescent="0.25">
      <c r="A10" t="s">
        <v>71</v>
      </c>
      <c r="B10" t="s">
        <v>108</v>
      </c>
      <c r="C10" s="4">
        <f>Flows!H19</f>
        <v>1.3057649628772197E-2</v>
      </c>
      <c r="D10" s="4">
        <f>Flows!I19</f>
        <v>9.8209275164798271E-2</v>
      </c>
      <c r="E10" s="4">
        <f>Flows!J19</f>
        <v>3.704748770914422E-2</v>
      </c>
      <c r="F10" s="4">
        <f>Flows!K19</f>
        <v>4.0173716784987171E-2</v>
      </c>
      <c r="G10" s="4">
        <v>4.1700000000000001E-2</v>
      </c>
      <c r="H10" s="4">
        <f>1086/24/60/5</f>
        <v>0.15083333333333332</v>
      </c>
    </row>
    <row r="11" spans="1:8" x14ac:dyDescent="0.25">
      <c r="A11" t="s">
        <v>72</v>
      </c>
      <c r="B11" t="s">
        <v>108</v>
      </c>
      <c r="C11" s="4">
        <f>Flows!H20</f>
        <v>2.6115299257544394E-2</v>
      </c>
      <c r="D11" s="4">
        <f>Flows!I20</f>
        <v>4.4194173824159216E-2</v>
      </c>
      <c r="E11" s="4">
        <f>Flows!J20</f>
        <v>1.4818995083657686E-2</v>
      </c>
      <c r="F11" s="4">
        <f>Flows!K20</f>
        <v>1.0043429196246793E-2</v>
      </c>
      <c r="G11" s="4">
        <v>8.3299999999999999E-2</v>
      </c>
      <c r="H11" s="4">
        <f>125/24/260/5</f>
        <v>4.0064102564102561E-3</v>
      </c>
    </row>
    <row r="12" spans="1:8" x14ac:dyDescent="0.25">
      <c r="A12" t="s">
        <v>73</v>
      </c>
      <c r="B12" t="s">
        <v>108</v>
      </c>
      <c r="C12" s="4">
        <f>Flows!H21</f>
        <v>5.2648443303209502</v>
      </c>
      <c r="D12" s="4">
        <f>Flows!I21</f>
        <v>3.705239533417509</v>
      </c>
      <c r="E12" s="4">
        <f>Flows!J21</f>
        <v>10.900852783538594</v>
      </c>
      <c r="F12" s="4">
        <f>Flows!K21</f>
        <v>5.1651921580697797</v>
      </c>
      <c r="G12" s="4">
        <v>3.12</v>
      </c>
      <c r="H12" s="4">
        <f>10.4/5</f>
        <v>2.08</v>
      </c>
    </row>
    <row r="13" spans="1:8" x14ac:dyDescent="0.25">
      <c r="A13" t="s">
        <v>109</v>
      </c>
      <c r="B13" t="s">
        <v>110</v>
      </c>
      <c r="C13" s="4">
        <v>37</v>
      </c>
      <c r="D13" s="4">
        <v>38.700000000000003</v>
      </c>
      <c r="E13" s="4">
        <v>38.9</v>
      </c>
      <c r="F13" s="4">
        <v>37</v>
      </c>
      <c r="G13" s="4">
        <f>(40.1+38.6)/2</f>
        <v>39.35</v>
      </c>
      <c r="H13" s="4">
        <v>38</v>
      </c>
    </row>
    <row r="14" spans="1:8" x14ac:dyDescent="0.25">
      <c r="A14" t="s">
        <v>318</v>
      </c>
      <c r="B14" t="s">
        <v>311</v>
      </c>
      <c r="C14" s="4">
        <f xml:space="preserve"> (0.003+0.3*0.0021)/(0.003 + 0.0021+0.00088) * 0.006/(0.006+0.06+0.96)</f>
        <v>3.5498445109429094E-3</v>
      </c>
      <c r="D14" s="4">
        <f>0.0015 + 0.0008 *0.3</f>
        <v>1.74E-3</v>
      </c>
      <c r="E14" s="4">
        <f xml:space="preserve"> (0.0006+0.3*0.0015)/(0.0006 + 0.0015+0.000036) * 0.002136/(0.002136+0.09+0.92)</f>
        <v>1.0374099923330462E-3</v>
      </c>
      <c r="F14" s="4">
        <v>7.3000000000000001E-3</v>
      </c>
      <c r="G14" s="4">
        <f xml:space="preserve"> (0.001+0.3*0.0008)/(0.001 + 0.0008+0.00009) * 0.003/(0.003+0.06+0.94)</f>
        <v>1.9623668676510149E-3</v>
      </c>
      <c r="H14" s="4">
        <v>7.3000000000000001E-3</v>
      </c>
    </row>
    <row r="15" spans="1:8" x14ac:dyDescent="0.25">
      <c r="A15" t="s">
        <v>114</v>
      </c>
      <c r="B15" t="s">
        <v>311</v>
      </c>
      <c r="C15" s="4">
        <f xml:space="preserve"> 0.06/ (0.928+0.06+0.006)</f>
        <v>6.0362173038229376E-2</v>
      </c>
      <c r="D15" s="4">
        <f xml:space="preserve"> 0.06 / (0.96+0.06+0.002)</f>
        <v>5.8708414872798431E-2</v>
      </c>
      <c r="E15" s="4">
        <f>E6</f>
        <v>0.09</v>
      </c>
      <c r="F15" s="4">
        <f xml:space="preserve"> 0.07 / (0.928+0.07+0.009)</f>
        <v>6.95134061569017E-2</v>
      </c>
      <c r="G15" s="4">
        <f>G6</f>
        <v>5.7000000000000002E-2</v>
      </c>
      <c r="H15" s="4">
        <f xml:space="preserve"> 0.07 / (0.928+0.07+0.009)</f>
        <v>6.95134061569017E-2</v>
      </c>
    </row>
    <row r="16" spans="1:8" x14ac:dyDescent="0.25">
      <c r="A16" t="s">
        <v>352</v>
      </c>
      <c r="B16" t="s">
        <v>353</v>
      </c>
      <c r="C16" s="4">
        <v>24.75</v>
      </c>
      <c r="D16" s="4">
        <v>24.75</v>
      </c>
      <c r="E16" s="4">
        <v>24.75</v>
      </c>
      <c r="F16" s="4">
        <v>27.75</v>
      </c>
      <c r="G16" s="4">
        <v>24.75</v>
      </c>
      <c r="H16" s="4">
        <v>27.75</v>
      </c>
    </row>
    <row r="17" spans="1:8" x14ac:dyDescent="0.25">
      <c r="A17" t="s">
        <v>354</v>
      </c>
      <c r="B17" t="s">
        <v>311</v>
      </c>
      <c r="C17" s="4">
        <v>0.33</v>
      </c>
      <c r="D17" s="4">
        <v>0.33</v>
      </c>
      <c r="E17" s="4">
        <v>0.33</v>
      </c>
      <c r="F17" s="4">
        <v>0.33</v>
      </c>
      <c r="G17" s="4">
        <v>0.33</v>
      </c>
      <c r="H17" s="4">
        <v>0.33</v>
      </c>
    </row>
    <row r="19" spans="1:8" x14ac:dyDescent="0.25">
      <c r="A19" t="s">
        <v>355</v>
      </c>
    </row>
    <row r="20" spans="1:8" x14ac:dyDescent="0.25">
      <c r="A20" t="s">
        <v>356</v>
      </c>
    </row>
    <row r="22" spans="1:8" x14ac:dyDescent="0.25">
      <c r="A22" s="1" t="s">
        <v>335</v>
      </c>
    </row>
    <row r="23" spans="1:8" x14ac:dyDescent="0.25">
      <c r="A23" s="25" t="s">
        <v>319</v>
      </c>
    </row>
    <row r="24" spans="1:8" x14ac:dyDescent="0.25">
      <c r="A24" s="25" t="s">
        <v>320</v>
      </c>
    </row>
    <row r="25" spans="1:8" x14ac:dyDescent="0.25">
      <c r="A25" s="25" t="s">
        <v>321</v>
      </c>
    </row>
    <row r="26" spans="1:8" x14ac:dyDescent="0.25">
      <c r="A26" s="8" t="s">
        <v>111</v>
      </c>
    </row>
    <row r="27" spans="1:8" x14ac:dyDescent="0.25">
      <c r="A27" s="25" t="s">
        <v>322</v>
      </c>
    </row>
    <row r="28" spans="1:8" x14ac:dyDescent="0.25">
      <c r="A28" s="25" t="s">
        <v>323</v>
      </c>
    </row>
    <row r="29" spans="1:8" x14ac:dyDescent="0.25">
      <c r="A29" s="25" t="s">
        <v>340</v>
      </c>
    </row>
  </sheetData>
  <pageMargins left="0.7" right="0.7" top="0.75" bottom="0.75" header="0.3" footer="0.3"/>
  <pageSetup orientation="portrait" r:id="rId1"/>
  <legacyDrawing r:id="rId2"/>
  <tableParts count="1">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7"/>
  <sheetViews>
    <sheetView workbookViewId="0">
      <selection activeCell="E6" sqref="E6"/>
    </sheetView>
  </sheetViews>
  <sheetFormatPr defaultRowHeight="15" x14ac:dyDescent="0.25"/>
  <cols>
    <col min="2" max="2" width="13.140625" customWidth="1"/>
    <col min="3" max="3" width="12.28515625" customWidth="1"/>
  </cols>
  <sheetData>
    <row r="1" spans="1:10" ht="17.25" x14ac:dyDescent="0.25">
      <c r="B1" s="32" t="s">
        <v>57</v>
      </c>
      <c r="C1" s="32"/>
      <c r="D1" s="32" t="s">
        <v>56</v>
      </c>
      <c r="E1" s="32"/>
      <c r="F1" s="32"/>
      <c r="G1" s="32" t="s">
        <v>55</v>
      </c>
      <c r="H1" s="32"/>
      <c r="I1" s="32"/>
    </row>
    <row r="2" spans="1:10" ht="17.25" x14ac:dyDescent="0.25">
      <c r="B2" t="s">
        <v>54</v>
      </c>
      <c r="C2" t="s">
        <v>53</v>
      </c>
      <c r="D2" t="s">
        <v>52</v>
      </c>
      <c r="E2" t="s">
        <v>51</v>
      </c>
      <c r="F2" t="s">
        <v>50</v>
      </c>
      <c r="G2" t="s">
        <v>49</v>
      </c>
      <c r="H2" t="s">
        <v>48</v>
      </c>
      <c r="I2" t="s">
        <v>47</v>
      </c>
      <c r="J2" t="s">
        <v>46</v>
      </c>
    </row>
    <row r="3" spans="1:10" x14ac:dyDescent="0.25">
      <c r="A3" t="s">
        <v>34</v>
      </c>
      <c r="B3" s="2" t="e">
        <f>'Average Properties Calc'!B14</f>
        <v>#REF!</v>
      </c>
      <c r="C3" s="2" t="e">
        <f>'Average Properties Calc'!C14</f>
        <v>#REF!</v>
      </c>
      <c r="D3" s="2" t="e">
        <f>'Average Properties Calc'!D14</f>
        <v>#REF!</v>
      </c>
      <c r="E3" s="2" t="e">
        <f>'Average Properties Calc'!E14</f>
        <v>#REF!</v>
      </c>
      <c r="F3" s="2" t="e">
        <f>'Average Properties Calc'!F14</f>
        <v>#REF!</v>
      </c>
      <c r="G3" s="2" t="e">
        <f>'Average Properties Calc'!G14</f>
        <v>#REF!</v>
      </c>
      <c r="H3" s="2" t="e">
        <f>'Average Properties Calc'!H14</f>
        <v>#REF!</v>
      </c>
      <c r="I3" s="2" t="e">
        <f>'Average Properties Calc'!I14</f>
        <v>#REF!</v>
      </c>
      <c r="J3" s="2" t="e">
        <f>'Average Properties Calc'!J14</f>
        <v>#REF!</v>
      </c>
    </row>
    <row r="4" spans="1:10" x14ac:dyDescent="0.25">
      <c r="A4" t="s">
        <v>17</v>
      </c>
      <c r="B4" s="2" t="e">
        <f>'Average Properties Calc'!B26</f>
        <v>#REF!</v>
      </c>
      <c r="C4" s="2" t="e">
        <f>'Average Properties Calc'!C26</f>
        <v>#REF!</v>
      </c>
      <c r="D4" s="2" t="e">
        <f>'Average Properties Calc'!D26</f>
        <v>#REF!</v>
      </c>
      <c r="E4" s="2" t="e">
        <f>'Average Properties Calc'!E26</f>
        <v>#REF!</v>
      </c>
      <c r="F4" s="2" t="e">
        <f>'Average Properties Calc'!F26</f>
        <v>#REF!</v>
      </c>
      <c r="G4" s="2" t="e">
        <f>'Average Properties Calc'!G26</f>
        <v>#REF!</v>
      </c>
      <c r="H4" s="2" t="e">
        <f>'Average Properties Calc'!H26</f>
        <v>#REF!</v>
      </c>
      <c r="I4" s="2" t="e">
        <f>'Average Properties Calc'!I26</f>
        <v>#REF!</v>
      </c>
      <c r="J4" s="2" t="e">
        <f>'Average Properties Calc'!J26</f>
        <v>#REF!</v>
      </c>
    </row>
    <row r="5" spans="1:10" x14ac:dyDescent="0.25">
      <c r="A5" t="s">
        <v>18</v>
      </c>
      <c r="B5" s="2" t="e">
        <f>'Average Properties Calc'!B38</f>
        <v>#REF!</v>
      </c>
      <c r="C5" s="2" t="e">
        <f>'Average Properties Calc'!C38</f>
        <v>#REF!</v>
      </c>
      <c r="D5" s="2" t="e">
        <f>'Average Properties Calc'!D38</f>
        <v>#REF!</v>
      </c>
      <c r="E5" s="2" t="e">
        <f>'Average Properties Calc'!E38</f>
        <v>#REF!</v>
      </c>
      <c r="F5" s="2" t="e">
        <f>'Average Properties Calc'!F38</f>
        <v>#REF!</v>
      </c>
      <c r="G5" s="2" t="e">
        <f>'Average Properties Calc'!G38</f>
        <v>#REF!</v>
      </c>
      <c r="H5" s="2" t="e">
        <f>'Average Properties Calc'!H38</f>
        <v>#REF!</v>
      </c>
      <c r="I5" s="2" t="e">
        <f>'Average Properties Calc'!I38</f>
        <v>#REF!</v>
      </c>
      <c r="J5" s="2" t="e">
        <f>'Average Properties Calc'!J38</f>
        <v>#REF!</v>
      </c>
    </row>
    <row r="6" spans="1:10" x14ac:dyDescent="0.25">
      <c r="A6" t="s">
        <v>35</v>
      </c>
      <c r="B6" s="2" t="e">
        <f>'Average Properties Calc'!B50</f>
        <v>#REF!</v>
      </c>
      <c r="C6" s="2" t="e">
        <f>'Average Properties Calc'!C50</f>
        <v>#REF!</v>
      </c>
      <c r="D6" s="2" t="e">
        <f>'Average Properties Calc'!D50</f>
        <v>#REF!</v>
      </c>
      <c r="E6" s="2" t="e">
        <f>'Average Properties Calc'!E50</f>
        <v>#REF!</v>
      </c>
      <c r="F6" s="2" t="e">
        <f>'Average Properties Calc'!F50</f>
        <v>#REF!</v>
      </c>
      <c r="G6" s="2" t="e">
        <f>'Average Properties Calc'!G50</f>
        <v>#REF!</v>
      </c>
      <c r="H6" s="2" t="e">
        <f>'Average Properties Calc'!H50</f>
        <v>#REF!</v>
      </c>
      <c r="I6" s="2" t="e">
        <f>'Average Properties Calc'!I50</f>
        <v>#REF!</v>
      </c>
      <c r="J6" s="2" t="e">
        <f>'Average Properties Calc'!J50</f>
        <v>#REF!</v>
      </c>
    </row>
    <row r="7" spans="1:10" x14ac:dyDescent="0.25">
      <c r="A7" t="s">
        <v>104</v>
      </c>
      <c r="B7" s="2" t="e">
        <f>'Average Properties Calc'!B62</f>
        <v>#REF!</v>
      </c>
      <c r="C7" s="2" t="e">
        <f>'Average Properties Calc'!C62</f>
        <v>#REF!</v>
      </c>
      <c r="D7" s="2" t="e">
        <f>'Average Properties Calc'!D62</f>
        <v>#REF!</v>
      </c>
      <c r="E7" s="2" t="e">
        <f>'Average Properties Calc'!E62</f>
        <v>#REF!</v>
      </c>
      <c r="F7" s="2" t="e">
        <f>'Average Properties Calc'!F62</f>
        <v>#REF!</v>
      </c>
      <c r="G7" s="2" t="e">
        <f>'Average Properties Calc'!G62</f>
        <v>#REF!</v>
      </c>
      <c r="H7" s="2" t="e">
        <f>'Average Properties Calc'!H62</f>
        <v>#REF!</v>
      </c>
      <c r="I7" s="2" t="e">
        <f>'Average Properties Calc'!I62</f>
        <v>#REF!</v>
      </c>
      <c r="J7" s="2" t="e">
        <f>'Average Properties Calc'!J62</f>
        <v>#REF!</v>
      </c>
    </row>
  </sheetData>
  <mergeCells count="3">
    <mergeCell ref="B1:C1"/>
    <mergeCell ref="D1:F1"/>
    <mergeCell ref="G1:I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62"/>
  <sheetViews>
    <sheetView workbookViewId="0">
      <selection activeCell="B62" sqref="B62"/>
    </sheetView>
  </sheetViews>
  <sheetFormatPr defaultRowHeight="15" x14ac:dyDescent="0.25"/>
  <cols>
    <col min="3" max="3" width="15.42578125" customWidth="1"/>
  </cols>
  <sheetData>
    <row r="1" spans="1:11" ht="17.25" x14ac:dyDescent="0.25">
      <c r="B1" s="32" t="s">
        <v>57</v>
      </c>
      <c r="C1" s="32"/>
      <c r="D1" s="32" t="s">
        <v>56</v>
      </c>
      <c r="E1" s="32"/>
      <c r="F1" s="32"/>
      <c r="G1" s="32" t="s">
        <v>55</v>
      </c>
      <c r="H1" s="32"/>
      <c r="I1" s="32"/>
    </row>
    <row r="2" spans="1:11" ht="17.25" x14ac:dyDescent="0.25">
      <c r="B2" t="s">
        <v>54</v>
      </c>
      <c r="C2" t="s">
        <v>53</v>
      </c>
      <c r="D2" t="s">
        <v>52</v>
      </c>
      <c r="E2" t="s">
        <v>51</v>
      </c>
      <c r="F2" t="s">
        <v>50</v>
      </c>
      <c r="G2" t="s">
        <v>49</v>
      </c>
      <c r="H2" t="s">
        <v>48</v>
      </c>
      <c r="I2" t="s">
        <v>47</v>
      </c>
      <c r="J2" t="s">
        <v>46</v>
      </c>
    </row>
    <row r="3" spans="1:11" x14ac:dyDescent="0.25">
      <c r="A3" t="str">
        <f>TissueComp!A3</f>
        <v>Adipose</v>
      </c>
      <c r="B3" s="2" t="e">
        <f>TissueComp!D3*INDEX(VolumeFlow!$A1:$B14,MATCH('Average Properties Calc'!$A3,VolumeFlow!$A1:$A14,0),4)</f>
        <v>#REF!</v>
      </c>
      <c r="C3" s="2" t="e">
        <f>TissueComp!E3*INDEX(VolumeFlow!$A1:$B14,MATCH('Average Properties Calc'!$A3,VolumeFlow!$A1:$A14,0),4)</f>
        <v>#REF!</v>
      </c>
      <c r="D3" s="2" t="e">
        <f>TissueComp!F3*INDEX(VolumeFlow!$A1:$B14,MATCH('Average Properties Calc'!$A3,VolumeFlow!$A1:$A14,0),4)</f>
        <v>#REF!</v>
      </c>
      <c r="E3" s="2" t="e">
        <f>TissueComp!G3*INDEX(VolumeFlow!$A1:$B14,MATCH('Average Properties Calc'!$A3,VolumeFlow!$A1:$A14,0),4)</f>
        <v>#REF!</v>
      </c>
      <c r="F3" s="2" t="e">
        <f>TissueComp!H3*INDEX(VolumeFlow!$A1:$B14,MATCH('Average Properties Calc'!$A3,VolumeFlow!$A1:$A14,0),4)</f>
        <v>#REF!</v>
      </c>
      <c r="G3" s="2" t="e">
        <f>TissueComp!I3*INDEX(VolumeFlow!$A1:$B14,MATCH('Average Properties Calc'!$A3,VolumeFlow!$A1:$A14,0),4)</f>
        <v>#REF!</v>
      </c>
      <c r="H3" s="2" t="e">
        <f>TissueComp!J3*INDEX(VolumeFlow!$A1:$B14,MATCH('Average Properties Calc'!$A3,VolumeFlow!$A1:$A14,0),4)</f>
        <v>#REF!</v>
      </c>
      <c r="I3" s="2" t="e">
        <f>TissueComp!K3*INDEX(VolumeFlow!$A1:$B14,MATCH('Average Properties Calc'!$A3,VolumeFlow!$A1:$A14,0),4)</f>
        <v>#REF!</v>
      </c>
      <c r="J3" s="2" t="e">
        <f>TissueComp!L3*INDEX(VolumeFlow!$A1:$B14,MATCH('Average Properties Calc'!$A3,VolumeFlow!$A1:$A14,0),4)</f>
        <v>#REF!</v>
      </c>
      <c r="K3" t="s">
        <v>35</v>
      </c>
    </row>
    <row r="4" spans="1:11" x14ac:dyDescent="0.25">
      <c r="A4" t="str">
        <f>TissueComp!A4</f>
        <v>Bone</v>
      </c>
      <c r="B4" s="2" t="e">
        <f>TissueComp!D4*INDEX(VolumeFlow!$A2:$B15,MATCH('Average Properties Calc'!$A4,VolumeFlow!$A2:$A15,0),4)</f>
        <v>#REF!</v>
      </c>
      <c r="C4" s="2" t="e">
        <f>TissueComp!E4*INDEX(VolumeFlow!$A2:$B15,MATCH('Average Properties Calc'!$A4,VolumeFlow!$A2:$A15,0),4)</f>
        <v>#REF!</v>
      </c>
      <c r="D4" s="2" t="e">
        <f>TissueComp!F4*INDEX(VolumeFlow!$A2:$B15,MATCH('Average Properties Calc'!$A4,VolumeFlow!$A2:$A15,0),4)</f>
        <v>#REF!</v>
      </c>
      <c r="E4" s="2" t="e">
        <f>TissueComp!G4*INDEX(VolumeFlow!$A2:$B15,MATCH('Average Properties Calc'!$A4,VolumeFlow!$A2:$A15,0),4)</f>
        <v>#REF!</v>
      </c>
      <c r="F4" s="2" t="e">
        <f>TissueComp!H4*INDEX(VolumeFlow!$A2:$B15,MATCH('Average Properties Calc'!$A4,VolumeFlow!$A2:$A15,0),4)</f>
        <v>#REF!</v>
      </c>
      <c r="G4" s="2" t="e">
        <f>TissueComp!I4*INDEX(VolumeFlow!$A2:$B15,MATCH('Average Properties Calc'!$A4,VolumeFlow!$A2:$A15,0),4)</f>
        <v>#REF!</v>
      </c>
      <c r="H4" s="2" t="e">
        <f>TissueComp!J4*INDEX(VolumeFlow!$A2:$B15,MATCH('Average Properties Calc'!$A4,VolumeFlow!$A2:$A15,0),4)</f>
        <v>#REF!</v>
      </c>
      <c r="I4" s="2" t="e">
        <f>TissueComp!K4*INDEX(VolumeFlow!$A2:$B15,MATCH('Average Properties Calc'!$A4,VolumeFlow!$A2:$A15,0),4)</f>
        <v>#REF!</v>
      </c>
      <c r="J4" s="2" t="e">
        <f>TissueComp!L4*INDEX(VolumeFlow!$A2:$B15,MATCH('Average Properties Calc'!$A4,VolumeFlow!$A2:$A15,0),4)</f>
        <v>#REF!</v>
      </c>
      <c r="K4" t="s">
        <v>35</v>
      </c>
    </row>
    <row r="5" spans="1:11" x14ac:dyDescent="0.25">
      <c r="A5" t="str">
        <f>TissueComp!A5</f>
        <v>Brain</v>
      </c>
      <c r="B5" s="2" t="e">
        <f>TissueComp!D5*INDEX(VolumeFlow!$A3:$B16,MATCH('Average Properties Calc'!$A5,VolumeFlow!$A3:$A16,0),4)</f>
        <v>#REF!</v>
      </c>
      <c r="C5" s="2" t="e">
        <f>TissueComp!E5*INDEX(VolumeFlow!$A3:$B16,MATCH('Average Properties Calc'!$A5,VolumeFlow!$A3:$A16,0),4)</f>
        <v>#REF!</v>
      </c>
      <c r="D5" s="2" t="e">
        <f>TissueComp!F5*INDEX(VolumeFlow!$A3:$B16,MATCH('Average Properties Calc'!$A5,VolumeFlow!$A3:$A16,0),4)</f>
        <v>#REF!</v>
      </c>
      <c r="E5" s="2" t="e">
        <f>TissueComp!G5*INDEX(VolumeFlow!$A3:$B16,MATCH('Average Properties Calc'!$A5,VolumeFlow!$A3:$A16,0),4)</f>
        <v>#REF!</v>
      </c>
      <c r="F5" s="2" t="e">
        <f>TissueComp!H5*INDEX(VolumeFlow!$A3:$B16,MATCH('Average Properties Calc'!$A5,VolumeFlow!$A3:$A16,0),4)</f>
        <v>#REF!</v>
      </c>
      <c r="G5" s="2" t="e">
        <f>TissueComp!I5*INDEX(VolumeFlow!$A3:$B16,MATCH('Average Properties Calc'!$A5,VolumeFlow!$A3:$A16,0),4)</f>
        <v>#REF!</v>
      </c>
      <c r="H5" s="2" t="e">
        <f>TissueComp!J5*INDEX(VolumeFlow!$A3:$B16,MATCH('Average Properties Calc'!$A5,VolumeFlow!$A3:$A16,0),4)</f>
        <v>#REF!</v>
      </c>
      <c r="I5" s="2" t="e">
        <f>TissueComp!K5*INDEX(VolumeFlow!$A3:$B16,MATCH('Average Properties Calc'!$A5,VolumeFlow!$A3:$A16,0),4)</f>
        <v>#REF!</v>
      </c>
      <c r="J5" s="2" t="e">
        <f>TissueComp!L5*INDEX(VolumeFlow!$A3:$B16,MATCH('Average Properties Calc'!$A5,VolumeFlow!$A3:$A16,0),4)</f>
        <v>#REF!</v>
      </c>
      <c r="K5" t="s">
        <v>35</v>
      </c>
    </row>
    <row r="6" spans="1:11" x14ac:dyDescent="0.25">
      <c r="A6" t="str">
        <f>TissueComp!A6</f>
        <v>Gut</v>
      </c>
      <c r="B6" s="2" t="e">
        <f>TissueComp!D6*INDEX(VolumeFlow!$A4:$B17,MATCH('Average Properties Calc'!$A6,VolumeFlow!$A4:$A17,0),4)</f>
        <v>#REF!</v>
      </c>
      <c r="C6" s="2" t="e">
        <f>TissueComp!E6*INDEX(VolumeFlow!$A4:$B17,MATCH('Average Properties Calc'!$A6,VolumeFlow!$A4:$A17,0),4)</f>
        <v>#REF!</v>
      </c>
      <c r="D6" s="2" t="e">
        <f>TissueComp!F6*INDEX(VolumeFlow!$A4:$B17,MATCH('Average Properties Calc'!$A6,VolumeFlow!$A4:$A17,0),4)</f>
        <v>#REF!</v>
      </c>
      <c r="E6" s="2" t="e">
        <f>TissueComp!G6*INDEX(VolumeFlow!$A4:$B17,MATCH('Average Properties Calc'!$A6,VolumeFlow!$A4:$A17,0),4)</f>
        <v>#REF!</v>
      </c>
      <c r="F6" s="2" t="e">
        <f>TissueComp!H6*INDEX(VolumeFlow!$A4:$B17,MATCH('Average Properties Calc'!$A6,VolumeFlow!$A4:$A17,0),4)</f>
        <v>#REF!</v>
      </c>
      <c r="G6" s="2" t="e">
        <f>TissueComp!I6*INDEX(VolumeFlow!$A4:$B17,MATCH('Average Properties Calc'!$A6,VolumeFlow!$A4:$A17,0),4)</f>
        <v>#REF!</v>
      </c>
      <c r="H6" s="2" t="e">
        <f>TissueComp!J6*INDEX(VolumeFlow!$A4:$B17,MATCH('Average Properties Calc'!$A6,VolumeFlow!$A4:$A17,0),4)</f>
        <v>#REF!</v>
      </c>
      <c r="I6" s="2" t="e">
        <f>TissueComp!K6*INDEX(VolumeFlow!$A4:$B17,MATCH('Average Properties Calc'!$A6,VolumeFlow!$A4:$A17,0),4)</f>
        <v>#REF!</v>
      </c>
      <c r="J6" s="2" t="e">
        <f>TissueComp!L6*INDEX(VolumeFlow!$A4:$B17,MATCH('Average Properties Calc'!$A6,VolumeFlow!$A4:$A17,0),4)</f>
        <v>#REF!</v>
      </c>
      <c r="K6" t="s">
        <v>35</v>
      </c>
    </row>
    <row r="7" spans="1:11" x14ac:dyDescent="0.25">
      <c r="A7" t="str">
        <f>TissueComp!A7</f>
        <v>Heart</v>
      </c>
      <c r="B7" s="2" t="e">
        <f>TissueComp!D7*INDEX(VolumeFlow!$A5:$B18,MATCH('Average Properties Calc'!$A7,VolumeFlow!$A5:$A18,0),4)</f>
        <v>#REF!</v>
      </c>
      <c r="C7" s="2" t="e">
        <f>TissueComp!E7*INDEX(VolumeFlow!$A5:$B18,MATCH('Average Properties Calc'!$A7,VolumeFlow!$A5:$A18,0),4)</f>
        <v>#REF!</v>
      </c>
      <c r="D7" s="2" t="e">
        <f>TissueComp!F7*INDEX(VolumeFlow!$A5:$B18,MATCH('Average Properties Calc'!$A7,VolumeFlow!$A5:$A18,0),4)</f>
        <v>#REF!</v>
      </c>
      <c r="E7" s="2" t="e">
        <f>TissueComp!G7*INDEX(VolumeFlow!$A5:$B18,MATCH('Average Properties Calc'!$A7,VolumeFlow!$A5:$A18,0),4)</f>
        <v>#REF!</v>
      </c>
      <c r="F7" s="2" t="e">
        <f>TissueComp!H7*INDEX(VolumeFlow!$A5:$B18,MATCH('Average Properties Calc'!$A7,VolumeFlow!$A5:$A18,0),4)</f>
        <v>#REF!</v>
      </c>
      <c r="G7" s="2" t="e">
        <f>TissueComp!I7*INDEX(VolumeFlow!$A5:$B18,MATCH('Average Properties Calc'!$A7,VolumeFlow!$A5:$A18,0),4)</f>
        <v>#REF!</v>
      </c>
      <c r="H7" s="2" t="e">
        <f>TissueComp!J7*INDEX(VolumeFlow!$A5:$B18,MATCH('Average Properties Calc'!$A7,VolumeFlow!$A5:$A18,0),4)</f>
        <v>#REF!</v>
      </c>
      <c r="I7" s="2" t="e">
        <f>TissueComp!K7*INDEX(VolumeFlow!$A5:$B18,MATCH('Average Properties Calc'!$A7,VolumeFlow!$A5:$A18,0),4)</f>
        <v>#REF!</v>
      </c>
      <c r="J7" s="2" t="e">
        <f>TissueComp!L7*INDEX(VolumeFlow!$A5:$B18,MATCH('Average Properties Calc'!$A7,VolumeFlow!$A5:$A18,0),4)</f>
        <v>#REF!</v>
      </c>
      <c r="K7" t="s">
        <v>35</v>
      </c>
    </row>
    <row r="8" spans="1:11" x14ac:dyDescent="0.25">
      <c r="A8" t="str">
        <f>TissueComp!A8</f>
        <v>Kidney</v>
      </c>
      <c r="B8" s="2" t="e">
        <f>TissueComp!D8*INDEX(VolumeFlow!$A6:$B19,MATCH('Average Properties Calc'!$A8,VolumeFlow!$A6:$A19,0),4)</f>
        <v>#REF!</v>
      </c>
      <c r="C8" s="2" t="e">
        <f>TissueComp!E8*INDEX(VolumeFlow!$A6:$B19,MATCH('Average Properties Calc'!$A8,VolumeFlow!$A6:$A19,0),4)</f>
        <v>#REF!</v>
      </c>
      <c r="D8" s="2" t="e">
        <f>TissueComp!F8*INDEX(VolumeFlow!$A6:$B19,MATCH('Average Properties Calc'!$A8,VolumeFlow!$A6:$A19,0),4)</f>
        <v>#REF!</v>
      </c>
      <c r="E8" s="2" t="e">
        <f>TissueComp!G8*INDEX(VolumeFlow!$A6:$B19,MATCH('Average Properties Calc'!$A8,VolumeFlow!$A6:$A19,0),4)</f>
        <v>#REF!</v>
      </c>
      <c r="F8" s="2" t="e">
        <f>TissueComp!H8*INDEX(VolumeFlow!$A6:$B19,MATCH('Average Properties Calc'!$A8,VolumeFlow!$A6:$A19,0),4)</f>
        <v>#REF!</v>
      </c>
      <c r="G8" s="2" t="e">
        <f>TissueComp!I8*INDEX(VolumeFlow!$A6:$B19,MATCH('Average Properties Calc'!$A8,VolumeFlow!$A6:$A19,0),4)</f>
        <v>#REF!</v>
      </c>
      <c r="H8" s="2" t="e">
        <f>TissueComp!J8*INDEX(VolumeFlow!$A6:$B19,MATCH('Average Properties Calc'!$A8,VolumeFlow!$A6:$A19,0),4)</f>
        <v>#REF!</v>
      </c>
      <c r="I8" s="2" t="e">
        <f>TissueComp!K8*INDEX(VolumeFlow!$A6:$B19,MATCH('Average Properties Calc'!$A8,VolumeFlow!$A6:$A19,0),4)</f>
        <v>#REF!</v>
      </c>
      <c r="J8" s="2" t="e">
        <f>TissueComp!L8*INDEX(VolumeFlow!$A6:$B19,MATCH('Average Properties Calc'!$A8,VolumeFlow!$A6:$A19,0),4)</f>
        <v>#REF!</v>
      </c>
      <c r="K8" t="s">
        <v>35</v>
      </c>
    </row>
    <row r="9" spans="1:11" x14ac:dyDescent="0.25">
      <c r="A9" t="str">
        <f>TissueComp!A9</f>
        <v>Liver</v>
      </c>
      <c r="B9" s="2" t="e">
        <f>TissueComp!D9*INDEX(VolumeFlow!$A7:$B20,MATCH('Average Properties Calc'!$A9,VolumeFlow!$A7:$A20,0),4)</f>
        <v>#REF!</v>
      </c>
      <c r="C9" s="2" t="e">
        <f>TissueComp!E9*INDEX(VolumeFlow!$A7:$B20,MATCH('Average Properties Calc'!$A9,VolumeFlow!$A7:$A20,0),4)</f>
        <v>#REF!</v>
      </c>
      <c r="D9" s="2" t="e">
        <f>TissueComp!F9*INDEX(VolumeFlow!$A7:$B20,MATCH('Average Properties Calc'!$A9,VolumeFlow!$A7:$A20,0),4)</f>
        <v>#REF!</v>
      </c>
      <c r="E9" s="2" t="e">
        <f>TissueComp!G9*INDEX(VolumeFlow!$A7:$B20,MATCH('Average Properties Calc'!$A9,VolumeFlow!$A7:$A20,0),4)</f>
        <v>#REF!</v>
      </c>
      <c r="F9" s="2" t="e">
        <f>TissueComp!H9*INDEX(VolumeFlow!$A7:$B20,MATCH('Average Properties Calc'!$A9,VolumeFlow!$A7:$A20,0),4)</f>
        <v>#REF!</v>
      </c>
      <c r="G9" s="2" t="e">
        <f>TissueComp!I9*INDEX(VolumeFlow!$A7:$B20,MATCH('Average Properties Calc'!$A9,VolumeFlow!$A7:$A20,0),4)</f>
        <v>#REF!</v>
      </c>
      <c r="H9" s="2" t="e">
        <f>TissueComp!J9*INDEX(VolumeFlow!$A7:$B20,MATCH('Average Properties Calc'!$A9,VolumeFlow!$A7:$A20,0),4)</f>
        <v>#REF!</v>
      </c>
      <c r="I9" s="2" t="e">
        <f>TissueComp!K9*INDEX(VolumeFlow!$A7:$B20,MATCH('Average Properties Calc'!$A9,VolumeFlow!$A7:$A20,0),4)</f>
        <v>#REF!</v>
      </c>
      <c r="J9" s="2" t="e">
        <f>TissueComp!L9*INDEX(VolumeFlow!$A7:$B20,MATCH('Average Properties Calc'!$A9,VolumeFlow!$A7:$A20,0),4)</f>
        <v>#REF!</v>
      </c>
      <c r="K9" t="s">
        <v>35</v>
      </c>
    </row>
    <row r="10" spans="1:11" x14ac:dyDescent="0.25">
      <c r="A10" t="str">
        <f>TissueComp!A10</f>
        <v>Lung</v>
      </c>
      <c r="B10" s="2" t="e">
        <f>TissueComp!D10*INDEX(VolumeFlow!$A8:$B21,MATCH('Average Properties Calc'!$A10,VolumeFlow!$A8:$A21,0),4)</f>
        <v>#REF!</v>
      </c>
      <c r="C10" s="2" t="e">
        <f>TissueComp!E10*INDEX(VolumeFlow!$A8:$B21,MATCH('Average Properties Calc'!$A10,VolumeFlow!$A8:$A21,0),4)</f>
        <v>#REF!</v>
      </c>
      <c r="D10" s="2" t="e">
        <f>TissueComp!F10*INDEX(VolumeFlow!$A8:$B21,MATCH('Average Properties Calc'!$A10,VolumeFlow!$A8:$A21,0),4)</f>
        <v>#REF!</v>
      </c>
      <c r="E10" s="2" t="e">
        <f>TissueComp!G10*INDEX(VolumeFlow!$A8:$B21,MATCH('Average Properties Calc'!$A10,VolumeFlow!$A8:$A21,0),4)</f>
        <v>#REF!</v>
      </c>
      <c r="F10" s="2" t="e">
        <f>TissueComp!H10*INDEX(VolumeFlow!$A8:$B21,MATCH('Average Properties Calc'!$A10,VolumeFlow!$A8:$A21,0),4)</f>
        <v>#REF!</v>
      </c>
      <c r="G10" s="2" t="e">
        <f>TissueComp!I10*INDEX(VolumeFlow!$A8:$B21,MATCH('Average Properties Calc'!$A10,VolumeFlow!$A8:$A21,0),4)</f>
        <v>#REF!</v>
      </c>
      <c r="H10" s="2" t="e">
        <f>TissueComp!J10*INDEX(VolumeFlow!$A8:$B21,MATCH('Average Properties Calc'!$A10,VolumeFlow!$A8:$A21,0),4)</f>
        <v>#REF!</v>
      </c>
      <c r="I10" s="2" t="e">
        <f>TissueComp!K10*INDEX(VolumeFlow!$A8:$B21,MATCH('Average Properties Calc'!$A10,VolumeFlow!$A8:$A21,0),4)</f>
        <v>#REF!</v>
      </c>
      <c r="J10" s="2" t="e">
        <f>TissueComp!L10*INDEX(VolumeFlow!$A8:$B21,MATCH('Average Properties Calc'!$A10,VolumeFlow!$A8:$A21,0),4)</f>
        <v>#REF!</v>
      </c>
      <c r="K10" t="s">
        <v>35</v>
      </c>
    </row>
    <row r="11" spans="1:11" x14ac:dyDescent="0.25">
      <c r="A11" t="str">
        <f>TissueComp!A11</f>
        <v>Muscle</v>
      </c>
      <c r="B11" s="2" t="e">
        <f>TissueComp!D11*INDEX(VolumeFlow!$A9:$B22,MATCH('Average Properties Calc'!$A11,VolumeFlow!$A9:$A22,0),4)</f>
        <v>#REF!</v>
      </c>
      <c r="C11" s="2" t="e">
        <f>TissueComp!E11*INDEX(VolumeFlow!$A9:$B22,MATCH('Average Properties Calc'!$A11,VolumeFlow!$A9:$A22,0),4)</f>
        <v>#REF!</v>
      </c>
      <c r="D11" s="2" t="e">
        <f>TissueComp!F11*INDEX(VolumeFlow!$A9:$B22,MATCH('Average Properties Calc'!$A11,VolumeFlow!$A9:$A22,0),4)</f>
        <v>#REF!</v>
      </c>
      <c r="E11" s="2" t="e">
        <f>TissueComp!G11*INDEX(VolumeFlow!$A9:$B22,MATCH('Average Properties Calc'!$A11,VolumeFlow!$A9:$A22,0),4)</f>
        <v>#REF!</v>
      </c>
      <c r="F11" s="2" t="e">
        <f>TissueComp!H11*INDEX(VolumeFlow!$A9:$B22,MATCH('Average Properties Calc'!$A11,VolumeFlow!$A9:$A22,0),4)</f>
        <v>#REF!</v>
      </c>
      <c r="G11" s="2" t="e">
        <f>TissueComp!I11*INDEX(VolumeFlow!$A9:$B22,MATCH('Average Properties Calc'!$A11,VolumeFlow!$A9:$A22,0),4)</f>
        <v>#REF!</v>
      </c>
      <c r="H11" s="2" t="e">
        <f>TissueComp!J11*INDEX(VolumeFlow!$A9:$B22,MATCH('Average Properties Calc'!$A11,VolumeFlow!$A9:$A22,0),4)</f>
        <v>#REF!</v>
      </c>
      <c r="I11" s="2" t="e">
        <f>TissueComp!K11*INDEX(VolumeFlow!$A9:$B22,MATCH('Average Properties Calc'!$A11,VolumeFlow!$A9:$A22,0),4)</f>
        <v>#REF!</v>
      </c>
      <c r="J11" s="2" t="e">
        <f>TissueComp!L11*INDEX(VolumeFlow!$A9:$B22,MATCH('Average Properties Calc'!$A11,VolumeFlow!$A9:$A22,0),4)</f>
        <v>#REF!</v>
      </c>
      <c r="K11" t="s">
        <v>35</v>
      </c>
    </row>
    <row r="12" spans="1:11" x14ac:dyDescent="0.25">
      <c r="A12" t="str">
        <f>TissueComp!A12</f>
        <v>Skin</v>
      </c>
      <c r="B12" s="2" t="e">
        <f>TissueComp!D12*INDEX(VolumeFlow!$A10:$B23,MATCH('Average Properties Calc'!$A12,VolumeFlow!$A10:$A23,0),4)</f>
        <v>#REF!</v>
      </c>
      <c r="C12" s="2" t="e">
        <f>TissueComp!E12*INDEX(VolumeFlow!$A10:$B23,MATCH('Average Properties Calc'!$A12,VolumeFlow!$A10:$A23,0),4)</f>
        <v>#REF!</v>
      </c>
      <c r="D12" s="2" t="e">
        <f>TissueComp!F12*INDEX(VolumeFlow!$A10:$B23,MATCH('Average Properties Calc'!$A12,VolumeFlow!$A10:$A23,0),4)</f>
        <v>#REF!</v>
      </c>
      <c r="E12" s="2" t="e">
        <f>TissueComp!G12*INDEX(VolumeFlow!$A10:$B23,MATCH('Average Properties Calc'!$A12,VolumeFlow!$A10:$A23,0),4)</f>
        <v>#REF!</v>
      </c>
      <c r="F12" s="2" t="e">
        <f>TissueComp!H12*INDEX(VolumeFlow!$A10:$B23,MATCH('Average Properties Calc'!$A12,VolumeFlow!$A10:$A23,0),4)</f>
        <v>#REF!</v>
      </c>
      <c r="G12" s="2" t="e">
        <f>TissueComp!I12*INDEX(VolumeFlow!$A10:$B23,MATCH('Average Properties Calc'!$A12,VolumeFlow!$A10:$A23,0),4)</f>
        <v>#REF!</v>
      </c>
      <c r="H12" s="2" t="e">
        <f>TissueComp!J12*INDEX(VolumeFlow!$A10:$B23,MATCH('Average Properties Calc'!$A12,VolumeFlow!$A10:$A23,0),4)</f>
        <v>#REF!</v>
      </c>
      <c r="I12" s="2" t="e">
        <f>TissueComp!K12*INDEX(VolumeFlow!$A10:$B23,MATCH('Average Properties Calc'!$A12,VolumeFlow!$A10:$A23,0),4)</f>
        <v>#REF!</v>
      </c>
      <c r="J12" s="2" t="e">
        <f>TissueComp!L12*INDEX(VolumeFlow!$A10:$B23,MATCH('Average Properties Calc'!$A12,VolumeFlow!$A10:$A23,0),4)</f>
        <v>#REF!</v>
      </c>
      <c r="K12" t="s">
        <v>35</v>
      </c>
    </row>
    <row r="13" spans="1:11" x14ac:dyDescent="0.25">
      <c r="A13" t="str">
        <f>TissueComp!A13</f>
        <v>Spleen</v>
      </c>
      <c r="B13" s="2" t="e">
        <f>TissueComp!D13*INDEX(VolumeFlow!$A11:$B24,MATCH('Average Properties Calc'!$A13,VolumeFlow!$A11:$A24,0),4)</f>
        <v>#REF!</v>
      </c>
      <c r="C13" s="2" t="e">
        <f>TissueComp!E13*INDEX(VolumeFlow!$A11:$B24,MATCH('Average Properties Calc'!$A13,VolumeFlow!$A11:$A24,0),4)</f>
        <v>#REF!</v>
      </c>
      <c r="D13" s="2" t="e">
        <f>TissueComp!F13*INDEX(VolumeFlow!$A11:$B24,MATCH('Average Properties Calc'!$A13,VolumeFlow!$A11:$A24,0),4)</f>
        <v>#REF!</v>
      </c>
      <c r="E13" s="2" t="e">
        <f>TissueComp!G13*INDEX(VolumeFlow!$A11:$B24,MATCH('Average Properties Calc'!$A13,VolumeFlow!$A11:$A24,0),4)</f>
        <v>#REF!</v>
      </c>
      <c r="F13" s="2" t="e">
        <f>TissueComp!H13*INDEX(VolumeFlow!$A11:$B24,MATCH('Average Properties Calc'!$A13,VolumeFlow!$A11:$A24,0),4)</f>
        <v>#REF!</v>
      </c>
      <c r="G13" s="2" t="e">
        <f>TissueComp!I13*INDEX(VolumeFlow!$A11:$B24,MATCH('Average Properties Calc'!$A13,VolumeFlow!$A11:$A24,0),4)</f>
        <v>#REF!</v>
      </c>
      <c r="H13" s="2" t="e">
        <f>TissueComp!J13*INDEX(VolumeFlow!$A11:$B24,MATCH('Average Properties Calc'!$A13,VolumeFlow!$A11:$A24,0),4)</f>
        <v>#REF!</v>
      </c>
      <c r="I13" s="2" t="e">
        <f>TissueComp!K13*INDEX(VolumeFlow!$A11:$B24,MATCH('Average Properties Calc'!$A13,VolumeFlow!$A11:$A24,0),4)</f>
        <v>#REF!</v>
      </c>
      <c r="J13" s="2" t="e">
        <f>TissueComp!L13*INDEX(VolumeFlow!$A11:$B24,MATCH('Average Properties Calc'!$A13,VolumeFlow!$A11:$A24,0),4)</f>
        <v>#REF!</v>
      </c>
      <c r="K13" t="s">
        <v>35</v>
      </c>
    </row>
    <row r="14" spans="1:11" x14ac:dyDescent="0.25">
      <c r="B14" s="2" t="e">
        <f>SUM(B3:B13)/SUM(VolumeFlow!#REF!)</f>
        <v>#REF!</v>
      </c>
      <c r="C14" s="2" t="e">
        <f>SUM(C3:C13)/SUM(VolumeFlow!#REF!)</f>
        <v>#REF!</v>
      </c>
      <c r="D14" s="2" t="e">
        <f>SUM(D3:D13)/SUM(VolumeFlow!#REF!)</f>
        <v>#REF!</v>
      </c>
      <c r="E14" s="2" t="e">
        <f>SUM(E3:E13)/SUM(VolumeFlow!#REF!)</f>
        <v>#REF!</v>
      </c>
      <c r="F14" s="2" t="e">
        <f>SUM(F3:F13)/SUM(VolumeFlow!#REF!)</f>
        <v>#REF!</v>
      </c>
      <c r="G14" s="2" t="e">
        <f>SUM(G3:G13)/SUM(VolumeFlow!#REF!)</f>
        <v>#REF!</v>
      </c>
      <c r="H14" s="2" t="e">
        <f>SUM(H3:H13)/SUM(VolumeFlow!#REF!)</f>
        <v>#REF!</v>
      </c>
      <c r="I14" s="2" t="e">
        <f>SUM(I3:I13)/SUM(VolumeFlow!#REF!)</f>
        <v>#REF!</v>
      </c>
      <c r="J14" s="2" t="e">
        <f>SUM(J3:J13)/SUM(VolumeFlow!#REF!)</f>
        <v>#REF!</v>
      </c>
    </row>
    <row r="15" spans="1:11" x14ac:dyDescent="0.25">
      <c r="A15" t="str">
        <f>TissueComp!A3</f>
        <v>Adipose</v>
      </c>
      <c r="B15" s="2" t="e">
        <f>TissueComp!D17*INDEX(VolumeFlow!$A14:$B26,MATCH('Average Properties Calc'!$A15,VolumeFlow!$A14:$A26,0),4)</f>
        <v>#REF!</v>
      </c>
      <c r="C15" s="2" t="e">
        <f>TissueComp!E17*INDEX(VolumeFlow!$A14:$B26,MATCH('Average Properties Calc'!$A15,VolumeFlow!$A14:$A26,0),4)</f>
        <v>#REF!</v>
      </c>
      <c r="D15" s="2" t="e">
        <f>TissueComp!F17*INDEX(VolumeFlow!$A14:$B26,MATCH('Average Properties Calc'!$A15,VolumeFlow!$A14:$A26,0),4)</f>
        <v>#REF!</v>
      </c>
      <c r="E15" s="2" t="e">
        <f>TissueComp!G17*INDEX(VolumeFlow!$A14:$B26,MATCH('Average Properties Calc'!$A15,VolumeFlow!$A14:$A26,0),4)</f>
        <v>#REF!</v>
      </c>
      <c r="F15" s="2" t="e">
        <f>TissueComp!H17*INDEX(VolumeFlow!$A14:$B26,MATCH('Average Properties Calc'!$A15,VolumeFlow!$A14:$A26,0),4)</f>
        <v>#REF!</v>
      </c>
      <c r="G15" s="2" t="e">
        <f>TissueComp!I17*INDEX(VolumeFlow!$A14:$B26,MATCH('Average Properties Calc'!$A15,VolumeFlow!$A14:$A26,0),4)</f>
        <v>#REF!</v>
      </c>
      <c r="H15" s="2" t="e">
        <f>TissueComp!J17*INDEX(VolumeFlow!$A14:$B26,MATCH('Average Properties Calc'!$A15,VolumeFlow!$A14:$A26,0),4)</f>
        <v>#REF!</v>
      </c>
      <c r="I15" s="2" t="e">
        <f>TissueComp!K17*INDEX(VolumeFlow!$A14:$B26,MATCH('Average Properties Calc'!$A15,VolumeFlow!$A14:$A26,0),4)</f>
        <v>#REF!</v>
      </c>
      <c r="J15" s="2" t="e">
        <f>TissueComp!L17*INDEX(VolumeFlow!$A14:$B26,MATCH('Average Properties Calc'!$A15,VolumeFlow!$A14:$A26,0),4)</f>
        <v>#REF!</v>
      </c>
      <c r="K15" t="s">
        <v>17</v>
      </c>
    </row>
    <row r="16" spans="1:11" x14ac:dyDescent="0.25">
      <c r="A16" t="str">
        <f>TissueComp!A4</f>
        <v>Bone</v>
      </c>
      <c r="B16" s="2" t="e">
        <f>TissueComp!D18*INDEX(VolumeFlow!$A15:$B27,MATCH('Average Properties Calc'!$A16,VolumeFlow!$A15:$A27,0),4)</f>
        <v>#REF!</v>
      </c>
      <c r="C16" s="2" t="e">
        <f>TissueComp!E18*INDEX(VolumeFlow!$A15:$B27,MATCH('Average Properties Calc'!$A16,VolumeFlow!$A15:$A27,0),4)</f>
        <v>#REF!</v>
      </c>
      <c r="D16" s="2" t="e">
        <f>TissueComp!F18*INDEX(VolumeFlow!$A15:$B27,MATCH('Average Properties Calc'!$A16,VolumeFlow!$A15:$A27,0),4)</f>
        <v>#REF!</v>
      </c>
      <c r="E16" s="2" t="e">
        <f>TissueComp!G18*INDEX(VolumeFlow!$A15:$B27,MATCH('Average Properties Calc'!$A16,VolumeFlow!$A15:$A27,0),4)</f>
        <v>#REF!</v>
      </c>
      <c r="F16" s="2" t="e">
        <f>TissueComp!H18*INDEX(VolumeFlow!$A15:$B27,MATCH('Average Properties Calc'!$A16,VolumeFlow!$A15:$A27,0),4)</f>
        <v>#REF!</v>
      </c>
      <c r="G16" s="2" t="e">
        <f>TissueComp!I18*INDEX(VolumeFlow!$A15:$B27,MATCH('Average Properties Calc'!$A16,VolumeFlow!$A15:$A27,0),4)</f>
        <v>#REF!</v>
      </c>
      <c r="H16" s="2" t="e">
        <f>TissueComp!J18*INDEX(VolumeFlow!$A15:$B27,MATCH('Average Properties Calc'!$A16,VolumeFlow!$A15:$A27,0),4)</f>
        <v>#REF!</v>
      </c>
      <c r="I16" s="2" t="e">
        <f>TissueComp!K18*INDEX(VolumeFlow!$A15:$B27,MATCH('Average Properties Calc'!$A16,VolumeFlow!$A15:$A27,0),4)</f>
        <v>#REF!</v>
      </c>
      <c r="J16" s="2" t="e">
        <f>TissueComp!L18*INDEX(VolumeFlow!$A15:$B27,MATCH('Average Properties Calc'!$A16,VolumeFlow!$A15:$A27,0),4)</f>
        <v>#REF!</v>
      </c>
      <c r="K16" t="s">
        <v>17</v>
      </c>
    </row>
    <row r="17" spans="1:11" x14ac:dyDescent="0.25">
      <c r="A17" t="str">
        <f>TissueComp!A5</f>
        <v>Brain</v>
      </c>
      <c r="B17" s="2" t="e">
        <f>TissueComp!D19*INDEX(VolumeFlow!$A16:$B28,MATCH('Average Properties Calc'!$A17,VolumeFlow!$A16:$A28,0),4)</f>
        <v>#REF!</v>
      </c>
      <c r="C17" s="2" t="e">
        <f>TissueComp!E19*INDEX(VolumeFlow!$A16:$B28,MATCH('Average Properties Calc'!$A17,VolumeFlow!$A16:$A28,0),4)</f>
        <v>#REF!</v>
      </c>
      <c r="D17" s="2" t="e">
        <f>TissueComp!F19*INDEX(VolumeFlow!$A16:$B28,MATCH('Average Properties Calc'!$A17,VolumeFlow!$A16:$A28,0),4)</f>
        <v>#REF!</v>
      </c>
      <c r="E17" s="2" t="e">
        <f>TissueComp!G19*INDEX(VolumeFlow!$A16:$B28,MATCH('Average Properties Calc'!$A17,VolumeFlow!$A16:$A28,0),4)</f>
        <v>#REF!</v>
      </c>
      <c r="F17" s="2" t="e">
        <f>TissueComp!H19*INDEX(VolumeFlow!$A16:$B28,MATCH('Average Properties Calc'!$A17,VolumeFlow!$A16:$A28,0),4)</f>
        <v>#REF!</v>
      </c>
      <c r="G17" s="2" t="e">
        <f>TissueComp!I19*INDEX(VolumeFlow!$A16:$B28,MATCH('Average Properties Calc'!$A17,VolumeFlow!$A16:$A28,0),4)</f>
        <v>#REF!</v>
      </c>
      <c r="H17" s="2" t="e">
        <f>TissueComp!J19*INDEX(VolumeFlow!$A16:$B28,MATCH('Average Properties Calc'!$A17,VolumeFlow!$A16:$A28,0),4)</f>
        <v>#REF!</v>
      </c>
      <c r="I17" s="2" t="e">
        <f>TissueComp!K19*INDEX(VolumeFlow!$A16:$B28,MATCH('Average Properties Calc'!$A17,VolumeFlow!$A16:$A28,0),4)</f>
        <v>#REF!</v>
      </c>
      <c r="J17" s="2" t="e">
        <f>TissueComp!L19*INDEX(VolumeFlow!$A16:$B28,MATCH('Average Properties Calc'!$A17,VolumeFlow!$A16:$A28,0),4)</f>
        <v>#REF!</v>
      </c>
      <c r="K17" t="s">
        <v>17</v>
      </c>
    </row>
    <row r="18" spans="1:11" x14ac:dyDescent="0.25">
      <c r="A18" t="str">
        <f>TissueComp!A6</f>
        <v>Gut</v>
      </c>
      <c r="B18" s="2" t="e">
        <f>TissueComp!D20*INDEX(VolumeFlow!$A17:$B29,MATCH('Average Properties Calc'!$A18,VolumeFlow!$A17:$A29,0),4)</f>
        <v>#REF!</v>
      </c>
      <c r="C18" s="2" t="e">
        <f>TissueComp!E20*INDEX(VolumeFlow!$A17:$B29,MATCH('Average Properties Calc'!$A18,VolumeFlow!$A17:$A29,0),4)</f>
        <v>#REF!</v>
      </c>
      <c r="D18" s="2" t="e">
        <f>TissueComp!F20*INDEX(VolumeFlow!$A17:$B29,MATCH('Average Properties Calc'!$A18,VolumeFlow!$A17:$A29,0),4)</f>
        <v>#REF!</v>
      </c>
      <c r="E18" s="2" t="e">
        <f>TissueComp!G20*INDEX(VolumeFlow!$A17:$B29,MATCH('Average Properties Calc'!$A18,VolumeFlow!$A17:$A29,0),4)</f>
        <v>#REF!</v>
      </c>
      <c r="F18" s="2" t="e">
        <f>TissueComp!H20*INDEX(VolumeFlow!$A17:$B29,MATCH('Average Properties Calc'!$A18,VolumeFlow!$A17:$A29,0),4)</f>
        <v>#REF!</v>
      </c>
      <c r="G18" s="2" t="e">
        <f>TissueComp!I20*INDEX(VolumeFlow!$A17:$B29,MATCH('Average Properties Calc'!$A18,VolumeFlow!$A17:$A29,0),4)</f>
        <v>#REF!</v>
      </c>
      <c r="H18" s="2" t="e">
        <f>TissueComp!J20*INDEX(VolumeFlow!$A17:$B29,MATCH('Average Properties Calc'!$A18,VolumeFlow!$A17:$A29,0),4)</f>
        <v>#REF!</v>
      </c>
      <c r="I18" s="2" t="e">
        <f>TissueComp!K20*INDEX(VolumeFlow!$A17:$B29,MATCH('Average Properties Calc'!$A18,VolumeFlow!$A17:$A29,0),4)</f>
        <v>#REF!</v>
      </c>
      <c r="J18" s="2" t="e">
        <f>TissueComp!L20*INDEX(VolumeFlow!$A17:$B29,MATCH('Average Properties Calc'!$A18,VolumeFlow!$A17:$A29,0),4)</f>
        <v>#REF!</v>
      </c>
      <c r="K18" t="s">
        <v>17</v>
      </c>
    </row>
    <row r="19" spans="1:11" x14ac:dyDescent="0.25">
      <c r="A19" t="str">
        <f>TissueComp!A7</f>
        <v>Heart</v>
      </c>
      <c r="B19" s="2" t="e">
        <f>TissueComp!D21*INDEX(VolumeFlow!$A18:$B30,MATCH('Average Properties Calc'!$A19,VolumeFlow!$A18:$A30,0),4)</f>
        <v>#REF!</v>
      </c>
      <c r="C19" s="2" t="e">
        <f>TissueComp!E21*INDEX(VolumeFlow!$A18:$B30,MATCH('Average Properties Calc'!$A19,VolumeFlow!$A18:$A30,0),4)</f>
        <v>#REF!</v>
      </c>
      <c r="D19" s="2" t="e">
        <f>TissueComp!F21*INDEX(VolumeFlow!$A18:$B30,MATCH('Average Properties Calc'!$A19,VolumeFlow!$A18:$A30,0),4)</f>
        <v>#REF!</v>
      </c>
      <c r="E19" s="2" t="e">
        <f>TissueComp!G21*INDEX(VolumeFlow!$A18:$B30,MATCH('Average Properties Calc'!$A19,VolumeFlow!$A18:$A30,0),4)</f>
        <v>#REF!</v>
      </c>
      <c r="F19" s="2" t="e">
        <f>TissueComp!H21*INDEX(VolumeFlow!$A18:$B30,MATCH('Average Properties Calc'!$A19,VolumeFlow!$A18:$A30,0),4)</f>
        <v>#REF!</v>
      </c>
      <c r="G19" s="2" t="e">
        <f>TissueComp!I21*INDEX(VolumeFlow!$A18:$B30,MATCH('Average Properties Calc'!$A19,VolumeFlow!$A18:$A30,0),4)</f>
        <v>#REF!</v>
      </c>
      <c r="H19" s="2" t="e">
        <f>TissueComp!J21*INDEX(VolumeFlow!$A18:$B30,MATCH('Average Properties Calc'!$A19,VolumeFlow!$A18:$A30,0),4)</f>
        <v>#REF!</v>
      </c>
      <c r="I19" s="2" t="e">
        <f>TissueComp!K21*INDEX(VolumeFlow!$A18:$B30,MATCH('Average Properties Calc'!$A19,VolumeFlow!$A18:$A30,0),4)</f>
        <v>#REF!</v>
      </c>
      <c r="J19" s="2" t="e">
        <f>TissueComp!L21*INDEX(VolumeFlow!$A18:$B30,MATCH('Average Properties Calc'!$A19,VolumeFlow!$A18:$A30,0),4)</f>
        <v>#REF!</v>
      </c>
      <c r="K19" t="s">
        <v>17</v>
      </c>
    </row>
    <row r="20" spans="1:11" x14ac:dyDescent="0.25">
      <c r="A20" t="str">
        <f>TissueComp!A8</f>
        <v>Kidney</v>
      </c>
      <c r="B20" s="2" t="e">
        <f>TissueComp!D22*INDEX(VolumeFlow!$A19:$B31,MATCH('Average Properties Calc'!$A20,VolumeFlow!$A19:$A31,0),4)</f>
        <v>#REF!</v>
      </c>
      <c r="C20" s="2" t="e">
        <f>TissueComp!E22*INDEX(VolumeFlow!$A19:$B31,MATCH('Average Properties Calc'!$A20,VolumeFlow!$A19:$A31,0),4)</f>
        <v>#REF!</v>
      </c>
      <c r="D20" s="2" t="e">
        <f>TissueComp!F22*INDEX(VolumeFlow!$A19:$B31,MATCH('Average Properties Calc'!$A20,VolumeFlow!$A19:$A31,0),4)</f>
        <v>#REF!</v>
      </c>
      <c r="E20" s="2" t="e">
        <f>TissueComp!G22*INDEX(VolumeFlow!$A19:$B31,MATCH('Average Properties Calc'!$A20,VolumeFlow!$A19:$A31,0),4)</f>
        <v>#REF!</v>
      </c>
      <c r="F20" s="2" t="e">
        <f>TissueComp!H22*INDEX(VolumeFlow!$A19:$B31,MATCH('Average Properties Calc'!$A20,VolumeFlow!$A19:$A31,0),4)</f>
        <v>#REF!</v>
      </c>
      <c r="G20" s="2" t="e">
        <f>TissueComp!I22*INDEX(VolumeFlow!$A19:$B31,MATCH('Average Properties Calc'!$A20,VolumeFlow!$A19:$A31,0),4)</f>
        <v>#REF!</v>
      </c>
      <c r="H20" s="2" t="e">
        <f>TissueComp!J22*INDEX(VolumeFlow!$A19:$B31,MATCH('Average Properties Calc'!$A20,VolumeFlow!$A19:$A31,0),4)</f>
        <v>#REF!</v>
      </c>
      <c r="I20" s="2" t="e">
        <f>TissueComp!K22*INDEX(VolumeFlow!$A19:$B31,MATCH('Average Properties Calc'!$A20,VolumeFlow!$A19:$A31,0),4)</f>
        <v>#REF!</v>
      </c>
      <c r="J20" s="2" t="e">
        <f>TissueComp!L22*INDEX(VolumeFlow!$A19:$B31,MATCH('Average Properties Calc'!$A20,VolumeFlow!$A19:$A31,0),4)</f>
        <v>#REF!</v>
      </c>
      <c r="K20" t="s">
        <v>17</v>
      </c>
    </row>
    <row r="21" spans="1:11" x14ac:dyDescent="0.25">
      <c r="A21" t="str">
        <f>TissueComp!A9</f>
        <v>Liver</v>
      </c>
      <c r="B21" s="2" t="e">
        <f>TissueComp!D23*INDEX(VolumeFlow!$A20:$B32,MATCH('Average Properties Calc'!$A21,VolumeFlow!$A20:$A32,0),4)</f>
        <v>#REF!</v>
      </c>
      <c r="C21" s="2" t="e">
        <f>TissueComp!E23*INDEX(VolumeFlow!$A20:$B32,MATCH('Average Properties Calc'!$A21,VolumeFlow!$A20:$A32,0),4)</f>
        <v>#REF!</v>
      </c>
      <c r="D21" s="2" t="e">
        <f>TissueComp!F23*INDEX(VolumeFlow!$A20:$B32,MATCH('Average Properties Calc'!$A21,VolumeFlow!$A20:$A32,0),4)</f>
        <v>#REF!</v>
      </c>
      <c r="E21" s="2" t="e">
        <f>TissueComp!G23*INDEX(VolumeFlow!$A20:$B32,MATCH('Average Properties Calc'!$A21,VolumeFlow!$A20:$A32,0),4)</f>
        <v>#REF!</v>
      </c>
      <c r="F21" s="2" t="e">
        <f>TissueComp!H23*INDEX(VolumeFlow!$A20:$B32,MATCH('Average Properties Calc'!$A21,VolumeFlow!$A20:$A32,0),4)</f>
        <v>#REF!</v>
      </c>
      <c r="G21" s="2" t="e">
        <f>TissueComp!I23*INDEX(VolumeFlow!$A20:$B32,MATCH('Average Properties Calc'!$A21,VolumeFlow!$A20:$A32,0),4)</f>
        <v>#REF!</v>
      </c>
      <c r="H21" s="2" t="e">
        <f>TissueComp!J23*INDEX(VolumeFlow!$A20:$B32,MATCH('Average Properties Calc'!$A21,VolumeFlow!$A20:$A32,0),4)</f>
        <v>#REF!</v>
      </c>
      <c r="I21" s="2" t="e">
        <f>TissueComp!K23*INDEX(VolumeFlow!$A20:$B32,MATCH('Average Properties Calc'!$A21,VolumeFlow!$A20:$A32,0),4)</f>
        <v>#REF!</v>
      </c>
      <c r="J21" s="2" t="e">
        <f>TissueComp!L23*INDEX(VolumeFlow!$A20:$B32,MATCH('Average Properties Calc'!$A21,VolumeFlow!$A20:$A32,0),4)</f>
        <v>#REF!</v>
      </c>
      <c r="K21" t="s">
        <v>17</v>
      </c>
    </row>
    <row r="22" spans="1:11" x14ac:dyDescent="0.25">
      <c r="A22" t="str">
        <f>TissueComp!A10</f>
        <v>Lung</v>
      </c>
      <c r="B22" s="2" t="e">
        <f>TissueComp!D24*INDEX(VolumeFlow!$A21:$B33,MATCH('Average Properties Calc'!$A22,VolumeFlow!$A21:$A33,0),4)</f>
        <v>#REF!</v>
      </c>
      <c r="C22" s="2" t="e">
        <f>TissueComp!E24*INDEX(VolumeFlow!$A21:$B33,MATCH('Average Properties Calc'!$A22,VolumeFlow!$A21:$A33,0),4)</f>
        <v>#REF!</v>
      </c>
      <c r="D22" s="2" t="e">
        <f>TissueComp!F24*INDEX(VolumeFlow!$A21:$B33,MATCH('Average Properties Calc'!$A22,VolumeFlow!$A21:$A33,0),4)</f>
        <v>#REF!</v>
      </c>
      <c r="E22" s="2" t="e">
        <f>TissueComp!G24*INDEX(VolumeFlow!$A21:$B33,MATCH('Average Properties Calc'!$A22,VolumeFlow!$A21:$A33,0),4)</f>
        <v>#REF!</v>
      </c>
      <c r="F22" s="2" t="e">
        <f>TissueComp!H24*INDEX(VolumeFlow!$A21:$B33,MATCH('Average Properties Calc'!$A22,VolumeFlow!$A21:$A33,0),4)</f>
        <v>#REF!</v>
      </c>
      <c r="G22" s="2" t="e">
        <f>TissueComp!I24*INDEX(VolumeFlow!$A21:$B33,MATCH('Average Properties Calc'!$A22,VolumeFlow!$A21:$A33,0),4)</f>
        <v>#REF!</v>
      </c>
      <c r="H22" s="2" t="e">
        <f>TissueComp!J24*INDEX(VolumeFlow!$A21:$B33,MATCH('Average Properties Calc'!$A22,VolumeFlow!$A21:$A33,0),4)</f>
        <v>#REF!</v>
      </c>
      <c r="I22" s="2" t="e">
        <f>TissueComp!K24*INDEX(VolumeFlow!$A21:$B33,MATCH('Average Properties Calc'!$A22,VolumeFlow!$A21:$A33,0),4)</f>
        <v>#REF!</v>
      </c>
      <c r="J22" s="2" t="e">
        <f>TissueComp!L24*INDEX(VolumeFlow!$A21:$B33,MATCH('Average Properties Calc'!$A22,VolumeFlow!$A21:$A33,0),4)</f>
        <v>#REF!</v>
      </c>
      <c r="K22" t="s">
        <v>17</v>
      </c>
    </row>
    <row r="23" spans="1:11" x14ac:dyDescent="0.25">
      <c r="A23" t="str">
        <f>TissueComp!A11</f>
        <v>Muscle</v>
      </c>
      <c r="B23" s="2" t="e">
        <f>TissueComp!D25*INDEX(VolumeFlow!$A22:$B34,MATCH('Average Properties Calc'!$A23,VolumeFlow!$A22:$A34,0),4)</f>
        <v>#REF!</v>
      </c>
      <c r="C23" s="2" t="e">
        <f>TissueComp!E25*INDEX(VolumeFlow!$A22:$B34,MATCH('Average Properties Calc'!$A23,VolumeFlow!$A22:$A34,0),4)</f>
        <v>#REF!</v>
      </c>
      <c r="D23" s="2" t="e">
        <f>TissueComp!F25*INDEX(VolumeFlow!$A22:$B34,MATCH('Average Properties Calc'!$A23,VolumeFlow!$A22:$A34,0),4)</f>
        <v>#REF!</v>
      </c>
      <c r="E23" s="2" t="e">
        <f>TissueComp!G25*INDEX(VolumeFlow!$A22:$B34,MATCH('Average Properties Calc'!$A23,VolumeFlow!$A22:$A34,0),4)</f>
        <v>#REF!</v>
      </c>
      <c r="F23" s="2" t="e">
        <f>TissueComp!H25*INDEX(VolumeFlow!$A22:$B34,MATCH('Average Properties Calc'!$A23,VolumeFlow!$A22:$A34,0),4)</f>
        <v>#REF!</v>
      </c>
      <c r="G23" s="2" t="e">
        <f>TissueComp!I25*INDEX(VolumeFlow!$A22:$B34,MATCH('Average Properties Calc'!$A23,VolumeFlow!$A22:$A34,0),4)</f>
        <v>#REF!</v>
      </c>
      <c r="H23" s="2" t="e">
        <f>TissueComp!J25*INDEX(VolumeFlow!$A22:$B34,MATCH('Average Properties Calc'!$A23,VolumeFlow!$A22:$A34,0),4)</f>
        <v>#REF!</v>
      </c>
      <c r="I23" s="2" t="e">
        <f>TissueComp!K25*INDEX(VolumeFlow!$A22:$B34,MATCH('Average Properties Calc'!$A23,VolumeFlow!$A22:$A34,0),4)</f>
        <v>#REF!</v>
      </c>
      <c r="J23" s="2" t="e">
        <f>TissueComp!L25*INDEX(VolumeFlow!$A22:$B34,MATCH('Average Properties Calc'!$A23,VolumeFlow!$A22:$A34,0),4)</f>
        <v>#REF!</v>
      </c>
      <c r="K23" t="s">
        <v>17</v>
      </c>
    </row>
    <row r="24" spans="1:11" x14ac:dyDescent="0.25">
      <c r="A24" t="str">
        <f>TissueComp!A12</f>
        <v>Skin</v>
      </c>
      <c r="B24" s="2" t="e">
        <f>TissueComp!D26*INDEX(VolumeFlow!$A23:$B35,MATCH('Average Properties Calc'!$A24,VolumeFlow!$A23:$A35,0),4)</f>
        <v>#REF!</v>
      </c>
      <c r="C24" s="2" t="e">
        <f>TissueComp!E26*INDEX(VolumeFlow!$A23:$B35,MATCH('Average Properties Calc'!$A24,VolumeFlow!$A23:$A35,0),4)</f>
        <v>#REF!</v>
      </c>
      <c r="D24" s="2" t="e">
        <f>TissueComp!F26*INDEX(VolumeFlow!$A23:$B35,MATCH('Average Properties Calc'!$A24,VolumeFlow!$A23:$A35,0),4)</f>
        <v>#REF!</v>
      </c>
      <c r="E24" s="2" t="e">
        <f>TissueComp!G26*INDEX(VolumeFlow!$A23:$B35,MATCH('Average Properties Calc'!$A24,VolumeFlow!$A23:$A35,0),4)</f>
        <v>#REF!</v>
      </c>
      <c r="F24" s="2" t="e">
        <f>TissueComp!H26*INDEX(VolumeFlow!$A23:$B35,MATCH('Average Properties Calc'!$A24,VolumeFlow!$A23:$A35,0),4)</f>
        <v>#REF!</v>
      </c>
      <c r="G24" s="2" t="e">
        <f>TissueComp!I26*INDEX(VolumeFlow!$A23:$B35,MATCH('Average Properties Calc'!$A24,VolumeFlow!$A23:$A35,0),4)</f>
        <v>#REF!</v>
      </c>
      <c r="H24" s="2" t="e">
        <f>TissueComp!J26*INDEX(VolumeFlow!$A23:$B35,MATCH('Average Properties Calc'!$A24,VolumeFlow!$A23:$A35,0),4)</f>
        <v>#REF!</v>
      </c>
      <c r="I24" s="2" t="e">
        <f>TissueComp!K26*INDEX(VolumeFlow!$A23:$B35,MATCH('Average Properties Calc'!$A24,VolumeFlow!$A23:$A35,0),4)</f>
        <v>#REF!</v>
      </c>
      <c r="J24" s="2" t="e">
        <f>TissueComp!L26*INDEX(VolumeFlow!$A23:$B35,MATCH('Average Properties Calc'!$A24,VolumeFlow!$A23:$A35,0),4)</f>
        <v>#REF!</v>
      </c>
      <c r="K24" t="s">
        <v>17</v>
      </c>
    </row>
    <row r="25" spans="1:11" x14ac:dyDescent="0.25">
      <c r="A25" t="str">
        <f>TissueComp!A13</f>
        <v>Spleen</v>
      </c>
      <c r="B25" s="2" t="e">
        <f>TissueComp!D27*INDEX(VolumeFlow!$A24:$B36,MATCH('Average Properties Calc'!$A25,VolumeFlow!$A24:$A36,0),4)</f>
        <v>#REF!</v>
      </c>
      <c r="C25" s="2" t="e">
        <f>TissueComp!E27*INDEX(VolumeFlow!$A24:$B36,MATCH('Average Properties Calc'!$A25,VolumeFlow!$A24:$A36,0),4)</f>
        <v>#REF!</v>
      </c>
      <c r="D25" s="2" t="e">
        <f>TissueComp!F27*INDEX(VolumeFlow!$A24:$B36,MATCH('Average Properties Calc'!$A25,VolumeFlow!$A24:$A36,0),4)</f>
        <v>#REF!</v>
      </c>
      <c r="E25" s="2" t="e">
        <f>TissueComp!G27*INDEX(VolumeFlow!$A24:$B36,MATCH('Average Properties Calc'!$A25,VolumeFlow!$A24:$A36,0),4)</f>
        <v>#REF!</v>
      </c>
      <c r="F25" s="2" t="e">
        <f>TissueComp!H27*INDEX(VolumeFlow!$A24:$B36,MATCH('Average Properties Calc'!$A25,VolumeFlow!$A24:$A36,0),4)</f>
        <v>#REF!</v>
      </c>
      <c r="G25" s="2" t="e">
        <f>TissueComp!I27*INDEX(VolumeFlow!$A24:$B36,MATCH('Average Properties Calc'!$A25,VolumeFlow!$A24:$A36,0),4)</f>
        <v>#REF!</v>
      </c>
      <c r="H25" s="2" t="e">
        <f>TissueComp!J27*INDEX(VolumeFlow!$A24:$B36,MATCH('Average Properties Calc'!$A25,VolumeFlow!$A24:$A36,0),4)</f>
        <v>#REF!</v>
      </c>
      <c r="I25" s="2" t="e">
        <f>TissueComp!K27*INDEX(VolumeFlow!$A24:$B36,MATCH('Average Properties Calc'!$A25,VolumeFlow!$A24:$A36,0),4)</f>
        <v>#REF!</v>
      </c>
      <c r="J25" s="2" t="e">
        <f>TissueComp!L27*INDEX(VolumeFlow!$A24:$B36,MATCH('Average Properties Calc'!$A25,VolumeFlow!$A24:$A36,0),4)</f>
        <v>#REF!</v>
      </c>
      <c r="K25" t="s">
        <v>17</v>
      </c>
    </row>
    <row r="26" spans="1:11" x14ac:dyDescent="0.25">
      <c r="B26" s="2" t="e">
        <f>SUM(B15:B25)/SUM(VolumeFlow!#REF!)</f>
        <v>#REF!</v>
      </c>
      <c r="C26" s="2" t="e">
        <f>SUM(C15:C25)/SUM(VolumeFlow!#REF!)</f>
        <v>#REF!</v>
      </c>
      <c r="D26" s="2" t="e">
        <f>SUM(D15:D25)/SUM(VolumeFlow!#REF!)</f>
        <v>#REF!</v>
      </c>
      <c r="E26" s="2" t="e">
        <f>SUM(E15:E25)/SUM(VolumeFlow!#REF!)</f>
        <v>#REF!</v>
      </c>
      <c r="F26" s="2" t="e">
        <f>SUM(F15:F25)/SUM(VolumeFlow!#REF!)</f>
        <v>#REF!</v>
      </c>
      <c r="G26" s="2" t="e">
        <f>SUM(G15:G25)/SUM(VolumeFlow!#REF!)</f>
        <v>#REF!</v>
      </c>
      <c r="H26" s="2" t="e">
        <f>SUM(H15:H25)/SUM(VolumeFlow!#REF!)</f>
        <v>#REF!</v>
      </c>
      <c r="I26" s="2" t="e">
        <f>SUM(I15:I25)/SUM(VolumeFlow!#REF!)</f>
        <v>#REF!</v>
      </c>
      <c r="J26" s="2" t="e">
        <f>SUM(J15:J25)/SUM(VolumeFlow!#REF!)</f>
        <v>#REF!</v>
      </c>
    </row>
    <row r="27" spans="1:11" x14ac:dyDescent="0.25">
      <c r="A27" t="str">
        <f>TissueComp!A3</f>
        <v>Adipose</v>
      </c>
      <c r="B27" s="2" t="e">
        <f>TissueComp!D$3*INDEX(VolumeFlow!$A26:$B38,MATCH('Average Properties Calc'!$A27,VolumeFlow!$A26:$A38,0),4)</f>
        <v>#REF!</v>
      </c>
      <c r="C27" s="2" t="e">
        <f>TissueComp!E$3*INDEX(VolumeFlow!$A26:$B38,MATCH('Average Properties Calc'!$A27,VolumeFlow!$A26:$A38,0),4)</f>
        <v>#REF!</v>
      </c>
      <c r="D27" s="2" t="e">
        <f>TissueComp!F$3*INDEX(VolumeFlow!$A26:$B38,MATCH('Average Properties Calc'!$A27,VolumeFlow!$A26:$A38,0),4)</f>
        <v>#REF!</v>
      </c>
      <c r="E27" s="2" t="e">
        <f>TissueComp!G$3*INDEX(VolumeFlow!$A26:$B38,MATCH('Average Properties Calc'!$A27,VolumeFlow!$A26:$A38,0),4)</f>
        <v>#REF!</v>
      </c>
      <c r="F27" s="2" t="e">
        <f>TissueComp!H$3*INDEX(VolumeFlow!$A26:$B38,MATCH('Average Properties Calc'!$A27,VolumeFlow!$A26:$A38,0),4)</f>
        <v>#REF!</v>
      </c>
      <c r="G27" s="2" t="e">
        <f>TissueComp!I$3*INDEX(VolumeFlow!$A26:$B38,MATCH('Average Properties Calc'!$A27,VolumeFlow!$A26:$A38,0),4)</f>
        <v>#REF!</v>
      </c>
      <c r="H27" s="2" t="e">
        <f>TissueComp!J$3*INDEX(VolumeFlow!$A26:$B38,MATCH('Average Properties Calc'!$A27,VolumeFlow!$A26:$A38,0),4)</f>
        <v>#REF!</v>
      </c>
      <c r="I27" s="2" t="e">
        <f>TissueComp!K$3*INDEX(VolumeFlow!$A26:$B38,MATCH('Average Properties Calc'!$A27,VolumeFlow!$A26:$A38,0),4)</f>
        <v>#REF!</v>
      </c>
      <c r="J27" s="2" t="e">
        <f>TissueComp!L$3*INDEX(VolumeFlow!$A26:$B38,MATCH('Average Properties Calc'!$A27,VolumeFlow!$A26:$A38,0),4)</f>
        <v>#REF!</v>
      </c>
      <c r="K27" t="s">
        <v>34</v>
      </c>
    </row>
    <row r="28" spans="1:11" x14ac:dyDescent="0.25">
      <c r="A28" t="str">
        <f>TissueComp!A4</f>
        <v>Bone</v>
      </c>
      <c r="B28" s="2" t="e">
        <f>TissueComp!D$4*INDEX(VolumeFlow!$A27:$B39,MATCH('Average Properties Calc'!$A28,VolumeFlow!$A27:$A39,0),4)</f>
        <v>#REF!</v>
      </c>
      <c r="C28" s="2" t="e">
        <f>TissueComp!E$4*INDEX(VolumeFlow!$A27:$B39,MATCH('Average Properties Calc'!$A28,VolumeFlow!$A27:$A39,0),4)</f>
        <v>#REF!</v>
      </c>
      <c r="D28" s="2" t="e">
        <f>TissueComp!F$4*INDEX(VolumeFlow!$A27:$B39,MATCH('Average Properties Calc'!$A28,VolumeFlow!$A27:$A39,0),4)</f>
        <v>#REF!</v>
      </c>
      <c r="E28" s="2" t="e">
        <f>TissueComp!G$4*INDEX(VolumeFlow!$A27:$B39,MATCH('Average Properties Calc'!$A28,VolumeFlow!$A27:$A39,0),4)</f>
        <v>#REF!</v>
      </c>
      <c r="F28" s="2" t="e">
        <f>TissueComp!H$4*INDEX(VolumeFlow!$A27:$B39,MATCH('Average Properties Calc'!$A28,VolumeFlow!$A27:$A39,0),4)</f>
        <v>#REF!</v>
      </c>
      <c r="G28" s="2" t="e">
        <f>TissueComp!I$4*INDEX(VolumeFlow!$A27:$B39,MATCH('Average Properties Calc'!$A28,VolumeFlow!$A27:$A39,0),4)</f>
        <v>#REF!</v>
      </c>
      <c r="H28" s="2" t="e">
        <f>TissueComp!J$4*INDEX(VolumeFlow!$A27:$B39,MATCH('Average Properties Calc'!$A28,VolumeFlow!$A27:$A39,0),4)</f>
        <v>#REF!</v>
      </c>
      <c r="I28" s="2" t="e">
        <f>TissueComp!K$4*INDEX(VolumeFlow!$A27:$B39,MATCH('Average Properties Calc'!$A28,VolumeFlow!$A27:$A39,0),4)</f>
        <v>#REF!</v>
      </c>
      <c r="J28" s="2" t="e">
        <f>TissueComp!L$4*INDEX(VolumeFlow!$A27:$B39,MATCH('Average Properties Calc'!$A28,VolumeFlow!$A27:$A39,0),4)</f>
        <v>#REF!</v>
      </c>
      <c r="K28" t="s">
        <v>34</v>
      </c>
    </row>
    <row r="29" spans="1:11" x14ac:dyDescent="0.25">
      <c r="A29" t="str">
        <f>TissueComp!A5</f>
        <v>Brain</v>
      </c>
      <c r="B29" s="2" t="e">
        <f>TissueComp!D$5*INDEX(VolumeFlow!$A28:$B40,MATCH('Average Properties Calc'!$A29,VolumeFlow!$A28:$A40,0),4)</f>
        <v>#REF!</v>
      </c>
      <c r="C29" s="2" t="e">
        <f>TissueComp!E$5*INDEX(VolumeFlow!$A28:$B40,MATCH('Average Properties Calc'!$A29,VolumeFlow!$A28:$A40,0),4)</f>
        <v>#REF!</v>
      </c>
      <c r="D29" s="2" t="e">
        <f>TissueComp!F$5*INDEX(VolumeFlow!$A28:$B40,MATCH('Average Properties Calc'!$A29,VolumeFlow!$A28:$A40,0),4)</f>
        <v>#REF!</v>
      </c>
      <c r="E29" s="2" t="e">
        <f>TissueComp!G$5*INDEX(VolumeFlow!$A28:$B40,MATCH('Average Properties Calc'!$A29,VolumeFlow!$A28:$A40,0),4)</f>
        <v>#REF!</v>
      </c>
      <c r="F29" s="2" t="e">
        <f>TissueComp!H$5*INDEX(VolumeFlow!$A28:$B40,MATCH('Average Properties Calc'!$A29,VolumeFlow!$A28:$A40,0),4)</f>
        <v>#REF!</v>
      </c>
      <c r="G29" s="2" t="e">
        <f>TissueComp!I$5*INDEX(VolumeFlow!$A28:$B40,MATCH('Average Properties Calc'!$A29,VolumeFlow!$A28:$A40,0),4)</f>
        <v>#REF!</v>
      </c>
      <c r="H29" s="2" t="e">
        <f>TissueComp!J$5*INDEX(VolumeFlow!$A28:$B40,MATCH('Average Properties Calc'!$A29,VolumeFlow!$A28:$A40,0),4)</f>
        <v>#REF!</v>
      </c>
      <c r="I29" s="2" t="e">
        <f>TissueComp!K$5*INDEX(VolumeFlow!$A28:$B40,MATCH('Average Properties Calc'!$A29,VolumeFlow!$A28:$A40,0),4)</f>
        <v>#REF!</v>
      </c>
      <c r="J29" s="2" t="e">
        <f>TissueComp!L$5*INDEX(VolumeFlow!$A28:$B40,MATCH('Average Properties Calc'!$A29,VolumeFlow!$A28:$A40,0),4)</f>
        <v>#REF!</v>
      </c>
      <c r="K29" t="s">
        <v>34</v>
      </c>
    </row>
    <row r="30" spans="1:11" x14ac:dyDescent="0.25">
      <c r="A30" t="str">
        <f>TissueComp!A6</f>
        <v>Gut</v>
      </c>
      <c r="B30" s="2" t="e">
        <f>TissueComp!D$6*INDEX(VolumeFlow!$A29:$B41,MATCH('Average Properties Calc'!$A30,VolumeFlow!$A29:$A41,0),4)</f>
        <v>#REF!</v>
      </c>
      <c r="C30" s="2" t="e">
        <f>TissueComp!E$6*INDEX(VolumeFlow!$A29:$B41,MATCH('Average Properties Calc'!$A30,VolumeFlow!$A29:$A41,0),4)</f>
        <v>#REF!</v>
      </c>
      <c r="D30" s="2" t="e">
        <f>TissueComp!F$6*INDEX(VolumeFlow!$A29:$B41,MATCH('Average Properties Calc'!$A30,VolumeFlow!$A29:$A41,0),4)</f>
        <v>#REF!</v>
      </c>
      <c r="E30" s="2" t="e">
        <f>TissueComp!G$6*INDEX(VolumeFlow!$A29:$B41,MATCH('Average Properties Calc'!$A30,VolumeFlow!$A29:$A41,0),4)</f>
        <v>#REF!</v>
      </c>
      <c r="F30" s="2" t="e">
        <f>TissueComp!H$6*INDEX(VolumeFlow!$A29:$B41,MATCH('Average Properties Calc'!$A30,VolumeFlow!$A29:$A41,0),4)</f>
        <v>#REF!</v>
      </c>
      <c r="G30" s="2" t="e">
        <f>TissueComp!I$6*INDEX(VolumeFlow!$A29:$B41,MATCH('Average Properties Calc'!$A30,VolumeFlow!$A29:$A41,0),4)</f>
        <v>#REF!</v>
      </c>
      <c r="H30" s="2" t="e">
        <f>TissueComp!J$6*INDEX(VolumeFlow!$A29:$B41,MATCH('Average Properties Calc'!$A30,VolumeFlow!$A29:$A41,0),4)</f>
        <v>#REF!</v>
      </c>
      <c r="I30" s="2" t="e">
        <f>TissueComp!K$6*INDEX(VolumeFlow!$A29:$B41,MATCH('Average Properties Calc'!$A30,VolumeFlow!$A29:$A41,0),4)</f>
        <v>#REF!</v>
      </c>
      <c r="J30" s="2" t="e">
        <f>TissueComp!L$6*INDEX(VolumeFlow!$A29:$B41,MATCH('Average Properties Calc'!$A30,VolumeFlow!$A29:$A41,0),4)</f>
        <v>#REF!</v>
      </c>
      <c r="K30" t="s">
        <v>34</v>
      </c>
    </row>
    <row r="31" spans="1:11" x14ac:dyDescent="0.25">
      <c r="A31" t="str">
        <f>TissueComp!A7</f>
        <v>Heart</v>
      </c>
      <c r="B31" s="2" t="e">
        <f>TissueComp!D$7*INDEX(VolumeFlow!$A30:$B42,MATCH('Average Properties Calc'!$A31,VolumeFlow!$A30:$A42,0),4)</f>
        <v>#REF!</v>
      </c>
      <c r="C31" s="2" t="e">
        <f>TissueComp!E$7*INDEX(VolumeFlow!$A30:$B42,MATCH('Average Properties Calc'!$A31,VolumeFlow!$A30:$A42,0),4)</f>
        <v>#REF!</v>
      </c>
      <c r="D31" s="2" t="e">
        <f>TissueComp!F$7*INDEX(VolumeFlow!$A30:$B42,MATCH('Average Properties Calc'!$A31,VolumeFlow!$A30:$A42,0),4)</f>
        <v>#REF!</v>
      </c>
      <c r="E31" s="2" t="e">
        <f>TissueComp!G$7*INDEX(VolumeFlow!$A30:$B42,MATCH('Average Properties Calc'!$A31,VolumeFlow!$A30:$A42,0),4)</f>
        <v>#REF!</v>
      </c>
      <c r="F31" s="2" t="e">
        <f>TissueComp!H$7*INDEX(VolumeFlow!$A30:$B42,MATCH('Average Properties Calc'!$A31,VolumeFlow!$A30:$A42,0),4)</f>
        <v>#REF!</v>
      </c>
      <c r="G31" s="2" t="e">
        <f>TissueComp!I$7*INDEX(VolumeFlow!$A30:$B42,MATCH('Average Properties Calc'!$A31,VolumeFlow!$A30:$A42,0),4)</f>
        <v>#REF!</v>
      </c>
      <c r="H31" s="2" t="e">
        <f>TissueComp!J$7*INDEX(VolumeFlow!$A30:$B42,MATCH('Average Properties Calc'!$A31,VolumeFlow!$A30:$A42,0),4)</f>
        <v>#REF!</v>
      </c>
      <c r="I31" s="2" t="e">
        <f>TissueComp!K$7*INDEX(VolumeFlow!$A30:$B42,MATCH('Average Properties Calc'!$A31,VolumeFlow!$A30:$A42,0),4)</f>
        <v>#REF!</v>
      </c>
      <c r="J31" s="2" t="e">
        <f>TissueComp!L$7*INDEX(VolumeFlow!$A30:$B42,MATCH('Average Properties Calc'!$A31,VolumeFlow!$A30:$A42,0),4)</f>
        <v>#REF!</v>
      </c>
      <c r="K31" t="s">
        <v>34</v>
      </c>
    </row>
    <row r="32" spans="1:11" x14ac:dyDescent="0.25">
      <c r="A32" t="str">
        <f>TissueComp!A8</f>
        <v>Kidney</v>
      </c>
      <c r="B32" s="2" t="e">
        <f>TissueComp!D$8*INDEX(VolumeFlow!$A31:$B43,MATCH('Average Properties Calc'!$A32,VolumeFlow!$A31:$A43,0),4)</f>
        <v>#REF!</v>
      </c>
      <c r="C32" s="2" t="e">
        <f>TissueComp!E$8*INDEX(VolumeFlow!$A31:$B43,MATCH('Average Properties Calc'!$A32,VolumeFlow!$A31:$A43,0),4)</f>
        <v>#REF!</v>
      </c>
      <c r="D32" s="2" t="e">
        <f>TissueComp!F$8*INDEX(VolumeFlow!$A31:$B43,MATCH('Average Properties Calc'!$A32,VolumeFlow!$A31:$A43,0),4)</f>
        <v>#REF!</v>
      </c>
      <c r="E32" s="2" t="e">
        <f>TissueComp!G$8*INDEX(VolumeFlow!$A31:$B43,MATCH('Average Properties Calc'!$A32,VolumeFlow!$A31:$A43,0),4)</f>
        <v>#REF!</v>
      </c>
      <c r="F32" s="2" t="e">
        <f>TissueComp!H$8*INDEX(VolumeFlow!$A31:$B43,MATCH('Average Properties Calc'!$A32,VolumeFlow!$A31:$A43,0),4)</f>
        <v>#REF!</v>
      </c>
      <c r="G32" s="2" t="e">
        <f>TissueComp!I$8*INDEX(VolumeFlow!$A31:$B43,MATCH('Average Properties Calc'!$A32,VolumeFlow!$A31:$A43,0),4)</f>
        <v>#REF!</v>
      </c>
      <c r="H32" s="2" t="e">
        <f>TissueComp!J$8*INDEX(VolumeFlow!$A31:$B43,MATCH('Average Properties Calc'!$A32,VolumeFlow!$A31:$A43,0),4)</f>
        <v>#REF!</v>
      </c>
      <c r="I32" s="2" t="e">
        <f>TissueComp!K$8*INDEX(VolumeFlow!$A31:$B43,MATCH('Average Properties Calc'!$A32,VolumeFlow!$A31:$A43,0),4)</f>
        <v>#REF!</v>
      </c>
      <c r="J32" s="2" t="e">
        <f>TissueComp!L$8*INDEX(VolumeFlow!$A31:$B43,MATCH('Average Properties Calc'!$A32,VolumeFlow!$A31:$A43,0),4)</f>
        <v>#REF!</v>
      </c>
      <c r="K32" t="s">
        <v>34</v>
      </c>
    </row>
    <row r="33" spans="1:11" x14ac:dyDescent="0.25">
      <c r="A33" t="str">
        <f>TissueComp!A9</f>
        <v>Liver</v>
      </c>
      <c r="B33" s="2" t="e">
        <f>TissueComp!D$9*INDEX(VolumeFlow!$A32:$B44,MATCH('Average Properties Calc'!$A33,VolumeFlow!$A32:$A44,0),4)</f>
        <v>#REF!</v>
      </c>
      <c r="C33" s="2" t="e">
        <f>TissueComp!E$9*INDEX(VolumeFlow!$A32:$B44,MATCH('Average Properties Calc'!$A33,VolumeFlow!$A32:$A44,0),4)</f>
        <v>#REF!</v>
      </c>
      <c r="D33" s="2" t="e">
        <f>TissueComp!F$9*INDEX(VolumeFlow!$A32:$B44,MATCH('Average Properties Calc'!$A33,VolumeFlow!$A32:$A44,0),4)</f>
        <v>#REF!</v>
      </c>
      <c r="E33" s="2" t="e">
        <f>TissueComp!G$9*INDEX(VolumeFlow!$A32:$B44,MATCH('Average Properties Calc'!$A33,VolumeFlow!$A32:$A44,0),4)</f>
        <v>#REF!</v>
      </c>
      <c r="F33" s="2" t="e">
        <f>TissueComp!H$9*INDEX(VolumeFlow!$A32:$B44,MATCH('Average Properties Calc'!$A33,VolumeFlow!$A32:$A44,0),4)</f>
        <v>#REF!</v>
      </c>
      <c r="G33" s="2" t="e">
        <f>TissueComp!I$9*INDEX(VolumeFlow!$A32:$B44,MATCH('Average Properties Calc'!$A33,VolumeFlow!$A32:$A44,0),4)</f>
        <v>#REF!</v>
      </c>
      <c r="H33" s="2" t="e">
        <f>TissueComp!J$9*INDEX(VolumeFlow!$A32:$B44,MATCH('Average Properties Calc'!$A33,VolumeFlow!$A32:$A44,0),4)</f>
        <v>#REF!</v>
      </c>
      <c r="I33" s="2" t="e">
        <f>TissueComp!K$9*INDEX(VolumeFlow!$A32:$B44,MATCH('Average Properties Calc'!$A33,VolumeFlow!$A32:$A44,0),4)</f>
        <v>#REF!</v>
      </c>
      <c r="J33" s="2" t="e">
        <f>TissueComp!L$9*INDEX(VolumeFlow!$A32:$B44,MATCH('Average Properties Calc'!$A33,VolumeFlow!$A32:$A44,0),4)</f>
        <v>#REF!</v>
      </c>
      <c r="K33" t="s">
        <v>34</v>
      </c>
    </row>
    <row r="34" spans="1:11" x14ac:dyDescent="0.25">
      <c r="A34" t="str">
        <f>TissueComp!A10</f>
        <v>Lung</v>
      </c>
      <c r="B34" s="2" t="e">
        <f>TissueComp!D$10*INDEX(VolumeFlow!$A33:$B45,MATCH('Average Properties Calc'!$A34,VolumeFlow!$A33:$A45,0),4)</f>
        <v>#REF!</v>
      </c>
      <c r="C34" s="2" t="e">
        <f>TissueComp!E$10*INDEX(VolumeFlow!$A33:$B45,MATCH('Average Properties Calc'!$A34,VolumeFlow!$A33:$A45,0),4)</f>
        <v>#REF!</v>
      </c>
      <c r="D34" s="2" t="e">
        <f>TissueComp!F$10*INDEX(VolumeFlow!$A33:$B45,MATCH('Average Properties Calc'!$A34,VolumeFlow!$A33:$A45,0),4)</f>
        <v>#REF!</v>
      </c>
      <c r="E34" s="2" t="e">
        <f>TissueComp!G$10*INDEX(VolumeFlow!$A33:$B45,MATCH('Average Properties Calc'!$A34,VolumeFlow!$A33:$A45,0),4)</f>
        <v>#REF!</v>
      </c>
      <c r="F34" s="2" t="e">
        <f>TissueComp!H$10*INDEX(VolumeFlow!$A33:$B45,MATCH('Average Properties Calc'!$A34,VolumeFlow!$A33:$A45,0),4)</f>
        <v>#REF!</v>
      </c>
      <c r="G34" s="2" t="e">
        <f>TissueComp!I$10*INDEX(VolumeFlow!$A33:$B45,MATCH('Average Properties Calc'!$A34,VolumeFlow!$A33:$A45,0),4)</f>
        <v>#REF!</v>
      </c>
      <c r="H34" s="2" t="e">
        <f>TissueComp!J$10*INDEX(VolumeFlow!$A33:$B45,MATCH('Average Properties Calc'!$A34,VolumeFlow!$A33:$A45,0),4)</f>
        <v>#REF!</v>
      </c>
      <c r="I34" s="2" t="e">
        <f>TissueComp!K$10*INDEX(VolumeFlow!$A33:$B45,MATCH('Average Properties Calc'!$A34,VolumeFlow!$A33:$A45,0),4)</f>
        <v>#REF!</v>
      </c>
      <c r="J34" s="2" t="e">
        <f>TissueComp!L$10*INDEX(VolumeFlow!$A33:$B45,MATCH('Average Properties Calc'!$A34,VolumeFlow!$A33:$A45,0),4)</f>
        <v>#REF!</v>
      </c>
      <c r="K34" t="s">
        <v>34</v>
      </c>
    </row>
    <row r="35" spans="1:11" x14ac:dyDescent="0.25">
      <c r="A35" t="str">
        <f>TissueComp!A11</f>
        <v>Muscle</v>
      </c>
      <c r="B35" s="2" t="e">
        <f>TissueComp!D$11*INDEX(VolumeFlow!$A34:$B46,MATCH('Average Properties Calc'!$A35,VolumeFlow!$A34:$A46,0),4)</f>
        <v>#REF!</v>
      </c>
      <c r="C35" s="2" t="e">
        <f>TissueComp!E$11*INDEX(VolumeFlow!$A34:$B46,MATCH('Average Properties Calc'!$A35,VolumeFlow!$A34:$A46,0),4)</f>
        <v>#REF!</v>
      </c>
      <c r="D35" s="2" t="e">
        <f>TissueComp!F$11*INDEX(VolumeFlow!$A34:$B46,MATCH('Average Properties Calc'!$A35,VolumeFlow!$A34:$A46,0),4)</f>
        <v>#REF!</v>
      </c>
      <c r="E35" s="2" t="e">
        <f>TissueComp!G$11*INDEX(VolumeFlow!$A34:$B46,MATCH('Average Properties Calc'!$A35,VolumeFlow!$A34:$A46,0),4)</f>
        <v>#REF!</v>
      </c>
      <c r="F35" s="2" t="e">
        <f>TissueComp!H$11*INDEX(VolumeFlow!$A34:$B46,MATCH('Average Properties Calc'!$A35,VolumeFlow!$A34:$A46,0),4)</f>
        <v>#REF!</v>
      </c>
      <c r="G35" s="2" t="e">
        <f>TissueComp!I$11*INDEX(VolumeFlow!$A34:$B46,MATCH('Average Properties Calc'!$A35,VolumeFlow!$A34:$A46,0),4)</f>
        <v>#REF!</v>
      </c>
      <c r="H35" s="2" t="e">
        <f>TissueComp!J$11*INDEX(VolumeFlow!$A34:$B46,MATCH('Average Properties Calc'!$A35,VolumeFlow!$A34:$A46,0),4)</f>
        <v>#REF!</v>
      </c>
      <c r="I35" s="2" t="e">
        <f>TissueComp!K$11*INDEX(VolumeFlow!$A34:$B46,MATCH('Average Properties Calc'!$A35,VolumeFlow!$A34:$A46,0),4)</f>
        <v>#REF!</v>
      </c>
      <c r="J35" s="2" t="e">
        <f>TissueComp!L$11*INDEX(VolumeFlow!$A34:$B46,MATCH('Average Properties Calc'!$A35,VolumeFlow!$A34:$A46,0),4)</f>
        <v>#REF!</v>
      </c>
      <c r="K35" t="s">
        <v>34</v>
      </c>
    </row>
    <row r="36" spans="1:11" x14ac:dyDescent="0.25">
      <c r="A36" t="str">
        <f>TissueComp!A12</f>
        <v>Skin</v>
      </c>
      <c r="B36" s="2" t="e">
        <f>TissueComp!D$12*INDEX(VolumeFlow!$A35:$B47,MATCH('Average Properties Calc'!$A36,VolumeFlow!$A35:$A47,0),4)</f>
        <v>#REF!</v>
      </c>
      <c r="C36" s="2" t="e">
        <f>TissueComp!E$12*INDEX(VolumeFlow!$A35:$B47,MATCH('Average Properties Calc'!$A36,VolumeFlow!$A35:$A47,0),4)</f>
        <v>#REF!</v>
      </c>
      <c r="D36" s="2" t="e">
        <f>TissueComp!F$12*INDEX(VolumeFlow!$A35:$B47,MATCH('Average Properties Calc'!$A36,VolumeFlow!$A35:$A47,0),4)</f>
        <v>#REF!</v>
      </c>
      <c r="E36" s="2" t="e">
        <f>TissueComp!G$12*INDEX(VolumeFlow!$A35:$B47,MATCH('Average Properties Calc'!$A36,VolumeFlow!$A35:$A47,0),4)</f>
        <v>#REF!</v>
      </c>
      <c r="F36" s="2" t="e">
        <f>TissueComp!H$12*INDEX(VolumeFlow!$A35:$B47,MATCH('Average Properties Calc'!$A36,VolumeFlow!$A35:$A47,0),4)</f>
        <v>#REF!</v>
      </c>
      <c r="G36" s="2" t="e">
        <f>TissueComp!I$12*INDEX(VolumeFlow!$A35:$B47,MATCH('Average Properties Calc'!$A36,VolumeFlow!$A35:$A47,0),4)</f>
        <v>#REF!</v>
      </c>
      <c r="H36" s="2" t="e">
        <f>TissueComp!J$12*INDEX(VolumeFlow!$A35:$B47,MATCH('Average Properties Calc'!$A36,VolumeFlow!$A35:$A47,0),4)</f>
        <v>#REF!</v>
      </c>
      <c r="I36" s="2" t="e">
        <f>TissueComp!K$12*INDEX(VolumeFlow!$A35:$B47,MATCH('Average Properties Calc'!$A36,VolumeFlow!$A35:$A47,0),4)</f>
        <v>#REF!</v>
      </c>
      <c r="J36" s="2" t="e">
        <f>TissueComp!L$12*INDEX(VolumeFlow!$A35:$B47,MATCH('Average Properties Calc'!$A36,VolumeFlow!$A35:$A47,0),4)</f>
        <v>#REF!</v>
      </c>
      <c r="K36" t="s">
        <v>34</v>
      </c>
    </row>
    <row r="37" spans="1:11" x14ac:dyDescent="0.25">
      <c r="A37" t="str">
        <f>TissueComp!A13</f>
        <v>Spleen</v>
      </c>
      <c r="B37" s="2" t="e">
        <f>TissueComp!D$13*INDEX(VolumeFlow!$A36:$B48,MATCH('Average Properties Calc'!$A37,VolumeFlow!$A36:$A48,0),4)</f>
        <v>#REF!</v>
      </c>
      <c r="C37" s="2" t="e">
        <f>TissueComp!E$13*INDEX(VolumeFlow!$A36:$B48,MATCH('Average Properties Calc'!$A37,VolumeFlow!$A36:$A48,0),4)</f>
        <v>#REF!</v>
      </c>
      <c r="D37" s="2" t="e">
        <f>TissueComp!F$13*INDEX(VolumeFlow!$A36:$B48,MATCH('Average Properties Calc'!$A37,VolumeFlow!$A36:$A48,0),4)</f>
        <v>#REF!</v>
      </c>
      <c r="E37" s="2" t="e">
        <f>TissueComp!G$13*INDEX(VolumeFlow!$A36:$B48,MATCH('Average Properties Calc'!$A37,VolumeFlow!$A36:$A48,0),4)</f>
        <v>#REF!</v>
      </c>
      <c r="F37" s="2" t="e">
        <f>TissueComp!H$13*INDEX(VolumeFlow!$A36:$B48,MATCH('Average Properties Calc'!$A37,VolumeFlow!$A36:$A48,0),4)</f>
        <v>#REF!</v>
      </c>
      <c r="G37" s="2" t="e">
        <f>TissueComp!I$13*INDEX(VolumeFlow!$A36:$B48,MATCH('Average Properties Calc'!$A37,VolumeFlow!$A36:$A48,0),4)</f>
        <v>#REF!</v>
      </c>
      <c r="H37" s="2" t="e">
        <f>TissueComp!J$13*INDEX(VolumeFlow!$A36:$B48,MATCH('Average Properties Calc'!$A37,VolumeFlow!$A36:$A48,0),4)</f>
        <v>#REF!</v>
      </c>
      <c r="I37" s="2" t="e">
        <f>TissueComp!K$13*INDEX(VolumeFlow!$A36:$B48,MATCH('Average Properties Calc'!$A37,VolumeFlow!$A36:$A48,0),4)</f>
        <v>#REF!</v>
      </c>
      <c r="J37" s="2" t="e">
        <f>TissueComp!L$13*INDEX(VolumeFlow!$A36:$B48,MATCH('Average Properties Calc'!$A37,VolumeFlow!$A36:$A48,0),4)</f>
        <v>#REF!</v>
      </c>
      <c r="K37" t="s">
        <v>34</v>
      </c>
    </row>
    <row r="38" spans="1:11" x14ac:dyDescent="0.25">
      <c r="B38" s="2" t="e">
        <f>SUM(B27:B37)/SUM(VolumeFlow!#REF!)</f>
        <v>#REF!</v>
      </c>
      <c r="C38" s="2" t="e">
        <f>SUM(C27:C37)/SUM(VolumeFlow!#REF!)</f>
        <v>#REF!</v>
      </c>
      <c r="D38" s="2" t="e">
        <f>SUM(D27:D37)/SUM(VolumeFlow!#REF!)</f>
        <v>#REF!</v>
      </c>
      <c r="E38" s="2" t="e">
        <f>SUM(E27:E37)/SUM(VolumeFlow!#REF!)</f>
        <v>#REF!</v>
      </c>
      <c r="F38" s="2" t="e">
        <f>SUM(F27:F37)/SUM(VolumeFlow!#REF!)</f>
        <v>#REF!</v>
      </c>
      <c r="G38" s="2" t="e">
        <f>SUM(G27:G37)/SUM(VolumeFlow!#REF!)</f>
        <v>#REF!</v>
      </c>
      <c r="H38" s="2" t="e">
        <f>SUM(H27:H37)/SUM(VolumeFlow!#REF!)</f>
        <v>#REF!</v>
      </c>
      <c r="I38" s="2" t="e">
        <f>SUM(I27:I37)/SUM(VolumeFlow!#REF!)</f>
        <v>#REF!</v>
      </c>
      <c r="J38" s="2" t="e">
        <f>SUM(J27:J37)/SUM(VolumeFlow!#REF!)</f>
        <v>#REF!</v>
      </c>
    </row>
    <row r="39" spans="1:11" x14ac:dyDescent="0.25">
      <c r="A39" t="str">
        <f>TissueComp!A3</f>
        <v>Adipose</v>
      </c>
      <c r="B39" s="2" t="e">
        <f>TissueComp!D$3*INDEX(VolumeFlow!$A38:$B50,MATCH('Average Properties Calc'!$A39,VolumeFlow!$A38:$A50,0),4)</f>
        <v>#REF!</v>
      </c>
      <c r="C39" s="2" t="e">
        <f>TissueComp!E$3*INDEX(VolumeFlow!$A38:$B50,MATCH('Average Properties Calc'!$A39,VolumeFlow!$A38:$A50,0),4)</f>
        <v>#REF!</v>
      </c>
      <c r="D39" s="2" t="e">
        <f>TissueComp!F$3*INDEX(VolumeFlow!$A38:$B50,MATCH('Average Properties Calc'!$A39,VolumeFlow!$A38:$A50,0),4)</f>
        <v>#REF!</v>
      </c>
      <c r="E39" s="2" t="e">
        <f>TissueComp!G$3*INDEX(VolumeFlow!$A38:$B50,MATCH('Average Properties Calc'!$A39,VolumeFlow!$A38:$A50,0),4)</f>
        <v>#REF!</v>
      </c>
      <c r="F39" s="2" t="e">
        <f>TissueComp!H$3*INDEX(VolumeFlow!$A38:$B50,MATCH('Average Properties Calc'!$A39,VolumeFlow!$A38:$A50,0),4)</f>
        <v>#REF!</v>
      </c>
      <c r="G39" s="2" t="e">
        <f>TissueComp!I$3*INDEX(VolumeFlow!$A38:$B50,MATCH('Average Properties Calc'!$A39,VolumeFlow!$A38:$A50,0),4)</f>
        <v>#REF!</v>
      </c>
      <c r="H39" s="2" t="e">
        <f>TissueComp!J$3*INDEX(VolumeFlow!$A38:$B50,MATCH('Average Properties Calc'!$A39,VolumeFlow!$A38:$A50,0),4)</f>
        <v>#REF!</v>
      </c>
      <c r="I39" s="2" t="e">
        <f>TissueComp!K$3*INDEX(VolumeFlow!$A38:$B50,MATCH('Average Properties Calc'!$A39,VolumeFlow!$A38:$A50,0),4)</f>
        <v>#REF!</v>
      </c>
      <c r="J39" s="2" t="e">
        <f>TissueComp!L$3*INDEX(VolumeFlow!$A38:$B50,MATCH('Average Properties Calc'!$A39,VolumeFlow!$A38:$A50,0),4)</f>
        <v>#REF!</v>
      </c>
      <c r="K39" t="s">
        <v>18</v>
      </c>
    </row>
    <row r="40" spans="1:11" x14ac:dyDescent="0.25">
      <c r="A40" t="str">
        <f>TissueComp!A4</f>
        <v>Bone</v>
      </c>
      <c r="B40" s="2" t="e">
        <f>TissueComp!D$4*INDEX(VolumeFlow!$A39:$B51,MATCH('Average Properties Calc'!$A40,VolumeFlow!$A39:$A51,0),4)</f>
        <v>#REF!</v>
      </c>
      <c r="C40" s="2" t="e">
        <f>TissueComp!E$4*INDEX(VolumeFlow!$A39:$B51,MATCH('Average Properties Calc'!$A40,VolumeFlow!$A39:$A51,0),4)</f>
        <v>#REF!</v>
      </c>
      <c r="D40" s="2" t="e">
        <f>TissueComp!F$4*INDEX(VolumeFlow!$A39:$B51,MATCH('Average Properties Calc'!$A40,VolumeFlow!$A39:$A51,0),4)</f>
        <v>#REF!</v>
      </c>
      <c r="E40" s="2" t="e">
        <f>TissueComp!G$4*INDEX(VolumeFlow!$A39:$B51,MATCH('Average Properties Calc'!$A40,VolumeFlow!$A39:$A51,0),4)</f>
        <v>#REF!</v>
      </c>
      <c r="F40" s="2" t="e">
        <f>TissueComp!H$4*INDEX(VolumeFlow!$A39:$B51,MATCH('Average Properties Calc'!$A40,VolumeFlow!$A39:$A51,0),4)</f>
        <v>#REF!</v>
      </c>
      <c r="G40" s="2" t="e">
        <f>TissueComp!I$4*INDEX(VolumeFlow!$A39:$B51,MATCH('Average Properties Calc'!$A40,VolumeFlow!$A39:$A51,0),4)</f>
        <v>#REF!</v>
      </c>
      <c r="H40" s="2" t="e">
        <f>TissueComp!J$4*INDEX(VolumeFlow!$A39:$B51,MATCH('Average Properties Calc'!$A40,VolumeFlow!$A39:$A51,0),4)</f>
        <v>#REF!</v>
      </c>
      <c r="I40" s="2" t="e">
        <f>TissueComp!K$4*INDEX(VolumeFlow!$A39:$B51,MATCH('Average Properties Calc'!$A40,VolumeFlow!$A39:$A51,0),4)</f>
        <v>#REF!</v>
      </c>
      <c r="J40" s="2" t="e">
        <f>TissueComp!L$4*INDEX(VolumeFlow!$A39:$B51,MATCH('Average Properties Calc'!$A40,VolumeFlow!$A39:$A51,0),4)</f>
        <v>#REF!</v>
      </c>
      <c r="K40" t="s">
        <v>18</v>
      </c>
    </row>
    <row r="41" spans="1:11" x14ac:dyDescent="0.25">
      <c r="A41" t="str">
        <f>TissueComp!A5</f>
        <v>Brain</v>
      </c>
      <c r="B41" s="2" t="e">
        <f>TissueComp!D$5*INDEX(VolumeFlow!$A40:$B52,MATCH('Average Properties Calc'!$A41,VolumeFlow!$A40:$A52,0),4)</f>
        <v>#REF!</v>
      </c>
      <c r="C41" s="2" t="e">
        <f>TissueComp!E$5*INDEX(VolumeFlow!$A40:$B52,MATCH('Average Properties Calc'!$A41,VolumeFlow!$A40:$A52,0),4)</f>
        <v>#REF!</v>
      </c>
      <c r="D41" s="2" t="e">
        <f>TissueComp!F$5*INDEX(VolumeFlow!$A40:$B52,MATCH('Average Properties Calc'!$A41,VolumeFlow!$A40:$A52,0),4)</f>
        <v>#REF!</v>
      </c>
      <c r="E41" s="2" t="e">
        <f>TissueComp!G$5*INDEX(VolumeFlow!$A40:$B52,MATCH('Average Properties Calc'!$A41,VolumeFlow!$A40:$A52,0),4)</f>
        <v>#REF!</v>
      </c>
      <c r="F41" s="2" t="e">
        <f>TissueComp!H$5*INDEX(VolumeFlow!$A40:$B52,MATCH('Average Properties Calc'!$A41,VolumeFlow!$A40:$A52,0),4)</f>
        <v>#REF!</v>
      </c>
      <c r="G41" s="2" t="e">
        <f>TissueComp!I$5*INDEX(VolumeFlow!$A40:$B52,MATCH('Average Properties Calc'!$A41,VolumeFlow!$A40:$A52,0),4)</f>
        <v>#REF!</v>
      </c>
      <c r="H41" s="2" t="e">
        <f>TissueComp!J$5*INDEX(VolumeFlow!$A40:$B52,MATCH('Average Properties Calc'!$A41,VolumeFlow!$A40:$A52,0),4)</f>
        <v>#REF!</v>
      </c>
      <c r="I41" s="2" t="e">
        <f>TissueComp!K$5*INDEX(VolumeFlow!$A40:$B52,MATCH('Average Properties Calc'!$A41,VolumeFlow!$A40:$A52,0),4)</f>
        <v>#REF!</v>
      </c>
      <c r="J41" s="2" t="e">
        <f>TissueComp!L$5*INDEX(VolumeFlow!$A40:$B52,MATCH('Average Properties Calc'!$A41,VolumeFlow!$A40:$A52,0),4)</f>
        <v>#REF!</v>
      </c>
      <c r="K41" t="s">
        <v>18</v>
      </c>
    </row>
    <row r="42" spans="1:11" x14ac:dyDescent="0.25">
      <c r="A42" t="str">
        <f>TissueComp!A6</f>
        <v>Gut</v>
      </c>
      <c r="B42" s="2" t="e">
        <f>TissueComp!D$6*INDEX(VolumeFlow!$A41:$B53,MATCH('Average Properties Calc'!$A42,VolumeFlow!$A41:$A53,0),4)</f>
        <v>#REF!</v>
      </c>
      <c r="C42" s="2" t="e">
        <f>TissueComp!E$6*INDEX(VolumeFlow!$A41:$B53,MATCH('Average Properties Calc'!$A42,VolumeFlow!$A41:$A53,0),4)</f>
        <v>#REF!</v>
      </c>
      <c r="D42" s="2" t="e">
        <f>TissueComp!F$6*INDEX(VolumeFlow!$A41:$B53,MATCH('Average Properties Calc'!$A42,VolumeFlow!$A41:$A53,0),4)</f>
        <v>#REF!</v>
      </c>
      <c r="E42" s="2" t="e">
        <f>TissueComp!G$6*INDEX(VolumeFlow!$A41:$B53,MATCH('Average Properties Calc'!$A42,VolumeFlow!$A41:$A53,0),4)</f>
        <v>#REF!</v>
      </c>
      <c r="F42" s="2" t="e">
        <f>TissueComp!H$6*INDEX(VolumeFlow!$A41:$B53,MATCH('Average Properties Calc'!$A42,VolumeFlow!$A41:$A53,0),4)</f>
        <v>#REF!</v>
      </c>
      <c r="G42" s="2" t="e">
        <f>TissueComp!I$6*INDEX(VolumeFlow!$A41:$B53,MATCH('Average Properties Calc'!$A42,VolumeFlow!$A41:$A53,0),4)</f>
        <v>#REF!</v>
      </c>
      <c r="H42" s="2" t="e">
        <f>TissueComp!J$6*INDEX(VolumeFlow!$A41:$B53,MATCH('Average Properties Calc'!$A42,VolumeFlow!$A41:$A53,0),4)</f>
        <v>#REF!</v>
      </c>
      <c r="I42" s="2" t="e">
        <f>TissueComp!K$6*INDEX(VolumeFlow!$A41:$B53,MATCH('Average Properties Calc'!$A42,VolumeFlow!$A41:$A53,0),4)</f>
        <v>#REF!</v>
      </c>
      <c r="J42" s="2" t="e">
        <f>TissueComp!L$6*INDEX(VolumeFlow!$A41:$B53,MATCH('Average Properties Calc'!$A42,VolumeFlow!$A41:$A53,0),4)</f>
        <v>#REF!</v>
      </c>
      <c r="K42" t="s">
        <v>18</v>
      </c>
    </row>
    <row r="43" spans="1:11" x14ac:dyDescent="0.25">
      <c r="A43" t="str">
        <f>TissueComp!A7</f>
        <v>Heart</v>
      </c>
      <c r="B43" s="2" t="e">
        <f>TissueComp!D$7*INDEX(VolumeFlow!$A42:$B54,MATCH('Average Properties Calc'!$A43,VolumeFlow!$A42:$A54,0),4)</f>
        <v>#REF!</v>
      </c>
      <c r="C43" s="2" t="e">
        <f>TissueComp!E$7*INDEX(VolumeFlow!$A42:$B54,MATCH('Average Properties Calc'!$A43,VolumeFlow!$A42:$A54,0),4)</f>
        <v>#REF!</v>
      </c>
      <c r="D43" s="2" t="e">
        <f>TissueComp!F$7*INDEX(VolumeFlow!$A42:$B54,MATCH('Average Properties Calc'!$A43,VolumeFlow!$A42:$A54,0),4)</f>
        <v>#REF!</v>
      </c>
      <c r="E43" s="2" t="e">
        <f>TissueComp!G$7*INDEX(VolumeFlow!$A42:$B54,MATCH('Average Properties Calc'!$A43,VolumeFlow!$A42:$A54,0),4)</f>
        <v>#REF!</v>
      </c>
      <c r="F43" s="2" t="e">
        <f>TissueComp!H$7*INDEX(VolumeFlow!$A42:$B54,MATCH('Average Properties Calc'!$A43,VolumeFlow!$A42:$A54,0),4)</f>
        <v>#REF!</v>
      </c>
      <c r="G43" s="2" t="e">
        <f>TissueComp!I$7*INDEX(VolumeFlow!$A42:$B54,MATCH('Average Properties Calc'!$A43,VolumeFlow!$A42:$A54,0),4)</f>
        <v>#REF!</v>
      </c>
      <c r="H43" s="2" t="e">
        <f>TissueComp!J$7*INDEX(VolumeFlow!$A42:$B54,MATCH('Average Properties Calc'!$A43,VolumeFlow!$A42:$A54,0),4)</f>
        <v>#REF!</v>
      </c>
      <c r="I43" s="2" t="e">
        <f>TissueComp!K$7*INDEX(VolumeFlow!$A42:$B54,MATCH('Average Properties Calc'!$A43,VolumeFlow!$A42:$A54,0),4)</f>
        <v>#REF!</v>
      </c>
      <c r="J43" s="2" t="e">
        <f>TissueComp!L$7*INDEX(VolumeFlow!$A42:$B54,MATCH('Average Properties Calc'!$A43,VolumeFlow!$A42:$A54,0),4)</f>
        <v>#REF!</v>
      </c>
      <c r="K43" t="s">
        <v>18</v>
      </c>
    </row>
    <row r="44" spans="1:11" x14ac:dyDescent="0.25">
      <c r="A44" t="str">
        <f>TissueComp!A8</f>
        <v>Kidney</v>
      </c>
      <c r="B44" s="2" t="e">
        <f>TissueComp!D$8*INDEX(VolumeFlow!$A43:$B55,MATCH('Average Properties Calc'!$A44,VolumeFlow!$A43:$A55,0),4)</f>
        <v>#REF!</v>
      </c>
      <c r="C44" s="2" t="e">
        <f>TissueComp!E$8*INDEX(VolumeFlow!$A43:$B55,MATCH('Average Properties Calc'!$A44,VolumeFlow!$A43:$A55,0),4)</f>
        <v>#REF!</v>
      </c>
      <c r="D44" s="2" t="e">
        <f>TissueComp!F$8*INDEX(VolumeFlow!$A43:$B55,MATCH('Average Properties Calc'!$A44,VolumeFlow!$A43:$A55,0),4)</f>
        <v>#REF!</v>
      </c>
      <c r="E44" s="2" t="e">
        <f>TissueComp!G$8*INDEX(VolumeFlow!$A43:$B55,MATCH('Average Properties Calc'!$A44,VolumeFlow!$A43:$A55,0),4)</f>
        <v>#REF!</v>
      </c>
      <c r="F44" s="2" t="e">
        <f>TissueComp!H$8*INDEX(VolumeFlow!$A43:$B55,MATCH('Average Properties Calc'!$A44,VolumeFlow!$A43:$A55,0),4)</f>
        <v>#REF!</v>
      </c>
      <c r="G44" s="2" t="e">
        <f>TissueComp!I$8*INDEX(VolumeFlow!$A43:$B55,MATCH('Average Properties Calc'!$A44,VolumeFlow!$A43:$A55,0),4)</f>
        <v>#REF!</v>
      </c>
      <c r="H44" s="2" t="e">
        <f>TissueComp!J$8*INDEX(VolumeFlow!$A43:$B55,MATCH('Average Properties Calc'!$A44,VolumeFlow!$A43:$A55,0),4)</f>
        <v>#REF!</v>
      </c>
      <c r="I44" s="2" t="e">
        <f>TissueComp!K$8*INDEX(VolumeFlow!$A43:$B55,MATCH('Average Properties Calc'!$A44,VolumeFlow!$A43:$A55,0),4)</f>
        <v>#REF!</v>
      </c>
      <c r="J44" s="2" t="e">
        <f>TissueComp!L$8*INDEX(VolumeFlow!$A43:$B55,MATCH('Average Properties Calc'!$A44,VolumeFlow!$A43:$A55,0),4)</f>
        <v>#REF!</v>
      </c>
      <c r="K44" t="s">
        <v>18</v>
      </c>
    </row>
    <row r="45" spans="1:11" x14ac:dyDescent="0.25">
      <c r="A45" t="str">
        <f>TissueComp!A9</f>
        <v>Liver</v>
      </c>
      <c r="B45" s="2" t="e">
        <f>TissueComp!D$9*INDEX(VolumeFlow!$A44:$B56,MATCH('Average Properties Calc'!$A45,VolumeFlow!$A44:$A56,0),4)</f>
        <v>#REF!</v>
      </c>
      <c r="C45" s="2" t="e">
        <f>TissueComp!E$9*INDEX(VolumeFlow!$A44:$B56,MATCH('Average Properties Calc'!$A45,VolumeFlow!$A44:$A56,0),4)</f>
        <v>#REF!</v>
      </c>
      <c r="D45" s="2" t="e">
        <f>TissueComp!F$9*INDEX(VolumeFlow!$A44:$B56,MATCH('Average Properties Calc'!$A45,VolumeFlow!$A44:$A56,0),4)</f>
        <v>#REF!</v>
      </c>
      <c r="E45" s="2" t="e">
        <f>TissueComp!G$9*INDEX(VolumeFlow!$A44:$B56,MATCH('Average Properties Calc'!$A45,VolumeFlow!$A44:$A56,0),4)</f>
        <v>#REF!</v>
      </c>
      <c r="F45" s="2" t="e">
        <f>TissueComp!H$9*INDEX(VolumeFlow!$A44:$B56,MATCH('Average Properties Calc'!$A45,VolumeFlow!$A44:$A56,0),4)</f>
        <v>#REF!</v>
      </c>
      <c r="G45" s="2" t="e">
        <f>TissueComp!I$9*INDEX(VolumeFlow!$A44:$B56,MATCH('Average Properties Calc'!$A45,VolumeFlow!$A44:$A56,0),4)</f>
        <v>#REF!</v>
      </c>
      <c r="H45" s="2" t="e">
        <f>TissueComp!J$9*INDEX(VolumeFlow!$A44:$B56,MATCH('Average Properties Calc'!$A45,VolumeFlow!$A44:$A56,0),4)</f>
        <v>#REF!</v>
      </c>
      <c r="I45" s="2" t="e">
        <f>TissueComp!K$9*INDEX(VolumeFlow!$A44:$B56,MATCH('Average Properties Calc'!$A45,VolumeFlow!$A44:$A56,0),4)</f>
        <v>#REF!</v>
      </c>
      <c r="J45" s="2" t="e">
        <f>TissueComp!L$9*INDEX(VolumeFlow!$A44:$B56,MATCH('Average Properties Calc'!$A45,VolumeFlow!$A44:$A56,0),4)</f>
        <v>#REF!</v>
      </c>
      <c r="K45" t="s">
        <v>18</v>
      </c>
    </row>
    <row r="46" spans="1:11" x14ac:dyDescent="0.25">
      <c r="A46" t="str">
        <f>TissueComp!A10</f>
        <v>Lung</v>
      </c>
      <c r="B46" s="2" t="e">
        <f>TissueComp!D$10*INDEX(VolumeFlow!$A45:$B57,MATCH('Average Properties Calc'!$A46,VolumeFlow!$A45:$A57,0),4)</f>
        <v>#REF!</v>
      </c>
      <c r="C46" s="2" t="e">
        <f>TissueComp!E$10*INDEX(VolumeFlow!$A45:$B57,MATCH('Average Properties Calc'!$A46,VolumeFlow!$A45:$A57,0),4)</f>
        <v>#REF!</v>
      </c>
      <c r="D46" s="2" t="e">
        <f>TissueComp!F$10*INDEX(VolumeFlow!$A45:$B57,MATCH('Average Properties Calc'!$A46,VolumeFlow!$A45:$A57,0),4)</f>
        <v>#REF!</v>
      </c>
      <c r="E46" s="2" t="e">
        <f>TissueComp!G$10*INDEX(VolumeFlow!$A45:$B57,MATCH('Average Properties Calc'!$A46,VolumeFlow!$A45:$A57,0),4)</f>
        <v>#REF!</v>
      </c>
      <c r="F46" s="2" t="e">
        <f>TissueComp!H$10*INDEX(VolumeFlow!$A45:$B57,MATCH('Average Properties Calc'!$A46,VolumeFlow!$A45:$A57,0),4)</f>
        <v>#REF!</v>
      </c>
      <c r="G46" s="2" t="e">
        <f>TissueComp!I$10*INDEX(VolumeFlow!$A45:$B57,MATCH('Average Properties Calc'!$A46,VolumeFlow!$A45:$A57,0),4)</f>
        <v>#REF!</v>
      </c>
      <c r="H46" s="2" t="e">
        <f>TissueComp!J$10*INDEX(VolumeFlow!$A45:$B57,MATCH('Average Properties Calc'!$A46,VolumeFlow!$A45:$A57,0),4)</f>
        <v>#REF!</v>
      </c>
      <c r="I46" s="2" t="e">
        <f>TissueComp!K$10*INDEX(VolumeFlow!$A45:$B57,MATCH('Average Properties Calc'!$A46,VolumeFlow!$A45:$A57,0),4)</f>
        <v>#REF!</v>
      </c>
      <c r="J46" s="2" t="e">
        <f>TissueComp!L$10*INDEX(VolumeFlow!$A45:$B57,MATCH('Average Properties Calc'!$A46,VolumeFlow!$A45:$A57,0),4)</f>
        <v>#REF!</v>
      </c>
      <c r="K46" t="s">
        <v>18</v>
      </c>
    </row>
    <row r="47" spans="1:11" x14ac:dyDescent="0.25">
      <c r="A47" t="str">
        <f>TissueComp!A11</f>
        <v>Muscle</v>
      </c>
      <c r="B47" s="2" t="e">
        <f>TissueComp!D$11*INDEX(VolumeFlow!$A46:$B58,MATCH('Average Properties Calc'!$A47,VolumeFlow!$A46:$A58,0),4)</f>
        <v>#REF!</v>
      </c>
      <c r="C47" s="2" t="e">
        <f>TissueComp!E$11*INDEX(VolumeFlow!$A46:$B58,MATCH('Average Properties Calc'!$A47,VolumeFlow!$A46:$A58,0),4)</f>
        <v>#REF!</v>
      </c>
      <c r="D47" s="2" t="e">
        <f>TissueComp!F$11*INDEX(VolumeFlow!$A46:$B58,MATCH('Average Properties Calc'!$A47,VolumeFlow!$A46:$A58,0),4)</f>
        <v>#REF!</v>
      </c>
      <c r="E47" s="2" t="e">
        <f>TissueComp!G$11*INDEX(VolumeFlow!$A46:$B58,MATCH('Average Properties Calc'!$A47,VolumeFlow!$A46:$A58,0),4)</f>
        <v>#REF!</v>
      </c>
      <c r="F47" s="2" t="e">
        <f>TissueComp!H$11*INDEX(VolumeFlow!$A46:$B58,MATCH('Average Properties Calc'!$A47,VolumeFlow!$A46:$A58,0),4)</f>
        <v>#REF!</v>
      </c>
      <c r="G47" s="2" t="e">
        <f>TissueComp!I$11*INDEX(VolumeFlow!$A46:$B58,MATCH('Average Properties Calc'!$A47,VolumeFlow!$A46:$A58,0),4)</f>
        <v>#REF!</v>
      </c>
      <c r="H47" s="2" t="e">
        <f>TissueComp!J$11*INDEX(VolumeFlow!$A46:$B58,MATCH('Average Properties Calc'!$A47,VolumeFlow!$A46:$A58,0),4)</f>
        <v>#REF!</v>
      </c>
      <c r="I47" s="2" t="e">
        <f>TissueComp!K$11*INDEX(VolumeFlow!$A46:$B58,MATCH('Average Properties Calc'!$A47,VolumeFlow!$A46:$A58,0),4)</f>
        <v>#REF!</v>
      </c>
      <c r="J47" s="2" t="e">
        <f>TissueComp!L$11*INDEX(VolumeFlow!$A46:$B58,MATCH('Average Properties Calc'!$A47,VolumeFlow!$A46:$A58,0),4)</f>
        <v>#REF!</v>
      </c>
      <c r="K47" t="s">
        <v>18</v>
      </c>
    </row>
    <row r="48" spans="1:11" x14ac:dyDescent="0.25">
      <c r="A48" t="str">
        <f>TissueComp!A12</f>
        <v>Skin</v>
      </c>
      <c r="B48" s="2" t="e">
        <f>TissueComp!D$12*INDEX(VolumeFlow!$A47:$B59,MATCH('Average Properties Calc'!$A48,VolumeFlow!$A47:$A59,0),4)</f>
        <v>#REF!</v>
      </c>
      <c r="C48" s="2" t="e">
        <f>TissueComp!E$12*INDEX(VolumeFlow!$A47:$B59,MATCH('Average Properties Calc'!$A48,VolumeFlow!$A47:$A59,0),4)</f>
        <v>#REF!</v>
      </c>
      <c r="D48" s="2" t="e">
        <f>TissueComp!F$12*INDEX(VolumeFlow!$A47:$B59,MATCH('Average Properties Calc'!$A48,VolumeFlow!$A47:$A59,0),4)</f>
        <v>#REF!</v>
      </c>
      <c r="E48" s="2" t="e">
        <f>TissueComp!G$12*INDEX(VolumeFlow!$A47:$B59,MATCH('Average Properties Calc'!$A48,VolumeFlow!$A47:$A59,0),4)</f>
        <v>#REF!</v>
      </c>
      <c r="F48" s="2" t="e">
        <f>TissueComp!H$12*INDEX(VolumeFlow!$A47:$B59,MATCH('Average Properties Calc'!$A48,VolumeFlow!$A47:$A59,0),4)</f>
        <v>#REF!</v>
      </c>
      <c r="G48" s="2" t="e">
        <f>TissueComp!I$12*INDEX(VolumeFlow!$A47:$B59,MATCH('Average Properties Calc'!$A48,VolumeFlow!$A47:$A59,0),4)</f>
        <v>#REF!</v>
      </c>
      <c r="H48" s="2" t="e">
        <f>TissueComp!J$12*INDEX(VolumeFlow!$A47:$B59,MATCH('Average Properties Calc'!$A48,VolumeFlow!$A47:$A59,0),4)</f>
        <v>#REF!</v>
      </c>
      <c r="I48" s="2" t="e">
        <f>TissueComp!K$12*INDEX(VolumeFlow!$A47:$B59,MATCH('Average Properties Calc'!$A48,VolumeFlow!$A47:$A59,0),4)</f>
        <v>#REF!</v>
      </c>
      <c r="J48" s="2" t="e">
        <f>TissueComp!L$12*INDEX(VolumeFlow!$A47:$B59,MATCH('Average Properties Calc'!$A48,VolumeFlow!$A47:$A59,0),4)</f>
        <v>#REF!</v>
      </c>
      <c r="K48" t="s">
        <v>18</v>
      </c>
    </row>
    <row r="49" spans="1:11" x14ac:dyDescent="0.25">
      <c r="A49" t="str">
        <f>TissueComp!A13</f>
        <v>Spleen</v>
      </c>
      <c r="B49" s="2" t="e">
        <f>TissueComp!D$13*INDEX(VolumeFlow!$A48:$B60,MATCH('Average Properties Calc'!$A49,VolumeFlow!$A48:$A60,0),4)</f>
        <v>#REF!</v>
      </c>
      <c r="C49" s="2" t="e">
        <f>TissueComp!E$13*INDEX(VolumeFlow!$A48:$B60,MATCH('Average Properties Calc'!$A49,VolumeFlow!$A48:$A60,0),4)</f>
        <v>#REF!</v>
      </c>
      <c r="D49" s="2" t="e">
        <f>TissueComp!F$13*INDEX(VolumeFlow!$A48:$B60,MATCH('Average Properties Calc'!$A49,VolumeFlow!$A48:$A60,0),4)</f>
        <v>#REF!</v>
      </c>
      <c r="E49" s="2" t="e">
        <f>TissueComp!G$13*INDEX(VolumeFlow!$A48:$B60,MATCH('Average Properties Calc'!$A49,VolumeFlow!$A48:$A60,0),4)</f>
        <v>#REF!</v>
      </c>
      <c r="F49" s="2" t="e">
        <f>TissueComp!H$13*INDEX(VolumeFlow!$A48:$B60,MATCH('Average Properties Calc'!$A49,VolumeFlow!$A48:$A60,0),4)</f>
        <v>#REF!</v>
      </c>
      <c r="G49" s="2" t="e">
        <f>TissueComp!I$13*INDEX(VolumeFlow!$A48:$B60,MATCH('Average Properties Calc'!$A49,VolumeFlow!$A48:$A60,0),4)</f>
        <v>#REF!</v>
      </c>
      <c r="H49" s="2" t="e">
        <f>TissueComp!J$13*INDEX(VolumeFlow!$A48:$B60,MATCH('Average Properties Calc'!$A49,VolumeFlow!$A48:$A60,0),4)</f>
        <v>#REF!</v>
      </c>
      <c r="I49" s="2" t="e">
        <f>TissueComp!K$13*INDEX(VolumeFlow!$A48:$B60,MATCH('Average Properties Calc'!$A49,VolumeFlow!$A48:$A60,0),4)</f>
        <v>#REF!</v>
      </c>
      <c r="J49" s="2" t="e">
        <f>TissueComp!L$13*INDEX(VolumeFlow!$A48:$B60,MATCH('Average Properties Calc'!$A49,VolumeFlow!$A48:$A60,0),4)</f>
        <v>#REF!</v>
      </c>
      <c r="K49" t="s">
        <v>18</v>
      </c>
    </row>
    <row r="50" spans="1:11" x14ac:dyDescent="0.25">
      <c r="B50" s="2" t="e">
        <f>SUM(B39:B49)/SUM(VolumeFlow!#REF!)</f>
        <v>#REF!</v>
      </c>
      <c r="C50" s="2" t="e">
        <f>SUM(C39:C49)/SUM(VolumeFlow!#REF!)</f>
        <v>#REF!</v>
      </c>
      <c r="D50" s="2" t="e">
        <f>SUM(D39:D49)/SUM(VolumeFlow!#REF!)</f>
        <v>#REF!</v>
      </c>
      <c r="E50" s="2" t="e">
        <f>SUM(E39:E49)/SUM(VolumeFlow!#REF!)</f>
        <v>#REF!</v>
      </c>
      <c r="F50" s="2" t="e">
        <f>SUM(F39:F49)/SUM(VolumeFlow!#REF!)</f>
        <v>#REF!</v>
      </c>
      <c r="G50" s="2" t="e">
        <f>SUM(G39:G49)/SUM(VolumeFlow!#REF!)</f>
        <v>#REF!</v>
      </c>
      <c r="H50" s="2" t="e">
        <f>SUM(H39:H49)/SUM(VolumeFlow!#REF!)</f>
        <v>#REF!</v>
      </c>
      <c r="I50" s="2" t="e">
        <f>SUM(I39:I49)/SUM(VolumeFlow!#REF!)</f>
        <v>#REF!</v>
      </c>
      <c r="J50" s="2" t="e">
        <f>SUM(J39:J49)/SUM(VolumeFlow!#REF!)</f>
        <v>#REF!</v>
      </c>
    </row>
    <row r="51" spans="1:11" x14ac:dyDescent="0.25">
      <c r="A51" t="str">
        <f>TissueComp!A3</f>
        <v>Adipose</v>
      </c>
      <c r="B51" s="2" t="e">
        <f>TissueComp!D$3*INDEX(VolumeFlow!$A50:$B62,MATCH('Average Properties Calc'!$A51,VolumeFlow!$A50:$A62,0),4)</f>
        <v>#REF!</v>
      </c>
      <c r="C51" s="2" t="e">
        <f>TissueComp!E$3*INDEX(VolumeFlow!$A50:$B62,MATCH('Average Properties Calc'!$A51,VolumeFlow!$A50:$A62,0),4)</f>
        <v>#REF!</v>
      </c>
      <c r="D51" s="2" t="e">
        <f>TissueComp!F$3*INDEX(VolumeFlow!$A50:$B62,MATCH('Average Properties Calc'!$A51,VolumeFlow!$A50:$A62,0),4)</f>
        <v>#REF!</v>
      </c>
      <c r="E51" s="2" t="e">
        <f>TissueComp!G$3*INDEX(VolumeFlow!$A50:$B62,MATCH('Average Properties Calc'!$A51,VolumeFlow!$A50:$A62,0),4)</f>
        <v>#REF!</v>
      </c>
      <c r="F51" s="2" t="e">
        <f>TissueComp!H$3*INDEX(VolumeFlow!$A50:$B62,MATCH('Average Properties Calc'!$A51,VolumeFlow!$A50:$A62,0),4)</f>
        <v>#REF!</v>
      </c>
      <c r="G51" s="2" t="e">
        <f>TissueComp!I$3*INDEX(VolumeFlow!$A50:$B62,MATCH('Average Properties Calc'!$A51,VolumeFlow!$A50:$A62,0),4)</f>
        <v>#REF!</v>
      </c>
      <c r="H51" s="2" t="e">
        <f>TissueComp!J$3*INDEX(VolumeFlow!$A50:$B62,MATCH('Average Properties Calc'!$A51,VolumeFlow!$A50:$A62,0),4)</f>
        <v>#REF!</v>
      </c>
      <c r="I51" s="2" t="e">
        <f>TissueComp!K$3*INDEX(VolumeFlow!$A50:$B62,MATCH('Average Properties Calc'!$A51,VolumeFlow!$A50:$A62,0),4)</f>
        <v>#REF!</v>
      </c>
      <c r="J51" s="2" t="e">
        <f>TissueComp!L$3*INDEX(VolumeFlow!$A50:$B62,MATCH('Average Properties Calc'!$A51,VolumeFlow!$A50:$A62,0),4)</f>
        <v>#REF!</v>
      </c>
      <c r="K51" t="s">
        <v>104</v>
      </c>
    </row>
    <row r="52" spans="1:11" x14ac:dyDescent="0.25">
      <c r="A52" t="str">
        <f>TissueComp!A4</f>
        <v>Bone</v>
      </c>
      <c r="B52" s="2" t="e">
        <f>TissueComp!D$4*INDEX(VolumeFlow!$A51:$B76,MATCH('Average Properties Calc'!$A52,VolumeFlow!$A51:$A76,0),4)</f>
        <v>#REF!</v>
      </c>
      <c r="C52" s="2" t="e">
        <f>TissueComp!E$4*INDEX(VolumeFlow!$A51:$B76,MATCH('Average Properties Calc'!$A52,VolumeFlow!$A51:$A76,0),4)</f>
        <v>#REF!</v>
      </c>
      <c r="D52" s="2" t="e">
        <f>TissueComp!F$4*INDEX(VolumeFlow!$A51:$B76,MATCH('Average Properties Calc'!$A52,VolumeFlow!$A51:$A76,0),4)</f>
        <v>#REF!</v>
      </c>
      <c r="E52" s="2" t="e">
        <f>TissueComp!G$4*INDEX(VolumeFlow!$A51:$B76,MATCH('Average Properties Calc'!$A52,VolumeFlow!$A51:$A76,0),4)</f>
        <v>#REF!</v>
      </c>
      <c r="F52" s="2" t="e">
        <f>TissueComp!H$4*INDEX(VolumeFlow!$A51:$B76,MATCH('Average Properties Calc'!$A52,VolumeFlow!$A51:$A76,0),4)</f>
        <v>#REF!</v>
      </c>
      <c r="G52" s="2" t="e">
        <f>TissueComp!I$4*INDEX(VolumeFlow!$A51:$B76,MATCH('Average Properties Calc'!$A52,VolumeFlow!$A51:$A76,0),4)</f>
        <v>#REF!</v>
      </c>
      <c r="H52" s="2" t="e">
        <f>TissueComp!J$4*INDEX(VolumeFlow!$A51:$B76,MATCH('Average Properties Calc'!$A52,VolumeFlow!$A51:$A76,0),4)</f>
        <v>#REF!</v>
      </c>
      <c r="I52" s="2" t="e">
        <f>TissueComp!K$4*INDEX(VolumeFlow!$A51:$B76,MATCH('Average Properties Calc'!$A52,VolumeFlow!$A51:$A76,0),4)</f>
        <v>#REF!</v>
      </c>
      <c r="J52" s="2" t="e">
        <f>TissueComp!L$4*INDEX(VolumeFlow!$A51:$B76,MATCH('Average Properties Calc'!$A52,VolumeFlow!$A51:$A76,0),4)</f>
        <v>#REF!</v>
      </c>
      <c r="K52" t="s">
        <v>104</v>
      </c>
    </row>
    <row r="53" spans="1:11" x14ac:dyDescent="0.25">
      <c r="A53" t="str">
        <f>TissueComp!A5</f>
        <v>Brain</v>
      </c>
      <c r="B53" s="2" t="e">
        <f>TissueComp!D$5*INDEX(VolumeFlow!$A52:$B77,MATCH('Average Properties Calc'!$A53,VolumeFlow!$A52:$A77,0),4)</f>
        <v>#REF!</v>
      </c>
      <c r="C53" s="2" t="e">
        <f>TissueComp!E$5*INDEX(VolumeFlow!$A52:$B77,MATCH('Average Properties Calc'!$A53,VolumeFlow!$A52:$A77,0),4)</f>
        <v>#REF!</v>
      </c>
      <c r="D53" s="2" t="e">
        <f>TissueComp!F$5*INDEX(VolumeFlow!$A52:$B77,MATCH('Average Properties Calc'!$A53,VolumeFlow!$A52:$A77,0),4)</f>
        <v>#REF!</v>
      </c>
      <c r="E53" s="2" t="e">
        <f>TissueComp!G$5*INDEX(VolumeFlow!$A52:$B77,MATCH('Average Properties Calc'!$A53,VolumeFlow!$A52:$A77,0),4)</f>
        <v>#REF!</v>
      </c>
      <c r="F53" s="2" t="e">
        <f>TissueComp!H$5*INDEX(VolumeFlow!$A52:$B77,MATCH('Average Properties Calc'!$A53,VolumeFlow!$A52:$A77,0),4)</f>
        <v>#REF!</v>
      </c>
      <c r="G53" s="2" t="e">
        <f>TissueComp!I$5*INDEX(VolumeFlow!$A52:$B77,MATCH('Average Properties Calc'!$A53,VolumeFlow!$A52:$A77,0),4)</f>
        <v>#REF!</v>
      </c>
      <c r="H53" s="2" t="e">
        <f>TissueComp!J$5*INDEX(VolumeFlow!$A52:$B77,MATCH('Average Properties Calc'!$A53,VolumeFlow!$A52:$A77,0),4)</f>
        <v>#REF!</v>
      </c>
      <c r="I53" s="2" t="e">
        <f>TissueComp!K$5*INDEX(VolumeFlow!$A52:$B77,MATCH('Average Properties Calc'!$A53,VolumeFlow!$A52:$A77,0),4)</f>
        <v>#REF!</v>
      </c>
      <c r="J53" s="2" t="e">
        <f>TissueComp!L$5*INDEX(VolumeFlow!$A52:$B77,MATCH('Average Properties Calc'!$A53,VolumeFlow!$A52:$A77,0),4)</f>
        <v>#REF!</v>
      </c>
      <c r="K53" t="s">
        <v>104</v>
      </c>
    </row>
    <row r="54" spans="1:11" x14ac:dyDescent="0.25">
      <c r="A54" t="str">
        <f>TissueComp!A6</f>
        <v>Gut</v>
      </c>
      <c r="B54" s="2" t="e">
        <f>TissueComp!D$6*INDEX(VolumeFlow!$A53:$B78,MATCH('Average Properties Calc'!$A54,VolumeFlow!$A53:$A78,0),4)</f>
        <v>#REF!</v>
      </c>
      <c r="C54" s="2" t="e">
        <f>TissueComp!E$6*INDEX(VolumeFlow!$A53:$B78,MATCH('Average Properties Calc'!$A54,VolumeFlow!$A53:$A78,0),4)</f>
        <v>#REF!</v>
      </c>
      <c r="D54" s="2" t="e">
        <f>TissueComp!F$6*INDEX(VolumeFlow!$A53:$B78,MATCH('Average Properties Calc'!$A54,VolumeFlow!$A53:$A78,0),4)</f>
        <v>#REF!</v>
      </c>
      <c r="E54" s="2" t="e">
        <f>TissueComp!G$6*INDEX(VolumeFlow!$A53:$B78,MATCH('Average Properties Calc'!$A54,VolumeFlow!$A53:$A78,0),4)</f>
        <v>#REF!</v>
      </c>
      <c r="F54" s="2" t="e">
        <f>TissueComp!H$6*INDEX(VolumeFlow!$A53:$B78,MATCH('Average Properties Calc'!$A54,VolumeFlow!$A53:$A78,0),4)</f>
        <v>#REF!</v>
      </c>
      <c r="G54" s="2" t="e">
        <f>TissueComp!I$6*INDEX(VolumeFlow!$A53:$B78,MATCH('Average Properties Calc'!$A54,VolumeFlow!$A53:$A78,0),4)</f>
        <v>#REF!</v>
      </c>
      <c r="H54" s="2" t="e">
        <f>TissueComp!J$6*INDEX(VolumeFlow!$A53:$B78,MATCH('Average Properties Calc'!$A54,VolumeFlow!$A53:$A78,0),4)</f>
        <v>#REF!</v>
      </c>
      <c r="I54" s="2" t="e">
        <f>TissueComp!K$6*INDEX(VolumeFlow!$A53:$B78,MATCH('Average Properties Calc'!$A54,VolumeFlow!$A53:$A78,0),4)</f>
        <v>#REF!</v>
      </c>
      <c r="J54" s="2" t="e">
        <f>TissueComp!L$6*INDEX(VolumeFlow!$A53:$B78,MATCH('Average Properties Calc'!$A54,VolumeFlow!$A53:$A78,0),4)</f>
        <v>#REF!</v>
      </c>
      <c r="K54" t="s">
        <v>104</v>
      </c>
    </row>
    <row r="55" spans="1:11" x14ac:dyDescent="0.25">
      <c r="A55" t="str">
        <f>TissueComp!A7</f>
        <v>Heart</v>
      </c>
      <c r="B55" s="2" t="e">
        <f>TissueComp!D$7*INDEX(VolumeFlow!$A54:$B79,MATCH('Average Properties Calc'!$A55,VolumeFlow!$A54:$A79,0),4)</f>
        <v>#REF!</v>
      </c>
      <c r="C55" s="2" t="e">
        <f>TissueComp!E$7*INDEX(VolumeFlow!$A54:$B79,MATCH('Average Properties Calc'!$A55,VolumeFlow!$A54:$A79,0),4)</f>
        <v>#REF!</v>
      </c>
      <c r="D55" s="2" t="e">
        <f>TissueComp!F$7*INDEX(VolumeFlow!$A54:$B79,MATCH('Average Properties Calc'!$A55,VolumeFlow!$A54:$A79,0),4)</f>
        <v>#REF!</v>
      </c>
      <c r="E55" s="2" t="e">
        <f>TissueComp!G$7*INDEX(VolumeFlow!$A54:$B79,MATCH('Average Properties Calc'!$A55,VolumeFlow!$A54:$A79,0),4)</f>
        <v>#REF!</v>
      </c>
      <c r="F55" s="2" t="e">
        <f>TissueComp!H$7*INDEX(VolumeFlow!$A54:$B79,MATCH('Average Properties Calc'!$A55,VolumeFlow!$A54:$A79,0),4)</f>
        <v>#REF!</v>
      </c>
      <c r="G55" s="2" t="e">
        <f>TissueComp!I$7*INDEX(VolumeFlow!$A54:$B79,MATCH('Average Properties Calc'!$A55,VolumeFlow!$A54:$A79,0),4)</f>
        <v>#REF!</v>
      </c>
      <c r="H55" s="2" t="e">
        <f>TissueComp!J$7*INDEX(VolumeFlow!$A54:$B79,MATCH('Average Properties Calc'!$A55,VolumeFlow!$A54:$A79,0),4)</f>
        <v>#REF!</v>
      </c>
      <c r="I55" s="2" t="e">
        <f>TissueComp!K$7*INDEX(VolumeFlow!$A54:$B79,MATCH('Average Properties Calc'!$A55,VolumeFlow!$A54:$A79,0),4)</f>
        <v>#REF!</v>
      </c>
      <c r="J55" s="2" t="e">
        <f>TissueComp!L$7*INDEX(VolumeFlow!$A54:$B79,MATCH('Average Properties Calc'!$A55,VolumeFlow!$A54:$A79,0),4)</f>
        <v>#REF!</v>
      </c>
      <c r="K55" t="s">
        <v>104</v>
      </c>
    </row>
    <row r="56" spans="1:11" x14ac:dyDescent="0.25">
      <c r="A56" t="str">
        <f>TissueComp!A8</f>
        <v>Kidney</v>
      </c>
      <c r="B56" s="2" t="e">
        <f>TissueComp!D$8*INDEX(VolumeFlow!$A55:$B79,MATCH('Average Properties Calc'!$A56,VolumeFlow!$A55:$A79,0),4)</f>
        <v>#REF!</v>
      </c>
      <c r="C56" s="2" t="e">
        <f>TissueComp!E$8*INDEX(VolumeFlow!$A55:$B79,MATCH('Average Properties Calc'!$A56,VolumeFlow!$A55:$A79,0),4)</f>
        <v>#REF!</v>
      </c>
      <c r="D56" s="2" t="e">
        <f>TissueComp!F$8*INDEX(VolumeFlow!$A55:$B79,MATCH('Average Properties Calc'!$A56,VolumeFlow!$A55:$A79,0),4)</f>
        <v>#REF!</v>
      </c>
      <c r="E56" s="2" t="e">
        <f>TissueComp!G$8*INDEX(VolumeFlow!$A55:$B79,MATCH('Average Properties Calc'!$A56,VolumeFlow!$A55:$A79,0),4)</f>
        <v>#REF!</v>
      </c>
      <c r="F56" s="2" t="e">
        <f>TissueComp!H$8*INDEX(VolumeFlow!$A55:$B79,MATCH('Average Properties Calc'!$A56,VolumeFlow!$A55:$A79,0),4)</f>
        <v>#REF!</v>
      </c>
      <c r="G56" s="2" t="e">
        <f>TissueComp!I$8*INDEX(VolumeFlow!$A55:$B79,MATCH('Average Properties Calc'!$A56,VolumeFlow!$A55:$A79,0),4)</f>
        <v>#REF!</v>
      </c>
      <c r="H56" s="2" t="e">
        <f>TissueComp!J$8*INDEX(VolumeFlow!$A55:$B79,MATCH('Average Properties Calc'!$A56,VolumeFlow!$A55:$A79,0),4)</f>
        <v>#REF!</v>
      </c>
      <c r="I56" s="2" t="e">
        <f>TissueComp!K$8*INDEX(VolumeFlow!$A55:$B79,MATCH('Average Properties Calc'!$A56,VolumeFlow!$A55:$A79,0),4)</f>
        <v>#REF!</v>
      </c>
      <c r="J56" s="2" t="e">
        <f>TissueComp!L$8*INDEX(VolumeFlow!$A55:$B79,MATCH('Average Properties Calc'!$A56,VolumeFlow!$A55:$A79,0),4)</f>
        <v>#REF!</v>
      </c>
      <c r="K56" t="s">
        <v>104</v>
      </c>
    </row>
    <row r="57" spans="1:11" x14ac:dyDescent="0.25">
      <c r="A57" t="str">
        <f>TissueComp!A9</f>
        <v>Liver</v>
      </c>
      <c r="B57" s="2" t="e">
        <f>TissueComp!D$9*INDEX(VolumeFlow!$A56:$B80,MATCH('Average Properties Calc'!$A57,VolumeFlow!$A56:$A80,0),4)</f>
        <v>#REF!</v>
      </c>
      <c r="C57" s="2" t="e">
        <f>TissueComp!E$9*INDEX(VolumeFlow!$A56:$B80,MATCH('Average Properties Calc'!$A57,VolumeFlow!$A56:$A80,0),4)</f>
        <v>#REF!</v>
      </c>
      <c r="D57" s="2" t="e">
        <f>TissueComp!F$9*INDEX(VolumeFlow!$A56:$B80,MATCH('Average Properties Calc'!$A57,VolumeFlow!$A56:$A80,0),4)</f>
        <v>#REF!</v>
      </c>
      <c r="E57" s="2" t="e">
        <f>TissueComp!G$9*INDEX(VolumeFlow!$A56:$B80,MATCH('Average Properties Calc'!$A57,VolumeFlow!$A56:$A80,0),4)</f>
        <v>#REF!</v>
      </c>
      <c r="F57" s="2" t="e">
        <f>TissueComp!H$9*INDEX(VolumeFlow!$A56:$B80,MATCH('Average Properties Calc'!$A57,VolumeFlow!$A56:$A80,0),4)</f>
        <v>#REF!</v>
      </c>
      <c r="G57" s="2" t="e">
        <f>TissueComp!I$9*INDEX(VolumeFlow!$A56:$B80,MATCH('Average Properties Calc'!$A57,VolumeFlow!$A56:$A80,0),4)</f>
        <v>#REF!</v>
      </c>
      <c r="H57" s="2" t="e">
        <f>TissueComp!J$9*INDEX(VolumeFlow!$A56:$B80,MATCH('Average Properties Calc'!$A57,VolumeFlow!$A56:$A80,0),4)</f>
        <v>#REF!</v>
      </c>
      <c r="I57" s="2" t="e">
        <f>TissueComp!K$9*INDEX(VolumeFlow!$A56:$B80,MATCH('Average Properties Calc'!$A57,VolumeFlow!$A56:$A80,0),4)</f>
        <v>#REF!</v>
      </c>
      <c r="J57" s="2" t="e">
        <f>TissueComp!L$9*INDEX(VolumeFlow!$A56:$B80,MATCH('Average Properties Calc'!$A57,VolumeFlow!$A56:$A80,0),4)</f>
        <v>#REF!</v>
      </c>
      <c r="K57" t="s">
        <v>104</v>
      </c>
    </row>
    <row r="58" spans="1:11" x14ac:dyDescent="0.25">
      <c r="A58" t="str">
        <f>TissueComp!A10</f>
        <v>Lung</v>
      </c>
      <c r="B58" s="2" t="e">
        <f>TissueComp!D$10*INDEX(VolumeFlow!$A57:$B81,MATCH('Average Properties Calc'!$A58,VolumeFlow!$A57:$A81,0),4)</f>
        <v>#REF!</v>
      </c>
      <c r="C58" s="2" t="e">
        <f>TissueComp!E$10*INDEX(VolumeFlow!$A57:$B81,MATCH('Average Properties Calc'!$A58,VolumeFlow!$A57:$A81,0),4)</f>
        <v>#REF!</v>
      </c>
      <c r="D58" s="2" t="e">
        <f>TissueComp!F$10*INDEX(VolumeFlow!$A57:$B81,MATCH('Average Properties Calc'!$A58,VolumeFlow!$A57:$A81,0),4)</f>
        <v>#REF!</v>
      </c>
      <c r="E58" s="2" t="e">
        <f>TissueComp!G$10*INDEX(VolumeFlow!$A57:$B81,MATCH('Average Properties Calc'!$A58,VolumeFlow!$A57:$A81,0),4)</f>
        <v>#REF!</v>
      </c>
      <c r="F58" s="2" t="e">
        <f>TissueComp!H$10*INDEX(VolumeFlow!$A57:$B81,MATCH('Average Properties Calc'!$A58,VolumeFlow!$A57:$A81,0),4)</f>
        <v>#REF!</v>
      </c>
      <c r="G58" s="2" t="e">
        <f>TissueComp!I$10*INDEX(VolumeFlow!$A57:$B81,MATCH('Average Properties Calc'!$A58,VolumeFlow!$A57:$A81,0),4)</f>
        <v>#REF!</v>
      </c>
      <c r="H58" s="2" t="e">
        <f>TissueComp!J$10*INDEX(VolumeFlow!$A57:$B81,MATCH('Average Properties Calc'!$A58,VolumeFlow!$A57:$A81,0),4)</f>
        <v>#REF!</v>
      </c>
      <c r="I58" s="2" t="e">
        <f>TissueComp!K$10*INDEX(VolumeFlow!$A57:$B81,MATCH('Average Properties Calc'!$A58,VolumeFlow!$A57:$A81,0),4)</f>
        <v>#REF!</v>
      </c>
      <c r="J58" s="2" t="e">
        <f>TissueComp!L$10*INDEX(VolumeFlow!$A57:$B81,MATCH('Average Properties Calc'!$A58,VolumeFlow!$A57:$A81,0),4)</f>
        <v>#REF!</v>
      </c>
      <c r="K58" t="s">
        <v>104</v>
      </c>
    </row>
    <row r="59" spans="1:11" x14ac:dyDescent="0.25">
      <c r="A59" t="str">
        <f>TissueComp!A11</f>
        <v>Muscle</v>
      </c>
      <c r="B59" s="2" t="e">
        <f>TissueComp!D$11*INDEX(VolumeFlow!$A58:$B82,MATCH('Average Properties Calc'!$A59,VolumeFlow!$A58:$A82,0),4)</f>
        <v>#REF!</v>
      </c>
      <c r="C59" s="2" t="e">
        <f>TissueComp!E$11*INDEX(VolumeFlow!$A58:$B82,MATCH('Average Properties Calc'!$A59,VolumeFlow!$A58:$A82,0),4)</f>
        <v>#REF!</v>
      </c>
      <c r="D59" s="2" t="e">
        <f>TissueComp!F$11*INDEX(VolumeFlow!$A58:$B82,MATCH('Average Properties Calc'!$A59,VolumeFlow!$A58:$A82,0),4)</f>
        <v>#REF!</v>
      </c>
      <c r="E59" s="2" t="e">
        <f>TissueComp!G$11*INDEX(VolumeFlow!$A58:$B82,MATCH('Average Properties Calc'!$A59,VolumeFlow!$A58:$A82,0),4)</f>
        <v>#REF!</v>
      </c>
      <c r="F59" s="2" t="e">
        <f>TissueComp!H$11*INDEX(VolumeFlow!$A58:$B82,MATCH('Average Properties Calc'!$A59,VolumeFlow!$A58:$A82,0),4)</f>
        <v>#REF!</v>
      </c>
      <c r="G59" s="2" t="e">
        <f>TissueComp!I$11*INDEX(VolumeFlow!$A58:$B82,MATCH('Average Properties Calc'!$A59,VolumeFlow!$A58:$A82,0),4)</f>
        <v>#REF!</v>
      </c>
      <c r="H59" s="2" t="e">
        <f>TissueComp!J$11*INDEX(VolumeFlow!$A58:$B82,MATCH('Average Properties Calc'!$A59,VolumeFlow!$A58:$A82,0),4)</f>
        <v>#REF!</v>
      </c>
      <c r="I59" s="2" t="e">
        <f>TissueComp!K$11*INDEX(VolumeFlow!$A58:$B82,MATCH('Average Properties Calc'!$A59,VolumeFlow!$A58:$A82,0),4)</f>
        <v>#REF!</v>
      </c>
      <c r="J59" s="2" t="e">
        <f>TissueComp!L$11*INDEX(VolumeFlow!$A58:$B82,MATCH('Average Properties Calc'!$A59,VolumeFlow!$A58:$A82,0),4)</f>
        <v>#REF!</v>
      </c>
      <c r="K59" t="s">
        <v>104</v>
      </c>
    </row>
    <row r="60" spans="1:11" x14ac:dyDescent="0.25">
      <c r="A60" t="str">
        <f>TissueComp!A12</f>
        <v>Skin</v>
      </c>
      <c r="B60" s="2" t="e">
        <f>TissueComp!D$12*INDEX(VolumeFlow!$A59:$B83,MATCH('Average Properties Calc'!$A60,VolumeFlow!$A59:$A83,0),4)</f>
        <v>#REF!</v>
      </c>
      <c r="C60" s="2" t="e">
        <f>TissueComp!E$12*INDEX(VolumeFlow!$A59:$B83,MATCH('Average Properties Calc'!$A60,VolumeFlow!$A59:$A83,0),4)</f>
        <v>#REF!</v>
      </c>
      <c r="D60" s="2" t="e">
        <f>TissueComp!F$12*INDEX(VolumeFlow!$A59:$B83,MATCH('Average Properties Calc'!$A60,VolumeFlow!$A59:$A83,0),4)</f>
        <v>#REF!</v>
      </c>
      <c r="E60" s="2" t="e">
        <f>TissueComp!G$12*INDEX(VolumeFlow!$A59:$B83,MATCH('Average Properties Calc'!$A60,VolumeFlow!$A59:$A83,0),4)</f>
        <v>#REF!</v>
      </c>
      <c r="F60" s="2" t="e">
        <f>TissueComp!H$12*INDEX(VolumeFlow!$A59:$B83,MATCH('Average Properties Calc'!$A60,VolumeFlow!$A59:$A83,0),4)</f>
        <v>#REF!</v>
      </c>
      <c r="G60" s="2" t="e">
        <f>TissueComp!I$12*INDEX(VolumeFlow!$A59:$B83,MATCH('Average Properties Calc'!$A60,VolumeFlow!$A59:$A83,0),4)</f>
        <v>#REF!</v>
      </c>
      <c r="H60" s="2" t="e">
        <f>TissueComp!J$12*INDEX(VolumeFlow!$A59:$B83,MATCH('Average Properties Calc'!$A60,VolumeFlow!$A59:$A83,0),4)</f>
        <v>#REF!</v>
      </c>
      <c r="I60" s="2" t="e">
        <f>TissueComp!K$12*INDEX(VolumeFlow!$A59:$B83,MATCH('Average Properties Calc'!$A60,VolumeFlow!$A59:$A83,0),4)</f>
        <v>#REF!</v>
      </c>
      <c r="J60" s="2" t="e">
        <f>TissueComp!L$12*INDEX(VolumeFlow!$A59:$B83,MATCH('Average Properties Calc'!$A60,VolumeFlow!$A59:$A83,0),4)</f>
        <v>#REF!</v>
      </c>
      <c r="K60" t="s">
        <v>104</v>
      </c>
    </row>
    <row r="61" spans="1:11" x14ac:dyDescent="0.25">
      <c r="A61" t="str">
        <f>TissueComp!A13</f>
        <v>Spleen</v>
      </c>
      <c r="B61" s="2" t="e">
        <f>TissueComp!D$13*INDEX(VolumeFlow!$A60:$B84,MATCH('Average Properties Calc'!$A61,VolumeFlow!$A60:$A84,0),4)</f>
        <v>#REF!</v>
      </c>
      <c r="C61" s="2" t="e">
        <f>TissueComp!E$13*INDEX(VolumeFlow!$A60:$B84,MATCH('Average Properties Calc'!$A61,VolumeFlow!$A60:$A84,0),4)</f>
        <v>#REF!</v>
      </c>
      <c r="D61" s="2" t="e">
        <f>TissueComp!F$13*INDEX(VolumeFlow!$A60:$B84,MATCH('Average Properties Calc'!$A61,VolumeFlow!$A60:$A84,0),4)</f>
        <v>#REF!</v>
      </c>
      <c r="E61" s="2" t="e">
        <f>TissueComp!G$13*INDEX(VolumeFlow!$A60:$B84,MATCH('Average Properties Calc'!$A61,VolumeFlow!$A60:$A84,0),4)</f>
        <v>#REF!</v>
      </c>
      <c r="F61" s="2" t="e">
        <f>TissueComp!H$13*INDEX(VolumeFlow!$A60:$B84,MATCH('Average Properties Calc'!$A61,VolumeFlow!$A60:$A84,0),4)</f>
        <v>#REF!</v>
      </c>
      <c r="G61" s="2" t="e">
        <f>TissueComp!I$13*INDEX(VolumeFlow!$A60:$B84,MATCH('Average Properties Calc'!$A61,VolumeFlow!$A60:$A84,0),4)</f>
        <v>#REF!</v>
      </c>
      <c r="H61" s="2" t="e">
        <f>TissueComp!J$13*INDEX(VolumeFlow!$A60:$B84,MATCH('Average Properties Calc'!$A61,VolumeFlow!$A60:$A84,0),4)</f>
        <v>#REF!</v>
      </c>
      <c r="I61" s="2" t="e">
        <f>TissueComp!K$13*INDEX(VolumeFlow!$A60:$B84,MATCH('Average Properties Calc'!$A61,VolumeFlow!$A60:$A84,0),4)</f>
        <v>#REF!</v>
      </c>
      <c r="J61" s="2" t="e">
        <f>TissueComp!L$13*INDEX(VolumeFlow!$A60:$B84,MATCH('Average Properties Calc'!$A61,VolumeFlow!$A60:$A84,0),4)</f>
        <v>#REF!</v>
      </c>
      <c r="K61" t="s">
        <v>104</v>
      </c>
    </row>
    <row r="62" spans="1:11" x14ac:dyDescent="0.25">
      <c r="B62" s="2" t="e">
        <f>SUM(B51:B61)/SUM(VolumeFlow!#REF!)</f>
        <v>#REF!</v>
      </c>
      <c r="C62" s="2" t="e">
        <f>SUM(C51:C61)/SUM(VolumeFlow!#REF!)</f>
        <v>#REF!</v>
      </c>
      <c r="D62" s="2" t="e">
        <f>SUM(D51:D61)/SUM(VolumeFlow!#REF!)</f>
        <v>#REF!</v>
      </c>
      <c r="E62" s="2" t="e">
        <f>SUM(E51:E61)/SUM(VolumeFlow!#REF!)</f>
        <v>#REF!</v>
      </c>
      <c r="F62" s="2" t="e">
        <f>SUM(F51:F61)/SUM(VolumeFlow!#REF!)</f>
        <v>#REF!</v>
      </c>
      <c r="G62" s="2" t="e">
        <f>SUM(G51:G61)/SUM(VolumeFlow!#REF!)</f>
        <v>#REF!</v>
      </c>
      <c r="H62" s="2" t="e">
        <f>SUM(H51:H61)/SUM(VolumeFlow!#REF!)</f>
        <v>#REF!</v>
      </c>
      <c r="I62" s="2" t="e">
        <f>SUM(I51:I61)/SUM(VolumeFlow!#REF!)</f>
        <v>#REF!</v>
      </c>
      <c r="J62" s="2" t="e">
        <f>SUM(J51:J61)/SUM(VolumeFlow!#REF!)</f>
        <v>#REF!</v>
      </c>
    </row>
  </sheetData>
  <mergeCells count="3">
    <mergeCell ref="B1:C1"/>
    <mergeCell ref="D1:F1"/>
    <mergeCell ref="G1:I1"/>
  </mergeCells>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95"/>
  <sheetViews>
    <sheetView workbookViewId="0">
      <selection activeCell="F13" sqref="F13"/>
    </sheetView>
  </sheetViews>
  <sheetFormatPr defaultRowHeight="15" x14ac:dyDescent="0.25"/>
  <cols>
    <col min="1" max="2" width="22.140625" customWidth="1"/>
    <col min="3" max="4" width="14.5703125" customWidth="1"/>
    <col min="5" max="5" width="28.42578125" customWidth="1"/>
    <col min="6" max="6" width="22.140625" customWidth="1"/>
  </cols>
  <sheetData>
    <row r="1" spans="1:12" x14ac:dyDescent="0.25">
      <c r="A1" s="23" t="s">
        <v>0</v>
      </c>
      <c r="B1" s="23" t="s">
        <v>118</v>
      </c>
      <c r="C1" s="23" t="s">
        <v>112</v>
      </c>
      <c r="D1" s="23" t="s">
        <v>312</v>
      </c>
      <c r="E1" s="23" t="s">
        <v>107</v>
      </c>
      <c r="F1" s="23" t="s">
        <v>312</v>
      </c>
    </row>
    <row r="2" spans="1:12" x14ac:dyDescent="0.25">
      <c r="A2" s="20" t="s">
        <v>3</v>
      </c>
      <c r="B2" s="20" t="s">
        <v>35</v>
      </c>
      <c r="C2" s="21">
        <f>INDEX('Percent BW'!$N$4:$X$23,MATCH(VolumeFlow!A2,'Percent BW'!$A$4:$A$23,0),MATCH(VolumeFlow!B2,'Percent BW'!$N$2:$X$2,0))</f>
        <v>0.20862445414847144</v>
      </c>
      <c r="D2" s="21" t="s">
        <v>344</v>
      </c>
      <c r="E2" s="22">
        <f>IF(INDEX(Flows!$H$3:$K$21,MATCH($A2,Flows!$A$3:$A$21,0),MATCH($B2,Flows!$B$2:$E$2,0))=0,"",INDEX(Flows!$H$3:$K$21,MATCH($A2,Flows!$A$3:$A$21,0),MATCH($B2,Flows!$B$2:$E$2,0)))</f>
        <v>10.743599688785142</v>
      </c>
      <c r="F2" s="20" t="s">
        <v>342</v>
      </c>
      <c r="G2" s="7"/>
      <c r="H2" s="7"/>
      <c r="I2" s="2"/>
      <c r="J2" s="2"/>
      <c r="K2" s="2"/>
      <c r="L2" s="2"/>
    </row>
    <row r="3" spans="1:12" x14ac:dyDescent="0.25">
      <c r="A3" s="20" t="s">
        <v>5</v>
      </c>
      <c r="B3" s="20" t="s">
        <v>35</v>
      </c>
      <c r="C3" s="21">
        <f>INDEX('Percent BW'!$N$4:$X$23,MATCH(VolumeFlow!A3,'Percent BW'!$A$4:$A$23,0),MATCH(VolumeFlow!B3,'Percent BW'!$N$2:$X$2,0))</f>
        <v>7.2310597961656342E-2</v>
      </c>
      <c r="D3" s="21" t="s">
        <v>344</v>
      </c>
      <c r="E3" s="22">
        <f>IF(INDEX(Flows!$H$3:$K$21,MATCH($A3,Flows!$A$3:$A$21,0),MATCH($B3,Flows!$B$2:$E$2,0))=0,"",INDEX(Flows!$H$3:$K$21,MATCH($A3,Flows!$A$3:$A$21,0),MATCH($B3,Flows!$B$2:$E$2,0)))</f>
        <v>9.7188255646240975</v>
      </c>
      <c r="F3" s="20" t="s">
        <v>342</v>
      </c>
      <c r="G3" s="7"/>
      <c r="H3" s="7"/>
      <c r="I3" s="2"/>
      <c r="J3" s="2"/>
      <c r="K3" s="2"/>
      <c r="L3" s="2"/>
    </row>
    <row r="4" spans="1:12" x14ac:dyDescent="0.25">
      <c r="A4" s="20" t="s">
        <v>6</v>
      </c>
      <c r="B4" s="20" t="s">
        <v>35</v>
      </c>
      <c r="C4" s="21">
        <f>INDEX('Percent BW'!$N$4:$X$23,MATCH(VolumeFlow!A4,'Percent BW'!$A$4:$A$23,0),MATCH(VolumeFlow!B4,'Percent BW'!$N$2:$X$2,0))</f>
        <v>1.9314340898116854E-2</v>
      </c>
      <c r="D4" s="21" t="s">
        <v>344</v>
      </c>
      <c r="E4" s="22">
        <f>IF(INDEX(Flows!$H$3:$K$21,MATCH($A4,Flows!$A$3:$A$21,0),MATCH($B4,Flows!$B$2:$E$2,0))=0,"",INDEX(Flows!$H$3:$K$21,MATCH($A4,Flows!$A$3:$A$21,0),MATCH($B4,Flows!$B$2:$E$2,0)))</f>
        <v>28.925076085190767</v>
      </c>
      <c r="F4" s="20" t="s">
        <v>342</v>
      </c>
      <c r="G4" s="7"/>
      <c r="H4" s="7"/>
      <c r="I4" s="2"/>
      <c r="J4" s="2"/>
      <c r="K4" s="2"/>
      <c r="L4" s="2"/>
    </row>
    <row r="5" spans="1:12" x14ac:dyDescent="0.25">
      <c r="A5" s="20" t="s">
        <v>45</v>
      </c>
      <c r="B5" s="20" t="s">
        <v>35</v>
      </c>
      <c r="C5" s="30">
        <f>INDEX('Percent BW'!$N$4:$X$23,MATCH("Stomach",'Percent BW'!$A$4:$A$23,0),MATCH(VolumeFlow!B5,'Percent BW'!$N$2:$X$2,0))+INDEX('Percent BW'!$N$4:$X$23,MATCH("Large Intestine",'Percent BW'!$A$4:$A$23,0),MATCH(VolumeFlow!B5,'Percent BW'!$N$2:$X$2,0))+INDEX('Percent BW'!$N$4:$X$23,MATCH("Small Intestine",'Percent BW'!$A$4:$A$23,0),MATCH(VolumeFlow!B5,'Percent BW'!$N$2:$X$2,0))</f>
        <v>1.5802847456629968E-2</v>
      </c>
      <c r="D5" s="21" t="s">
        <v>344</v>
      </c>
      <c r="E5" s="22">
        <f>IF(INDEX(Flows!$H$3:$K$21,MATCH($A5,Flows!$A$3:$A$21,0),MATCH($B5,Flows!$B$2:$E$2,0))=0,"",INDEX(Flows!$H$3:$K$21,MATCH($A5,Flows!$A$3:$A$21,0),MATCH($B5,Flows!$B$2:$E$2,0)))</f>
        <v>47.519767854241969</v>
      </c>
      <c r="F5" s="20" t="s">
        <v>342</v>
      </c>
      <c r="G5" s="7"/>
      <c r="H5" s="7"/>
      <c r="I5" s="2"/>
      <c r="J5" s="2"/>
      <c r="K5" s="2"/>
      <c r="L5" s="2"/>
    </row>
    <row r="6" spans="1:12" x14ac:dyDescent="0.25">
      <c r="A6" s="20" t="s">
        <v>8</v>
      </c>
      <c r="B6" s="20" t="s">
        <v>35</v>
      </c>
      <c r="C6" s="21">
        <f>INDEX('Percent BW'!$N$4:$X$23,MATCH(VolumeFlow!A6,'Percent BW'!$A$4:$A$23,0),MATCH(VolumeFlow!B6,'Percent BW'!$N$2:$X$2,0))</f>
        <v>4.5631067961165043E-3</v>
      </c>
      <c r="D6" s="21" t="s">
        <v>344</v>
      </c>
      <c r="E6" s="22">
        <f>IF(INDEX(Flows!$H$3:$K$21,MATCH($A6,Flows!$A$3:$A$21,0),MATCH($B6,Flows!$B$2:$E$2,0))=0,"",INDEX(Flows!$H$3:$K$21,MATCH($A6,Flows!$A$3:$A$21,0),MATCH($B6,Flows!$B$2:$E$2,0)))</f>
        <v>9.9171689434939783</v>
      </c>
      <c r="F6" s="20" t="s">
        <v>342</v>
      </c>
      <c r="G6" s="7"/>
      <c r="H6" s="7"/>
      <c r="I6" s="2"/>
      <c r="J6" s="2"/>
      <c r="K6" s="2"/>
      <c r="L6" s="2"/>
    </row>
    <row r="7" spans="1:12" x14ac:dyDescent="0.25">
      <c r="A7" s="20" t="s">
        <v>38</v>
      </c>
      <c r="B7" s="20" t="s">
        <v>35</v>
      </c>
      <c r="C7" s="21">
        <f>INDEX('Percent BW'!$N$4:$X$23,MATCH(VolumeFlow!A7,'Percent BW'!$A$4:$A$23,0),MATCH(VolumeFlow!B7,'Percent BW'!$N$2:$X$2,0))</f>
        <v>4.1904761904761906E-3</v>
      </c>
      <c r="D7" s="21" t="s">
        <v>344</v>
      </c>
      <c r="E7" s="22">
        <f>IF(INDEX(Flows!$H$3:$K$21,MATCH($A7,Flows!$A$3:$A$21,0),MATCH($B7,Flows!$B$2:$E$2,0))=0,"",INDEX(Flows!$H$3:$K$21,MATCH($A7,Flows!$A$3:$A$21,0),MATCH($B7,Flows!$B$2:$E$2,0)))</f>
        <v>51.238706208052214</v>
      </c>
      <c r="F7" s="20" t="s">
        <v>342</v>
      </c>
      <c r="G7" s="7"/>
      <c r="H7" s="7"/>
      <c r="I7" s="2"/>
      <c r="J7" s="2"/>
      <c r="K7" s="2"/>
      <c r="L7" s="2"/>
    </row>
    <row r="8" spans="1:12" x14ac:dyDescent="0.25">
      <c r="A8" s="20" t="s">
        <v>10</v>
      </c>
      <c r="B8" s="20" t="s">
        <v>35</v>
      </c>
      <c r="C8" s="21">
        <f>INDEX('Percent BW'!$N$4:$X$23,MATCH(VolumeFlow!A8,'Percent BW'!$A$4:$A$23,0),MATCH(VolumeFlow!B8,'Percent BW'!$N$2:$X$2,0))</f>
        <v>2.4476190476190471E-2</v>
      </c>
      <c r="D8" s="21" t="s">
        <v>344</v>
      </c>
      <c r="E8" s="22">
        <f>IF(INDEX(Flows!$H$3:$K$21,MATCH($A8,Flows!$A$3:$A$21,0),MATCH($B8,Flows!$B$2:$E$2,0))=0,"",INDEX(Flows!$H$3:$K$21,MATCH($A8,Flows!$A$3:$A$21,0),MATCH($B8,Flows!$B$2:$E$2,0)))</f>
        <v>59.91622903360944</v>
      </c>
      <c r="F8" s="20" t="s">
        <v>342</v>
      </c>
      <c r="G8" s="7"/>
      <c r="H8" s="7"/>
      <c r="I8" s="2"/>
      <c r="J8" s="2"/>
      <c r="K8" s="2"/>
      <c r="L8" s="2"/>
    </row>
    <row r="9" spans="1:12" x14ac:dyDescent="0.25">
      <c r="A9" s="20" t="s">
        <v>37</v>
      </c>
      <c r="B9" s="20" t="s">
        <v>35</v>
      </c>
      <c r="C9" s="21">
        <f>INDEX('Percent BW'!$N$4:$X$23,MATCH(VolumeFlow!A9,'Percent BW'!$A$4:$A$23,0),MATCH(VolumeFlow!B9,'Percent BW'!$N$2:$X$2,0))</f>
        <v>7.234650166587339E-3</v>
      </c>
      <c r="D9" s="21" t="s">
        <v>344</v>
      </c>
      <c r="E9" s="22">
        <f>IF(INDEX(Flows!$H$3:$K$21,MATCH($A9,Flows!$A$3:$A$21,0),MATCH($B9,Flows!$B$2:$E$2,0))=0,"",INDEX(Flows!$H$3:$K$21,MATCH($A9,Flows!$A$3:$A$21,0),MATCH($B9,Flows!$B$2:$E$2,0)))</f>
        <v>5.7850152170381541</v>
      </c>
      <c r="F9" s="20" t="s">
        <v>342</v>
      </c>
      <c r="G9" s="7"/>
      <c r="H9" s="7"/>
      <c r="I9" s="2"/>
      <c r="J9" s="2"/>
      <c r="K9" s="2"/>
      <c r="L9" s="2"/>
    </row>
    <row r="10" spans="1:12" x14ac:dyDescent="0.25">
      <c r="A10" s="20" t="s">
        <v>11</v>
      </c>
      <c r="B10" s="20" t="s">
        <v>35</v>
      </c>
      <c r="C10" s="21">
        <f>INDEX('Percent BW'!$N$4:$X$23,MATCH(VolumeFlow!A10,'Percent BW'!$A$4:$A$23,0),MATCH(VolumeFlow!B10,'Percent BW'!$N$2:$X$2,0))</f>
        <v>0.38424591738712782</v>
      </c>
      <c r="D10" s="21" t="s">
        <v>344</v>
      </c>
      <c r="E10" s="22">
        <f>IF(INDEX(Flows!$H$3:$K$21,MATCH($A10,Flows!$A$3:$A$21,0),MATCH($B10,Flows!$B$2:$E$2,0))=0,"",INDEX(Flows!$H$3:$K$21,MATCH($A10,Flows!$A$3:$A$21,0),MATCH($B10,Flows!$B$2:$E$2,0)))</f>
        <v>30.991152948418677</v>
      </c>
      <c r="F10" s="20" t="s">
        <v>342</v>
      </c>
      <c r="G10" s="7"/>
      <c r="H10" s="7"/>
      <c r="I10" s="2"/>
      <c r="J10" s="2"/>
      <c r="K10" s="2"/>
      <c r="L10" s="2"/>
    </row>
    <row r="11" spans="1:12" x14ac:dyDescent="0.25">
      <c r="A11" s="20" t="s">
        <v>13</v>
      </c>
      <c r="B11" s="20" t="s">
        <v>35</v>
      </c>
      <c r="C11" s="21">
        <f>INDEX('Percent BW'!$N$4:$X$23,MATCH(VolumeFlow!A11,'Percent BW'!$A$4:$A$23,0),MATCH(VolumeFlow!B11,'Percent BW'!$N$2:$X$2,0))</f>
        <v>3.3204899288913951E-2</v>
      </c>
      <c r="D11" s="21" t="s">
        <v>344</v>
      </c>
      <c r="E11" s="22">
        <f>IF(INDEX(Flows!$H$3:$K$21,MATCH($A11,Flows!$A$3:$A$21,0),MATCH($B11,Flows!$B$2:$E$2,0))=0,"",INDEX(Flows!$H$3:$K$21,MATCH($A11,Flows!$A$3:$A$21,0),MATCH($B11,Flows!$B$2:$E$2,0)))</f>
        <v>12.396461179367471</v>
      </c>
      <c r="F11" s="20" t="s">
        <v>342</v>
      </c>
      <c r="G11" s="7"/>
      <c r="H11" s="7"/>
      <c r="I11" s="2"/>
      <c r="J11" s="2"/>
      <c r="K11" s="2"/>
      <c r="L11" s="2"/>
    </row>
    <row r="12" spans="1:12" x14ac:dyDescent="0.25">
      <c r="A12" s="20" t="s">
        <v>14</v>
      </c>
      <c r="B12" s="20" t="s">
        <v>35</v>
      </c>
      <c r="C12" s="21">
        <f>INDEX('Percent BW'!$N$4:$X$23,MATCH(VolumeFlow!A12,'Percent BW'!$A$4:$A$23,0),MATCH(VolumeFlow!B12,'Percent BW'!$N$2:$X$2,0))</f>
        <v>2.4667931688804553E-3</v>
      </c>
      <c r="D12" s="21" t="s">
        <v>344</v>
      </c>
      <c r="E12" s="22">
        <f>IF(INDEX(Flows!$H$3:$K$21,MATCH($A12,Flows!$A$3:$A$21,0),MATCH($B12,Flows!$B$2:$E$2,0))=0,"",INDEX(Flows!$H$3:$K$21,MATCH($A12,Flows!$A$3:$A$21,0),MATCH($B12,Flows!$B$2:$E$2,0)))</f>
        <v>3.1817583693709843</v>
      </c>
      <c r="F12" s="20" t="s">
        <v>342</v>
      </c>
      <c r="G12" s="7"/>
      <c r="H12" s="7"/>
      <c r="I12" s="2"/>
      <c r="J12" s="2"/>
      <c r="K12" s="2"/>
      <c r="L12" s="2"/>
    </row>
    <row r="13" spans="1:12" x14ac:dyDescent="0.25">
      <c r="A13" s="20" t="s">
        <v>15</v>
      </c>
      <c r="B13" s="20" t="s">
        <v>35</v>
      </c>
      <c r="C13" s="21">
        <v>2.9999999999999997E-4</v>
      </c>
      <c r="D13" s="21" t="s">
        <v>344</v>
      </c>
      <c r="E13" s="22">
        <v>3.7</v>
      </c>
      <c r="F13" s="20" t="s">
        <v>344</v>
      </c>
      <c r="G13" s="7"/>
      <c r="H13" s="7"/>
      <c r="I13" s="2"/>
      <c r="J13" s="2"/>
      <c r="K13" s="2"/>
      <c r="L13" s="2"/>
    </row>
    <row r="14" spans="1:12" x14ac:dyDescent="0.25">
      <c r="A14" s="20" t="s">
        <v>30</v>
      </c>
      <c r="B14" s="20" t="s">
        <v>35</v>
      </c>
      <c r="C14" s="30">
        <f>INDEX('Percent BW'!$N$4:$X$23,MATCH("Total",'Percent BW'!$A$4:$A$23,0),MATCH(VolumeFlow!B14,'Percent BW'!$N$2:$X$2,0))-INDEX('Percent BW'!$N$4:$X$23,MATCH("GI Contents",'Percent BW'!$A$4:$A$23,0),MATCH(VolumeFlow!B14,'Percent BW'!$N$2:$X$2,0))-INDEX('Percent BW'!$N$4:$X$23,MATCH("Blood",'Percent BW'!$A$4:$A$23,0),MATCH(VolumeFlow!B14,'Percent BW'!$N$2:$X$2,0))-SUM(C2:C12)</f>
        <v>5.1820372533547543E-2</v>
      </c>
      <c r="D14" s="21" t="s">
        <v>344</v>
      </c>
      <c r="E14" s="22">
        <f>IF(INDEX(Flows!$H$3:$K$21,MATCH($A14,Flows!$A$3:$A$21,0),MATCH($B14,Flows!$B$2:$E$2,0))=0,"",INDEX(Flows!$H$3:$K$21,MATCH($A14,Flows!$A$3:$A$21,0),MATCH($B14,Flows!$B$2:$E$2,0)))</f>
        <v>4.1900038786262614</v>
      </c>
      <c r="F14" s="20" t="s">
        <v>342</v>
      </c>
      <c r="G14" s="7"/>
      <c r="H14" s="7"/>
      <c r="I14" s="2"/>
      <c r="J14" s="2"/>
      <c r="K14" s="2"/>
      <c r="L14" s="2"/>
    </row>
    <row r="15" spans="1:12" x14ac:dyDescent="0.25">
      <c r="A15" s="20" t="s">
        <v>3</v>
      </c>
      <c r="B15" s="20" t="s">
        <v>17</v>
      </c>
      <c r="C15" s="21">
        <f>INDEX('Percent BW'!$N$4:$X$23,MATCH(VolumeFlow!A15,'Percent BW'!$A$4:$A$23,0),MATCH(VolumeFlow!B15,'Percent BW'!$N$2:$X$2,0))</f>
        <v>7.2598253275109076E-2</v>
      </c>
      <c r="D15" s="21" t="s">
        <v>344</v>
      </c>
      <c r="E15" s="22">
        <f>IF(INDEX(Flows!$H$3:$K$21,MATCH($A15,Flows!$A$3:$A$21,0),MATCH($B15,Flows!$B$2:$E$2,0))=0,"",INDEX(Flows!$H$3:$K$21,MATCH($A15,Flows!$A$3:$A$21,0),MATCH($B15,Flows!$B$2:$E$2,0)))</f>
        <v>1.131370849898476</v>
      </c>
      <c r="F15" s="20" t="s">
        <v>342</v>
      </c>
      <c r="G15" s="7"/>
      <c r="H15" s="7"/>
      <c r="I15" s="2"/>
      <c r="J15" s="2"/>
      <c r="K15" s="2"/>
      <c r="L15" s="2"/>
    </row>
    <row r="16" spans="1:12" x14ac:dyDescent="0.25">
      <c r="A16" s="20" t="s">
        <v>5</v>
      </c>
      <c r="B16" s="20" t="s">
        <v>17</v>
      </c>
      <c r="C16" s="21">
        <f>INDEX('Percent BW'!$N$4:$X$23,MATCH(VolumeFlow!A16,'Percent BW'!$A$4:$A$23,0),MATCH(VolumeFlow!B16,'Percent BW'!$N$2:$X$2,0))</f>
        <v>3.6939633668305896E-2</v>
      </c>
      <c r="D16" s="21" t="s">
        <v>344</v>
      </c>
      <c r="E16" s="22">
        <f>IF(INDEX(Flows!$H$3:$K$21,MATCH($A16,Flows!$A$3:$A$21,0),MATCH($B16,Flows!$B$2:$E$2,0))=0,"",INDEX(Flows!$H$3:$K$21,MATCH($A16,Flows!$A$3:$A$21,0),MATCH($B16,Flows!$B$2:$E$2,0)))</f>
        <v>25.535040082208603</v>
      </c>
      <c r="F16" s="20" t="s">
        <v>342</v>
      </c>
      <c r="G16" s="7"/>
      <c r="H16" s="7"/>
      <c r="I16" s="2"/>
      <c r="J16" s="2"/>
      <c r="K16" s="2"/>
      <c r="L16" s="2"/>
    </row>
    <row r="17" spans="1:12" x14ac:dyDescent="0.25">
      <c r="A17" s="20" t="s">
        <v>6</v>
      </c>
      <c r="B17" s="20" t="s">
        <v>17</v>
      </c>
      <c r="C17" s="21">
        <f>INDEX('Percent BW'!$N$4:$X$23,MATCH(VolumeFlow!A17,'Percent BW'!$A$4:$A$23,0),MATCH(VolumeFlow!B17,'Percent BW'!$N$2:$X$2,0))</f>
        <v>5.5045871559633031E-3</v>
      </c>
      <c r="D17" s="21" t="s">
        <v>344</v>
      </c>
      <c r="E17" s="22">
        <f>IF(INDEX(Flows!$H$3:$K$21,MATCH($A17,Flows!$A$3:$A$21,0),MATCH($B17,Flows!$B$2:$E$2,0))=0,"",INDEX(Flows!$H$3:$K$21,MATCH($A17,Flows!$A$3:$A$21,0),MATCH($B17,Flows!$B$2:$E$2,0)))</f>
        <v>3.676955262170047</v>
      </c>
      <c r="F17" s="20" t="s">
        <v>342</v>
      </c>
      <c r="G17" s="7"/>
      <c r="H17" s="7"/>
      <c r="I17" s="2"/>
      <c r="J17" s="2"/>
      <c r="K17" s="2"/>
      <c r="L17" s="2"/>
    </row>
    <row r="18" spans="1:12" x14ac:dyDescent="0.25">
      <c r="A18" s="20" t="s">
        <v>45</v>
      </c>
      <c r="B18" s="20" t="s">
        <v>17</v>
      </c>
      <c r="C18" s="30">
        <f>INDEX('Percent BW'!$N$4:$X$23,MATCH("Stomach",'Percent BW'!$A$4:$A$23,0),MATCH(VolumeFlow!B18,'Percent BW'!$N$2:$X$2,0))+INDEX('Percent BW'!$N$4:$X$23,MATCH("Large Intestine",'Percent BW'!$A$4:$A$23,0),MATCH(VolumeFlow!B18,'Percent BW'!$N$2:$X$2,0))+INDEX('Percent BW'!$N$4:$X$23,MATCH("Small Intestine",'Percent BW'!$A$4:$A$23,0),MATCH(VolumeFlow!B18,'Percent BW'!$N$2:$X$2,0))</f>
        <v>2.5852334412265577E-2</v>
      </c>
      <c r="D18" s="21" t="s">
        <v>344</v>
      </c>
      <c r="E18" s="22">
        <f>IF(INDEX(Flows!$H$3:$K$21,MATCH($A18,Flows!$A$3:$A$21,0),MATCH($B18,Flows!$B$2:$E$2,0))=0,"",INDEX(Flows!$H$3:$K$21,MATCH($A18,Flows!$A$3:$A$21,0),MATCH($B18,Flows!$B$2:$E$2,0)))</f>
        <v>27.718585822512662</v>
      </c>
      <c r="F18" s="20" t="s">
        <v>342</v>
      </c>
      <c r="G18" s="7"/>
      <c r="H18" s="7"/>
      <c r="I18" s="2"/>
      <c r="J18" s="2"/>
      <c r="K18" s="2"/>
      <c r="L18" s="2"/>
    </row>
    <row r="19" spans="1:12" x14ac:dyDescent="0.25">
      <c r="A19" s="20" t="s">
        <v>8</v>
      </c>
      <c r="B19" s="20" t="s">
        <v>17</v>
      </c>
      <c r="C19" s="21">
        <f>INDEX('Percent BW'!$N$4:$X$23,MATCH(VolumeFlow!A19,'Percent BW'!$A$4:$A$23,0),MATCH(VolumeFlow!B19,'Percent BW'!$N$2:$X$2,0))</f>
        <v>3.2038834951456309E-3</v>
      </c>
      <c r="D19" s="21" t="s">
        <v>344</v>
      </c>
      <c r="E19" s="22">
        <f>IF(INDEX(Flows!$H$3:$K$21,MATCH($A19,Flows!$A$3:$A$21,0),MATCH($B19,Flows!$B$2:$E$2,0))=0,"",INDEX(Flows!$H$3:$K$21,MATCH($A19,Flows!$A$3:$A$21,0),MATCH($B19,Flows!$B$2:$E$2,0)))</f>
        <v>11.030865786510139</v>
      </c>
      <c r="F19" s="20" t="s">
        <v>342</v>
      </c>
      <c r="G19" s="7"/>
      <c r="H19" s="7"/>
      <c r="I19" s="2"/>
      <c r="J19" s="2"/>
      <c r="K19" s="2"/>
      <c r="L19" s="2"/>
    </row>
    <row r="20" spans="1:12" x14ac:dyDescent="0.25">
      <c r="A20" s="20" t="s">
        <v>38</v>
      </c>
      <c r="B20" s="20" t="s">
        <v>17</v>
      </c>
      <c r="C20" s="21">
        <f>INDEX('Percent BW'!$N$4:$X$23,MATCH(VolumeFlow!A20,'Percent BW'!$A$4:$A$23,0),MATCH(VolumeFlow!B20,'Percent BW'!$N$2:$X$2,0))</f>
        <v>6.9523809523809521E-3</v>
      </c>
      <c r="D20" s="21" t="s">
        <v>344</v>
      </c>
      <c r="E20" s="22">
        <f>IF(INDEX(Flows!$H$3:$K$21,MATCH($A20,Flows!$A$3:$A$21,0),MATCH($B20,Flows!$B$2:$E$2,0))=0,"",INDEX(Flows!$H$3:$K$21,MATCH($A20,Flows!$A$3:$A$21,0),MATCH($B20,Flows!$B$2:$E$2,0)))</f>
        <v>26.021529547664947</v>
      </c>
      <c r="F20" s="20" t="s">
        <v>342</v>
      </c>
      <c r="G20" s="7"/>
      <c r="H20" s="7"/>
      <c r="I20" s="2"/>
      <c r="J20" s="2"/>
      <c r="K20" s="2"/>
      <c r="L20" s="2"/>
    </row>
    <row r="21" spans="1:12" x14ac:dyDescent="0.25">
      <c r="A21" s="20" t="s">
        <v>10</v>
      </c>
      <c r="B21" s="20" t="s">
        <v>17</v>
      </c>
      <c r="C21" s="21">
        <f>INDEX('Percent BW'!$N$4:$X$23,MATCH(VolumeFlow!A21,'Percent BW'!$A$4:$A$23,0),MATCH(VolumeFlow!B21,'Percent BW'!$N$2:$X$2,0))</f>
        <v>3.4857142857142857E-2</v>
      </c>
      <c r="D21" s="21" t="s">
        <v>344</v>
      </c>
      <c r="E21" s="22">
        <f>IF(INDEX(Flows!$H$3:$K$21,MATCH($A21,Flows!$A$3:$A$21,0),MATCH($B21,Flows!$B$2:$E$2,0))=0,"",INDEX(Flows!$H$3:$K$21,MATCH($A21,Flows!$A$3:$A$21,0),MATCH($B21,Flows!$B$2:$E$2,0)))</f>
        <v>33.375440072005041</v>
      </c>
      <c r="F21" s="20" t="s">
        <v>342</v>
      </c>
      <c r="G21" s="7"/>
      <c r="H21" s="7"/>
      <c r="I21" s="2"/>
      <c r="J21" s="2"/>
      <c r="K21" s="2"/>
      <c r="L21" s="2"/>
    </row>
    <row r="22" spans="1:12" x14ac:dyDescent="0.25">
      <c r="A22" s="20" t="s">
        <v>37</v>
      </c>
      <c r="B22" s="20" t="s">
        <v>17</v>
      </c>
      <c r="C22" s="21">
        <f>INDEX('Percent BW'!$N$4:$X$23,MATCH(VolumeFlow!A22,'Percent BW'!$A$4:$A$23,0),MATCH(VolumeFlow!B22,'Percent BW'!$N$2:$X$2,0))</f>
        <v>4.7596382674916704E-3</v>
      </c>
      <c r="D22" s="21" t="s">
        <v>344</v>
      </c>
      <c r="E22" s="22">
        <f>IF(INDEX(Flows!$H$3:$K$21,MATCH($A22,Flows!$A$3:$A$21,0),MATCH($B22,Flows!$B$2:$E$2,0))=0,"",INDEX(Flows!$H$3:$K$21,MATCH($A22,Flows!$A$3:$A$21,0),MATCH($B22,Flows!$B$2:$E$2,0)))</f>
        <v>4.3953757518555792</v>
      </c>
      <c r="F22" s="20" t="s">
        <v>342</v>
      </c>
      <c r="G22" s="7"/>
      <c r="H22" s="7"/>
      <c r="I22" s="2"/>
      <c r="J22" s="2"/>
      <c r="K22" s="2"/>
      <c r="L22" s="2"/>
    </row>
    <row r="23" spans="1:12" x14ac:dyDescent="0.25">
      <c r="A23" s="20" t="s">
        <v>11</v>
      </c>
      <c r="B23" s="20" t="s">
        <v>17</v>
      </c>
      <c r="C23" s="21">
        <f>INDEX('Percent BW'!$N$4:$X$23,MATCH(VolumeFlow!A23,'Percent BW'!$A$4:$A$23,0),MATCH(VolumeFlow!B23,'Percent BW'!$N$2:$X$2,0))</f>
        <v>0.38837656099903939</v>
      </c>
      <c r="D23" s="21" t="s">
        <v>344</v>
      </c>
      <c r="E23" s="22">
        <f>IF(INDEX(Flows!$H$3:$K$21,MATCH($A23,Flows!$A$3:$A$21,0),MATCH($B23,Flows!$B$2:$E$2,0))=0,"",INDEX(Flows!$H$3:$K$21,MATCH($A23,Flows!$A$3:$A$21,0),MATCH($B23,Flows!$B$2:$E$2,0)))</f>
        <v>21.213203435596427</v>
      </c>
      <c r="F23" s="20" t="s">
        <v>342</v>
      </c>
      <c r="G23" s="7"/>
      <c r="H23" s="7"/>
      <c r="I23" s="2"/>
      <c r="J23" s="2"/>
      <c r="K23" s="2"/>
      <c r="L23" s="2"/>
    </row>
    <row r="24" spans="1:12" x14ac:dyDescent="0.25">
      <c r="A24" s="20" t="s">
        <v>13</v>
      </c>
      <c r="B24" s="20" t="s">
        <v>17</v>
      </c>
      <c r="C24" s="21">
        <f>INDEX('Percent BW'!$N$4:$X$23,MATCH(VolumeFlow!A24,'Percent BW'!$A$4:$A$23,0),MATCH(VolumeFlow!B24,'Percent BW'!$N$2:$X$2,0))</f>
        <v>0.17032054810459099</v>
      </c>
      <c r="D24" s="21" t="s">
        <v>344</v>
      </c>
      <c r="E24" s="22">
        <f>IF(INDEX(Flows!$H$3:$K$21,MATCH($A24,Flows!$A$3:$A$21,0),MATCH($B24,Flows!$B$2:$E$2,0))=0,"",INDEX(Flows!$H$3:$K$21,MATCH($A24,Flows!$A$3:$A$21,0),MATCH($B24,Flows!$B$2:$E$2,0)))</f>
        <v>16.404877323527902</v>
      </c>
      <c r="F24" s="20" t="s">
        <v>342</v>
      </c>
      <c r="G24" s="7"/>
      <c r="H24" s="7"/>
      <c r="I24" s="2"/>
      <c r="J24" s="2"/>
      <c r="K24" s="2"/>
      <c r="L24" s="2"/>
    </row>
    <row r="25" spans="1:12" x14ac:dyDescent="0.25">
      <c r="A25" s="20" t="s">
        <v>14</v>
      </c>
      <c r="B25" s="20" t="s">
        <v>17</v>
      </c>
      <c r="C25" s="21">
        <f>INDEX('Percent BW'!$N$4:$X$23,MATCH(VolumeFlow!A25,'Percent BW'!$A$4:$A$23,0),MATCH(VolumeFlow!B25,'Percent BW'!$N$2:$X$2,0))</f>
        <v>1.8975332068311196E-3</v>
      </c>
      <c r="D25" s="21" t="s">
        <v>344</v>
      </c>
      <c r="E25" s="22">
        <f>IF(INDEX(Flows!$H$3:$K$21,MATCH($A25,Flows!$A$3:$A$21,0),MATCH($B25,Flows!$B$2:$E$2,0))=0,"",INDEX(Flows!$H$3:$K$21,MATCH($A25,Flows!$A$3:$A$21,0),MATCH($B25,Flows!$B$2:$E$2,0)))</f>
        <v>2.8779245994292482</v>
      </c>
      <c r="F25" s="20" t="s">
        <v>342</v>
      </c>
      <c r="G25" s="7"/>
      <c r="H25" s="7"/>
      <c r="I25" s="2"/>
      <c r="J25" s="2"/>
      <c r="K25" s="2"/>
      <c r="L25" s="2"/>
    </row>
    <row r="26" spans="1:12" x14ac:dyDescent="0.25">
      <c r="A26" s="20" t="s">
        <v>30</v>
      </c>
      <c r="B26" s="20" t="s">
        <v>17</v>
      </c>
      <c r="C26" s="30">
        <f>INDEX('Percent BW'!$N$4:$X$23,MATCH("Total",'Percent BW'!$A$4:$A$23,0),MATCH(VolumeFlow!B26,'Percent BW'!$N$2:$X$2,0))-INDEX('Percent BW'!$N$4:$X$23,MATCH("GI Contents",'Percent BW'!$A$4:$A$23,0),MATCH(VolumeFlow!B26,'Percent BW'!$N$2:$X$2,0))-INDEX('Percent BW'!$N$4:$X$23,MATCH("Blood",'Percent BW'!$A$4:$A$23,0),MATCH(VolumeFlow!B26,'Percent BW'!$N$2:$X$2,0))-SUM(C15:C25)</f>
        <v>5.2399992921151606E-2</v>
      </c>
      <c r="D26" s="21" t="s">
        <v>344</v>
      </c>
      <c r="E26" s="22">
        <f>IF(INDEX(Flows!$H$3:$K$21,MATCH($A26,Flows!$A$3:$A$21,0),MATCH($B26,Flows!$B$2:$E$2,0))=0,"",INDEX(Flows!$H$3:$K$21,MATCH($A26,Flows!$A$3:$A$21,0),MATCH($B26,Flows!$B$2:$E$2,0)))</f>
        <v>59.664255982958501</v>
      </c>
      <c r="F26" s="20" t="s">
        <v>342</v>
      </c>
    </row>
    <row r="27" spans="1:12" x14ac:dyDescent="0.25">
      <c r="A27" s="20" t="s">
        <v>3</v>
      </c>
      <c r="B27" s="20" t="s">
        <v>34</v>
      </c>
      <c r="C27" s="21">
        <f>INDEX('Percent BW'!$N$4:$X$23,MATCH(VolumeFlow!A27,'Percent BW'!$A$4:$A$23,0),MATCH(VolumeFlow!B27,'Percent BW'!$N$2:$X$2,0))</f>
        <v>7.3169652284369002E-2</v>
      </c>
      <c r="D27" s="21" t="s">
        <v>344</v>
      </c>
      <c r="E27" s="22">
        <f>IF(INDEX(Flows!$H$3:$K$21,MATCH($A27,Flows!$A$3:$A$21,0),MATCH($B27,Flows!$B$2:$E$2,0))=0,"",INDEX(Flows!$H$3:$K$21,MATCH($A27,Flows!$A$3:$A$21,0),MATCH($B27,Flows!$B$2:$E$2,0)))</f>
        <v>4.0614836065401096</v>
      </c>
      <c r="F27" s="20" t="s">
        <v>342</v>
      </c>
    </row>
    <row r="28" spans="1:12" x14ac:dyDescent="0.25">
      <c r="A28" s="20" t="s">
        <v>5</v>
      </c>
      <c r="B28" s="20" t="s">
        <v>34</v>
      </c>
      <c r="C28" s="21">
        <f>INDEX('Percent BW'!$N$4:$X$23,MATCH(VolumeFlow!A28,'Percent BW'!$A$4:$A$23,0),MATCH(VolumeFlow!B28,'Percent BW'!$N$2:$X$2,0))</f>
        <v>5.429620126861949E-2</v>
      </c>
      <c r="D28" s="21" t="s">
        <v>344</v>
      </c>
      <c r="E28" s="22">
        <f>IF(INDEX(Flows!$H$3:$K$21,MATCH($A28,Flows!$A$3:$A$21,0),MATCH($B28,Flows!$B$2:$E$2,0))=0,"",INDEX(Flows!$H$3:$K$21,MATCH($A28,Flows!$A$3:$A$21,0),MATCH($B28,Flows!$B$2:$E$2,0)))</f>
        <v>8.766383654772504</v>
      </c>
      <c r="F28" s="20" t="s">
        <v>342</v>
      </c>
    </row>
    <row r="29" spans="1:12" x14ac:dyDescent="0.25">
      <c r="A29" s="20" t="s">
        <v>6</v>
      </c>
      <c r="B29" s="20" t="s">
        <v>34</v>
      </c>
      <c r="C29" s="21">
        <f>INDEX('Percent BW'!$N$4:$X$23,MATCH(VolumeFlow!A29,'Percent BW'!$A$4:$A$23,0),MATCH(VolumeFlow!B29,'Percent BW'!$N$2:$X$2,0))</f>
        <v>1.5934331240946405E-2</v>
      </c>
      <c r="D29" s="21" t="s">
        <v>344</v>
      </c>
      <c r="E29" s="22">
        <f>IF(INDEX(Flows!$H$3:$K$21,MATCH($A29,Flows!$A$3:$A$21,0),MATCH($B29,Flows!$B$2:$E$2,0))=0,"",INDEX(Flows!$H$3:$K$21,MATCH($A29,Flows!$A$3:$A$21,0),MATCH($B29,Flows!$B$2:$E$2,0)))</f>
        <v>4.963996082874039</v>
      </c>
      <c r="F29" s="20" t="s">
        <v>342</v>
      </c>
    </row>
    <row r="30" spans="1:12" x14ac:dyDescent="0.25">
      <c r="A30" s="20" t="s">
        <v>45</v>
      </c>
      <c r="B30" s="20" t="s">
        <v>34</v>
      </c>
      <c r="C30" s="30">
        <f>INDEX('Percent BW'!$N$4:$X$23,MATCH("Stomach",'Percent BW'!$A$4:$A$23,0),MATCH(VolumeFlow!B30,'Percent BW'!$N$2:$X$2,0))+INDEX('Percent BW'!$N$4:$X$23,MATCH("Large Intestine",'Percent BW'!$A$4:$A$23,0),MATCH(VolumeFlow!B30,'Percent BW'!$N$2:$X$2,0))+INDEX('Percent BW'!$N$4:$X$23,MATCH("Small Intestine",'Percent BW'!$A$4:$A$23,0),MATCH(VolumeFlow!B30,'Percent BW'!$N$2:$X$2,0))</f>
        <v>4.0408654780552319E-2</v>
      </c>
      <c r="D30" s="21" t="s">
        <v>344</v>
      </c>
      <c r="E30" s="22">
        <f>IF(INDEX(Flows!$H$3:$K$21,MATCH($A30,Flows!$A$3:$A$21,0),MATCH($B30,Flows!$B$2:$E$2,0))=0,"",INDEX(Flows!$H$3:$K$21,MATCH($A30,Flows!$A$3:$A$21,0),MATCH($B30,Flows!$B$2:$E$2,0)))</f>
        <v>27.264372424876349</v>
      </c>
      <c r="F30" s="20" t="s">
        <v>342</v>
      </c>
    </row>
    <row r="31" spans="1:12" x14ac:dyDescent="0.25">
      <c r="A31" s="20" t="s">
        <v>8</v>
      </c>
      <c r="B31" s="20" t="s">
        <v>34</v>
      </c>
      <c r="C31" s="21">
        <f>INDEX('Percent BW'!$N$4:$X$23,MATCH(VolumeFlow!A31,'Percent BW'!$A$4:$A$23,0),MATCH(VolumeFlow!B31,'Percent BW'!$N$2:$X$2,0))</f>
        <v>4.8543689320388345E-3</v>
      </c>
      <c r="D31" s="21" t="s">
        <v>344</v>
      </c>
      <c r="E31" s="22">
        <f>IF(INDEX(Flows!$H$3:$K$21,MATCH($A31,Flows!$A$3:$A$21,0),MATCH($B31,Flows!$B$2:$E$2,0))=0,"",INDEX(Flows!$H$3:$K$21,MATCH($A31,Flows!$A$3:$A$21,0),MATCH($B31,Flows!$B$2:$E$2,0)))</f>
        <v>5.2648443303209511</v>
      </c>
      <c r="F31" s="20" t="s">
        <v>342</v>
      </c>
    </row>
    <row r="32" spans="1:12" x14ac:dyDescent="0.25">
      <c r="A32" s="20" t="s">
        <v>38</v>
      </c>
      <c r="B32" s="20" t="s">
        <v>34</v>
      </c>
      <c r="C32" s="21">
        <f>INDEX('Percent BW'!$N$4:$X$23,MATCH(VolumeFlow!A32,'Percent BW'!$A$4:$A$23,0),MATCH(VolumeFlow!B32,'Percent BW'!$N$2:$X$2,0))</f>
        <v>1.5904761904761904E-2</v>
      </c>
      <c r="D32" s="21" t="s">
        <v>344</v>
      </c>
      <c r="E32" s="22">
        <f>IF(INDEX(Flows!$H$3:$K$21,MATCH($A32,Flows!$A$3:$A$21,0),MATCH($B32,Flows!$B$2:$E$2,0))=0,"",INDEX(Flows!$H$3:$K$21,MATCH($A32,Flows!$A$3:$A$21,0),MATCH($B32,Flows!$B$2:$E$2,0)))</f>
        <v>24.443920105061554</v>
      </c>
      <c r="F32" s="20" t="s">
        <v>342</v>
      </c>
    </row>
    <row r="33" spans="1:12" x14ac:dyDescent="0.25">
      <c r="A33" s="20" t="s">
        <v>10</v>
      </c>
      <c r="B33" s="20" t="s">
        <v>34</v>
      </c>
      <c r="C33" s="21">
        <f>INDEX('Percent BW'!$N$4:$X$23,MATCH(VolumeFlow!A33,'Percent BW'!$A$4:$A$23,0),MATCH(VolumeFlow!B33,'Percent BW'!$N$2:$X$2,0))</f>
        <v>5.228571428571429E-2</v>
      </c>
      <c r="D33" s="21" t="s">
        <v>344</v>
      </c>
      <c r="E33" s="22">
        <f>IF(INDEX(Flows!$H$3:$K$21,MATCH($A33,Flows!$A$3:$A$21,0),MATCH($B33,Flows!$B$2:$E$2,0))=0,"",INDEX(Flows!$H$3:$K$21,MATCH($A33,Flows!$A$3:$A$21,0),MATCH($B33,Flows!$B$2:$E$2,0)))</f>
        <v>33.845427837777535</v>
      </c>
      <c r="F33" s="20" t="s">
        <v>342</v>
      </c>
    </row>
    <row r="34" spans="1:12" x14ac:dyDescent="0.25">
      <c r="A34" s="20" t="s">
        <v>37</v>
      </c>
      <c r="B34" s="20" t="s">
        <v>34</v>
      </c>
      <c r="C34" s="21">
        <f>INDEX('Percent BW'!$N$4:$X$23,MATCH(VolumeFlow!A34,'Percent BW'!$A$4:$A$23,0),MATCH(VolumeFlow!B34,'Percent BW'!$N$2:$X$2,0))</f>
        <v>6.9490718705378391E-3</v>
      </c>
      <c r="D34" s="21" t="s">
        <v>344</v>
      </c>
      <c r="E34" s="22">
        <f>IF(INDEX(Flows!$H$3:$K$21,MATCH($A34,Flows!$A$3:$A$21,0),MATCH($B34,Flows!$B$2:$E$2,0))=0,"",INDEX(Flows!$H$3:$K$21,MATCH($A34,Flows!$A$3:$A$21,0),MATCH($B34,Flows!$B$2:$E$2,0)))</f>
        <v>0.75212061861727864</v>
      </c>
      <c r="F34" s="20" t="s">
        <v>342</v>
      </c>
    </row>
    <row r="35" spans="1:12" x14ac:dyDescent="0.25">
      <c r="A35" s="20" t="s">
        <v>11</v>
      </c>
      <c r="B35" s="20" t="s">
        <v>34</v>
      </c>
      <c r="C35" s="21">
        <f>INDEX('Percent BW'!$N$4:$X$23,MATCH(VolumeFlow!A35,'Percent BW'!$A$4:$A$23,0),MATCH(VolumeFlow!B35,'Percent BW'!$N$2:$X$2,0))</f>
        <v>0.36887608069164268</v>
      </c>
      <c r="D35" s="21" t="s">
        <v>344</v>
      </c>
      <c r="E35" s="22">
        <f>IF(INDEX(Flows!$H$3:$K$21,MATCH($A35,Flows!$A$3:$A$21,0),MATCH($B35,Flows!$B$2:$E$2,0))=0,"",INDEX(Flows!$H$3:$K$21,MATCH($A35,Flows!$A$3:$A$21,0),MATCH($B35,Flows!$B$2:$E$2,0)))</f>
        <v>17.110744073543088</v>
      </c>
      <c r="F35" s="20" t="s">
        <v>342</v>
      </c>
    </row>
    <row r="36" spans="1:12" x14ac:dyDescent="0.25">
      <c r="A36" s="20" t="s">
        <v>13</v>
      </c>
      <c r="B36" s="20" t="s">
        <v>34</v>
      </c>
      <c r="C36" s="21">
        <f>INDEX('Percent BW'!$N$4:$X$23,MATCH(VolumeFlow!A36,'Percent BW'!$A$4:$A$23,0),MATCH(VolumeFlow!B36,'Percent BW'!$N$2:$X$2,0))</f>
        <v>0.14794527904198049</v>
      </c>
      <c r="D36" s="21" t="s">
        <v>344</v>
      </c>
      <c r="E36" s="22">
        <f>IF(INDEX(Flows!$H$3:$K$21,MATCH($A36,Flows!$A$3:$A$21,0),MATCH($B36,Flows!$B$2:$E$2,0))=0,"",INDEX(Flows!$H$3:$K$21,MATCH($A36,Flows!$A$3:$A$21,0),MATCH($B36,Flows!$B$2:$E$2,0)))</f>
        <v>7.709236340827105</v>
      </c>
      <c r="F36" s="20" t="s">
        <v>342</v>
      </c>
    </row>
    <row r="37" spans="1:12" x14ac:dyDescent="0.25">
      <c r="A37" s="20" t="s">
        <v>14</v>
      </c>
      <c r="B37" s="20" t="s">
        <v>34</v>
      </c>
      <c r="C37" s="21">
        <f>INDEX('Percent BW'!$N$4:$X$23,MATCH(VolumeFlow!A37,'Percent BW'!$A$4:$A$23,0),MATCH(VolumeFlow!B37,'Percent BW'!$N$2:$X$2,0))</f>
        <v>1.0473620615192194E-3</v>
      </c>
      <c r="D37" s="21" t="s">
        <v>344</v>
      </c>
      <c r="E37" s="22">
        <f>IF(INDEX(Flows!$H$3:$K$21,MATCH($A37,Flows!$A$3:$A$21,0),MATCH($B37,Flows!$B$2:$E$2,0))=0,"",INDEX(Flows!$H$3:$K$21,MATCH($A37,Flows!$A$3:$A$21,0),MATCH($B37,Flows!$B$2:$E$2,0)))</f>
        <v>2.0683317011975162</v>
      </c>
      <c r="F37" s="20" t="s">
        <v>342</v>
      </c>
    </row>
    <row r="38" spans="1:12" x14ac:dyDescent="0.25">
      <c r="A38" s="20" t="s">
        <v>30</v>
      </c>
      <c r="B38" s="20" t="s">
        <v>34</v>
      </c>
      <c r="C38" s="30">
        <f>INDEX('Percent BW'!$N$4:$X$23,MATCH("Total",'Percent BW'!$A$4:$A$23,0),MATCH(VolumeFlow!B38,'Percent BW'!$N$2:$X$2,0))-INDEX('Percent BW'!$N$4:$X$23,MATCH("GI Contents",'Percent BW'!$A$4:$A$23,0),MATCH(VolumeFlow!B38,'Percent BW'!$N$2:$X$2,0))-INDEX('Percent BW'!$N$4:$X$23,MATCH("Blood",'Percent BW'!$A$4:$A$23,0),MATCH(VolumeFlow!B38,'Percent BW'!$N$2:$X$2,0))-SUM(C27:C37)</f>
        <v>2.5418908119054118E-2</v>
      </c>
      <c r="D38" s="21" t="s">
        <v>344</v>
      </c>
      <c r="E38" s="22">
        <f>IF(INDEX(Flows!$H$3:$K$21,MATCH($A38,Flows!$A$3:$A$21,0),MATCH($B38,Flows!$B$2:$E$2,0))=0,"",INDEX(Flows!$H$3:$K$21,MATCH($A38,Flows!$A$3:$A$21,0),MATCH($B38,Flows!$B$2:$E$2,0)))</f>
        <v>38.629718395752846</v>
      </c>
      <c r="F38" s="20" t="s">
        <v>342</v>
      </c>
      <c r="G38" s="7"/>
      <c r="H38" s="7"/>
      <c r="I38" s="2"/>
      <c r="J38" s="2"/>
      <c r="K38" s="2"/>
      <c r="L38" s="2"/>
    </row>
    <row r="39" spans="1:12" x14ac:dyDescent="0.25">
      <c r="A39" s="20" t="s">
        <v>3</v>
      </c>
      <c r="B39" s="20" t="s">
        <v>18</v>
      </c>
      <c r="C39" s="21">
        <f>INDEX('Percent BW'!$N$4:$X$23,MATCH(VolumeFlow!A39,'Percent BW'!$A$4:$A$23,0),MATCH(VolumeFlow!B39,'Percent BW'!$N$2:$X$2,0))</f>
        <v>4.7303493449781797E-2</v>
      </c>
      <c r="D39" s="21" t="s">
        <v>344</v>
      </c>
      <c r="E39" s="22">
        <f>IF(INDEX(Flows!$H$3:$K$21,MATCH($A39,Flows!$A$3:$A$21,0),MATCH($B39,Flows!$B$2:$E$2,0))=0,"",INDEX(Flows!$H$3:$K$21,MATCH($A39,Flows!$A$3:$A$21,0),MATCH($B39,Flows!$B$2:$E$2,0)))</f>
        <v>6.2239779351362285</v>
      </c>
      <c r="F39" s="20" t="s">
        <v>342</v>
      </c>
      <c r="G39" s="7"/>
      <c r="H39" s="7"/>
      <c r="I39" s="2"/>
      <c r="J39" s="2"/>
      <c r="K39" s="2"/>
      <c r="L39" s="2"/>
    </row>
    <row r="40" spans="1:12" x14ac:dyDescent="0.25">
      <c r="A40" s="20" t="s">
        <v>5</v>
      </c>
      <c r="B40" s="20" t="s">
        <v>18</v>
      </c>
      <c r="C40" s="21">
        <f>INDEX('Percent BW'!$N$4:$X$23,MATCH(VolumeFlow!A40,'Percent BW'!$A$4:$A$23,0),MATCH(VolumeFlow!B40,'Percent BW'!$N$2:$X$2,0))</f>
        <v>4.098781270044901E-2</v>
      </c>
      <c r="D40" s="21" t="s">
        <v>344</v>
      </c>
      <c r="E40" s="22">
        <f>IF(INDEX(Flows!$H$3:$K$21,MATCH($A40,Flows!$A$3:$A$21,0),MATCH($B40,Flows!$B$2:$E$2,0))=0,"",INDEX(Flows!$H$3:$K$21,MATCH($A40,Flows!$A$3:$A$21,0),MATCH($B40,Flows!$B$2:$E$2,0)))</f>
        <v>2.3117632330505993</v>
      </c>
      <c r="F40" s="20" t="s">
        <v>342</v>
      </c>
      <c r="G40" s="7"/>
      <c r="H40" s="7"/>
      <c r="I40" s="2"/>
      <c r="J40" s="2"/>
      <c r="K40" s="2"/>
      <c r="L40" s="2"/>
    </row>
    <row r="41" spans="1:12" x14ac:dyDescent="0.25">
      <c r="A41" s="20" t="s">
        <v>6</v>
      </c>
      <c r="B41" s="20" t="s">
        <v>18</v>
      </c>
      <c r="C41" s="21">
        <f>INDEX('Percent BW'!$N$4:$X$23,MATCH(VolumeFlow!A41,'Percent BW'!$A$4:$A$23,0),MATCH(VolumeFlow!B41,'Percent BW'!$N$2:$X$2,0))</f>
        <v>7.532592950265574E-3</v>
      </c>
      <c r="D41" s="21" t="s">
        <v>344</v>
      </c>
      <c r="E41" s="22">
        <f>IF(INDEX(Flows!$H$3:$K$21,MATCH($A41,Flows!$A$3:$A$21,0),MATCH($B41,Flows!$B$2:$E$2,0))=0,"",INDEX(Flows!$H$3:$K$21,MATCH($A41,Flows!$A$3:$A$21,0),MATCH($B41,Flows!$B$2:$E$2,0)))</f>
        <v>8.0022573451751509</v>
      </c>
      <c r="F41" s="20" t="s">
        <v>342</v>
      </c>
      <c r="G41" s="7"/>
      <c r="H41" s="7"/>
      <c r="I41" s="2"/>
      <c r="J41" s="2"/>
      <c r="K41" s="2"/>
      <c r="L41" s="2"/>
    </row>
    <row r="42" spans="1:12" x14ac:dyDescent="0.25">
      <c r="A42" s="20" t="s">
        <v>45</v>
      </c>
      <c r="B42" s="20" t="s">
        <v>18</v>
      </c>
      <c r="C42" s="30">
        <f>INDEX('Percent BW'!$N$4:$X$23,MATCH("Stomach",'Percent BW'!$A$4:$A$23,0),MATCH(VolumeFlow!B42,'Percent BW'!$N$2:$X$2,0))+INDEX('Percent BW'!$N$4:$X$23,MATCH("Large Intestine",'Percent BW'!$A$4:$A$23,0),MATCH(VolumeFlow!B42,'Percent BW'!$N$2:$X$2,0))+INDEX('Percent BW'!$N$4:$X$23,MATCH("Small Intestine",'Percent BW'!$A$4:$A$23,0),MATCH(VolumeFlow!B42,'Percent BW'!$N$2:$X$2,0))</f>
        <v>3.521811975832758E-2</v>
      </c>
      <c r="D42" s="21" t="s">
        <v>344</v>
      </c>
      <c r="E42" s="22">
        <f>IF(INDEX(Flows!$H$3:$K$21,MATCH($A42,Flows!$A$3:$A$21,0),MATCH($B42,Flows!$B$2:$E$2,0))=0,"",INDEX(Flows!$H$3:$K$21,MATCH($A42,Flows!$A$3:$A$21,0),MATCH($B42,Flows!$B$2:$E$2,0)))</f>
        <v>40.900426430895223</v>
      </c>
      <c r="F42" s="20" t="s">
        <v>342</v>
      </c>
      <c r="G42" s="7"/>
      <c r="H42" s="7"/>
      <c r="I42" s="2"/>
      <c r="J42" s="2"/>
      <c r="K42" s="2"/>
      <c r="L42" s="2"/>
    </row>
    <row r="43" spans="1:12" x14ac:dyDescent="0.25">
      <c r="A43" s="20" t="s">
        <v>8</v>
      </c>
      <c r="B43" s="20" t="s">
        <v>18</v>
      </c>
      <c r="C43" s="21">
        <f>INDEX('Percent BW'!$N$4:$X$23,MATCH(VolumeFlow!A43,'Percent BW'!$A$4:$A$23,0),MATCH(VolumeFlow!B43,'Percent BW'!$N$2:$X$2,0))</f>
        <v>7.5728155339805829E-3</v>
      </c>
      <c r="D43" s="21" t="s">
        <v>344</v>
      </c>
      <c r="E43" s="22">
        <f>IF(INDEX(Flows!$H$3:$K$21,MATCH($A43,Flows!$A$3:$A$21,0),MATCH($B43,Flows!$B$2:$E$2,0))=0,"",INDEX(Flows!$H$3:$K$21,MATCH($A43,Flows!$A$3:$A$21,0),MATCH($B43,Flows!$B$2:$E$2,0)))</f>
        <v>9.6027088142101817</v>
      </c>
      <c r="F43" s="20" t="s">
        <v>342</v>
      </c>
      <c r="G43" s="7"/>
      <c r="H43" s="7"/>
      <c r="I43" s="2"/>
      <c r="J43" s="2"/>
      <c r="K43" s="2"/>
      <c r="L43" s="2"/>
    </row>
    <row r="44" spans="1:12" x14ac:dyDescent="0.25">
      <c r="A44" s="20" t="s">
        <v>38</v>
      </c>
      <c r="B44" s="20" t="s">
        <v>18</v>
      </c>
      <c r="C44" s="21">
        <f>INDEX('Percent BW'!$N$4:$X$23,MATCH(VolumeFlow!A44,'Percent BW'!$A$4:$A$23,0),MATCH(VolumeFlow!B44,'Percent BW'!$N$2:$X$2,0))</f>
        <v>5.2380952380952387E-3</v>
      </c>
      <c r="D44" s="21" t="s">
        <v>344</v>
      </c>
      <c r="E44" s="22">
        <f>IF(INDEX(Flows!$H$3:$K$21,MATCH($A44,Flows!$A$3:$A$21,0),MATCH($B44,Flows!$B$2:$E$2,0))=0,"",INDEX(Flows!$H$3:$K$21,MATCH($A44,Flows!$A$3:$A$21,0),MATCH($B44,Flows!$B$2:$E$2,0)))</f>
        <v>38.410835256840727</v>
      </c>
      <c r="F44" s="20" t="s">
        <v>342</v>
      </c>
      <c r="G44" s="7"/>
      <c r="H44" s="7"/>
      <c r="I44" s="2"/>
      <c r="J44" s="2"/>
      <c r="K44" s="2"/>
      <c r="L44" s="2"/>
    </row>
    <row r="45" spans="1:12" x14ac:dyDescent="0.25">
      <c r="A45" s="20" t="s">
        <v>10</v>
      </c>
      <c r="B45" s="20" t="s">
        <v>18</v>
      </c>
      <c r="C45" s="21">
        <f>INDEX('Percent BW'!$N$4:$X$23,MATCH(VolumeFlow!A45,'Percent BW'!$A$4:$A$23,0),MATCH(VolumeFlow!B45,'Percent BW'!$N$2:$X$2,0))</f>
        <v>3.1333333333333331E-2</v>
      </c>
      <c r="D45" s="21" t="s">
        <v>344</v>
      </c>
      <c r="E45" s="22">
        <f>IF(INDEX(Flows!$H$3:$K$21,MATCH($A45,Flows!$A$3:$A$21,0),MATCH($B45,Flows!$B$2:$E$2,0))=0,"",INDEX(Flows!$H$3:$K$21,MATCH($A45,Flows!$A$3:$A$21,0),MATCH($B45,Flows!$B$2:$E$2,0)))</f>
        <v>54.948833770202704</v>
      </c>
      <c r="F45" s="20" t="s">
        <v>342</v>
      </c>
      <c r="G45" s="7"/>
      <c r="H45" s="7"/>
      <c r="I45" s="2"/>
      <c r="J45" s="2"/>
      <c r="K45" s="2"/>
      <c r="L45" s="2"/>
    </row>
    <row r="46" spans="1:12" x14ac:dyDescent="0.25">
      <c r="A46" s="20" t="s">
        <v>37</v>
      </c>
      <c r="B46" s="20" t="s">
        <v>18</v>
      </c>
      <c r="C46" s="21">
        <f>INDEX('Percent BW'!$N$4:$X$23,MATCH(VolumeFlow!A46,'Percent BW'!$A$4:$A$23,0),MATCH(VolumeFlow!B46,'Percent BW'!$N$2:$X$2,0))</f>
        <v>7.8058067586863388E-3</v>
      </c>
      <c r="D46" s="21" t="s">
        <v>344</v>
      </c>
      <c r="E46" s="22">
        <f>IF(INDEX(Flows!$H$3:$K$21,MATCH($A46,Flows!$A$3:$A$21,0),MATCH($B46,Flows!$B$2:$E$2,0))=0,"",INDEX(Flows!$H$3:$K$21,MATCH($A46,Flows!$A$3:$A$21,0),MATCH($B46,Flows!$B$2:$E$2,0)))</f>
        <v>18.778630570011025</v>
      </c>
      <c r="F46" s="20" t="s">
        <v>342</v>
      </c>
      <c r="G46" s="7"/>
      <c r="H46" s="7"/>
      <c r="I46" s="2"/>
      <c r="J46" s="2"/>
      <c r="K46" s="2"/>
      <c r="L46" s="2"/>
    </row>
    <row r="47" spans="1:12" x14ac:dyDescent="0.25">
      <c r="A47" s="20" t="s">
        <v>11</v>
      </c>
      <c r="B47" s="20" t="s">
        <v>18</v>
      </c>
      <c r="C47" s="21">
        <f>INDEX('Percent BW'!$N$4:$X$23,MATCH(VolumeFlow!A47,'Percent BW'!$A$4:$A$23,0),MATCH(VolumeFlow!B47,'Percent BW'!$N$2:$X$2,0))</f>
        <v>0.43852065321805955</v>
      </c>
      <c r="D47" s="21" t="s">
        <v>344</v>
      </c>
      <c r="E47" s="22">
        <f>IF(INDEX(Flows!$H$3:$K$21,MATCH($A47,Flows!$A$3:$A$21,0),MATCH($B47,Flows!$B$2:$E$2,0))=0,"",INDEX(Flows!$H$3:$K$21,MATCH($A47,Flows!$A$3:$A$21,0),MATCH($B47,Flows!$B$2:$E$2,0)))</f>
        <v>44.456985250973062</v>
      </c>
      <c r="F47" s="20" t="s">
        <v>342</v>
      </c>
      <c r="G47" s="7"/>
      <c r="H47" s="7"/>
      <c r="I47" s="2"/>
      <c r="J47" s="2"/>
      <c r="K47" s="2"/>
      <c r="L47" s="2"/>
    </row>
    <row r="48" spans="1:12" x14ac:dyDescent="0.25">
      <c r="A48" s="20" t="s">
        <v>13</v>
      </c>
      <c r="B48" s="20" t="s">
        <v>18</v>
      </c>
      <c r="C48" s="21">
        <f>INDEX('Percent BW'!$N$4:$X$23,MATCH(VolumeFlow!A48,'Percent BW'!$A$4:$A$23,0),MATCH(VolumeFlow!B48,'Percent BW'!$N$2:$X$2,0))</f>
        <v>0.17005204487583964</v>
      </c>
      <c r="D48" s="21" t="s">
        <v>344</v>
      </c>
      <c r="E48" s="22">
        <f>IF(INDEX(Flows!$H$3:$K$21,MATCH($A48,Flows!$A$3:$A$21,0),MATCH($B48,Flows!$B$2:$E$2,0))=0,"",INDEX(Flows!$H$3:$K$21,MATCH($A48,Flows!$A$3:$A$21,0),MATCH($B48,Flows!$B$2:$E$2,0)))</f>
        <v>17.782794100389225</v>
      </c>
      <c r="F48" s="20" t="s">
        <v>342</v>
      </c>
      <c r="G48" s="7"/>
      <c r="H48" s="7"/>
      <c r="I48" s="2"/>
      <c r="J48" s="2"/>
      <c r="K48" s="2"/>
      <c r="L48" s="2"/>
    </row>
    <row r="49" spans="1:12" x14ac:dyDescent="0.25">
      <c r="A49" s="20" t="s">
        <v>14</v>
      </c>
      <c r="B49" s="20" t="s">
        <v>18</v>
      </c>
      <c r="C49" s="21">
        <f>INDEX('Percent BW'!$N$4:$X$23,MATCH(VolumeFlow!A49,'Percent BW'!$A$4:$A$23,0),MATCH(VolumeFlow!B49,'Percent BW'!$N$2:$X$2,0))</f>
        <v>2.5616698292220113E-3</v>
      </c>
      <c r="D49" s="21" t="s">
        <v>344</v>
      </c>
      <c r="E49" s="22">
        <f>IF(INDEX(Flows!$H$3:$K$21,MATCH($A49,Flows!$A$3:$A$21,0),MATCH($B49,Flows!$B$2:$E$2,0))=0,"",INDEX(Flows!$H$3:$K$21,MATCH($A49,Flows!$A$3:$A$21,0),MATCH($B49,Flows!$B$2:$E$2,0)))</f>
        <v>2.934161026564222</v>
      </c>
      <c r="F49" s="20" t="s">
        <v>342</v>
      </c>
      <c r="G49" s="7"/>
      <c r="H49" s="7"/>
      <c r="I49" s="2"/>
      <c r="J49" s="2"/>
      <c r="K49" s="2"/>
      <c r="L49" s="2"/>
    </row>
    <row r="50" spans="1:12" x14ac:dyDescent="0.25">
      <c r="A50" s="20" t="s">
        <v>30</v>
      </c>
      <c r="B50" s="20" t="s">
        <v>18</v>
      </c>
      <c r="C50" s="30">
        <f>INDEX('Percent BW'!$N$4:$X$23,MATCH("Total",'Percent BW'!$A$4:$A$23,0),MATCH(VolumeFlow!B50,'Percent BW'!$N$2:$X$2,0))-INDEX('Percent BW'!$N$4:$X$23,MATCH("GI Contents",'Percent BW'!$A$4:$A$23,0),MATCH(VolumeFlow!B50,'Percent BW'!$N$2:$X$2,0))-INDEX('Percent BW'!$N$4:$X$23,MATCH("Blood",'Percent BW'!$A$4:$A$23,0),MATCH(VolumeFlow!B50,'Percent BW'!$N$2:$X$2,0))-SUM(C39:C49)</f>
        <v>2.3649226512727495E-3</v>
      </c>
      <c r="D50" s="21" t="s">
        <v>344</v>
      </c>
      <c r="E50" s="22">
        <f>IF(INDEX(Flows!$H$3:$K$21,MATCH($A50,Flows!$A$3:$A$21,0),MATCH($B50,Flows!$B$2:$E$2,0))=0,"",INDEX(Flows!$H$3:$K$21,MATCH($A50,Flows!$A$3:$A$21,0),MATCH($B50,Flows!$B$2:$E$2,0)))</f>
        <v>6.0994983764335551</v>
      </c>
      <c r="F50" s="20" t="s">
        <v>342</v>
      </c>
      <c r="G50" s="7"/>
      <c r="H50" s="7"/>
      <c r="I50" s="2"/>
      <c r="J50" s="2"/>
      <c r="K50" s="2"/>
      <c r="L50" s="2"/>
    </row>
    <row r="51" spans="1:12" x14ac:dyDescent="0.25">
      <c r="A51" s="20" t="s">
        <v>3</v>
      </c>
      <c r="B51" s="20" t="s">
        <v>104</v>
      </c>
      <c r="C51" s="21">
        <f>INDEX('Percent BW'!$N$4:$X$23,MATCH(VolumeFlow!A51,'Percent BW'!$A$4:$A$23,0),MATCH(VolumeFlow!B51,'Percent BW'!$N$2:$X$2,0))</f>
        <v>4.8000000000000001E-2</v>
      </c>
      <c r="D51" s="21" t="s">
        <v>350</v>
      </c>
      <c r="E51" s="22">
        <f>IF(INDEX(Flows!$H$3:$M$21,MATCH($A51,Flows!$A$3:$A$21,0),MATCH($B51,Flows!$B$2:$G$2,0))=0,"",INDEX(Flows!$H$3:$M$21,MATCH($A51,Flows!$A$3:$A$21,0),MATCH($B51,Flows!$B$2:$G$2,0)))</f>
        <v>16.095147899941573</v>
      </c>
      <c r="F51" s="20" t="s">
        <v>342</v>
      </c>
      <c r="G51" s="7"/>
      <c r="H51" s="7"/>
      <c r="I51" s="2"/>
      <c r="J51" s="2"/>
      <c r="K51" s="2"/>
      <c r="L51" s="2"/>
    </row>
    <row r="52" spans="1:12" x14ac:dyDescent="0.25">
      <c r="A52" s="20" t="s">
        <v>5</v>
      </c>
      <c r="B52" s="20" t="s">
        <v>104</v>
      </c>
      <c r="C52" s="21">
        <f>INDEX('Percent BW'!$N$4:$X$23,MATCH(VolumeFlow!A52,'Percent BW'!$A$4:$A$23,0),MATCH(VolumeFlow!B52,'Percent BW'!$N$2:$X$2,0))</f>
        <v>3.6900000000000002E-2</v>
      </c>
      <c r="D52" s="21" t="s">
        <v>351</v>
      </c>
      <c r="E52" s="22">
        <f>IF(INDEX(Flows!$H$3:$M$21,MATCH($A52,Flows!$A$3:$A$21,0),MATCH($B52,Flows!$B$2:$G$2,0))=0,"",INDEX(Flows!$H$3:$M$21,MATCH($A52,Flows!$A$3:$A$21,0),MATCH($B52,Flows!$B$2:$G$2,0)))</f>
        <v>15.535450308907148</v>
      </c>
      <c r="F52" s="20" t="s">
        <v>342</v>
      </c>
      <c r="G52" s="7"/>
      <c r="H52" s="7"/>
      <c r="I52" s="2"/>
      <c r="J52" s="2"/>
      <c r="K52" s="2"/>
      <c r="L52" s="2"/>
    </row>
    <row r="53" spans="1:12" x14ac:dyDescent="0.25">
      <c r="A53" s="20" t="s">
        <v>6</v>
      </c>
      <c r="B53" s="20" t="s">
        <v>104</v>
      </c>
      <c r="C53" s="21">
        <f>INDEX('Percent BW'!$N$4:$X$23,MATCH(VolumeFlow!A53,'Percent BW'!$A$4:$A$23,0),MATCH(VolumeFlow!B53,'Percent BW'!$N$2:$X$2,0))</f>
        <v>5.4999999999999997E-3</v>
      </c>
      <c r="D53" s="21" t="s">
        <v>350</v>
      </c>
      <c r="E53" s="22">
        <f>IF(INDEX(Flows!$H$3:$M$21,MATCH($A53,Flows!$A$3:$A$21,0),MATCH($B53,Flows!$B$2:$G$2,0))=0,"",INDEX(Flows!$H$3:$M$21,MATCH($A53,Flows!$A$3:$A$21,0),MATCH($B53,Flows!$B$2:$G$2,0)))</f>
        <v>14.199668958756412</v>
      </c>
      <c r="F53" s="20" t="s">
        <v>342</v>
      </c>
      <c r="G53" s="7"/>
      <c r="H53" s="7"/>
      <c r="I53" s="2"/>
      <c r="J53" s="2"/>
      <c r="K53" s="2"/>
      <c r="L53" s="2"/>
    </row>
    <row r="54" spans="1:12" x14ac:dyDescent="0.25">
      <c r="A54" s="20" t="s">
        <v>45</v>
      </c>
      <c r="B54" s="20" t="s">
        <v>104</v>
      </c>
      <c r="C54" s="30">
        <f>INDEX('Percent BW'!$N$4:$X$23,MATCH("Stomach",'Percent BW'!$A$4:$A$23,0),MATCH(VolumeFlow!B54,'Percent BW'!$N$2:$X$2,0))+INDEX('Percent BW'!$N$4:$X$23,MATCH("Large Intestine",'Percent BW'!$A$4:$A$23,0),MATCH(VolumeFlow!B54,'Percent BW'!$N$2:$X$2,0))+INDEX('Percent BW'!$N$4:$X$23,MATCH("Small Intestine",'Percent BW'!$A$4:$A$23,0),MATCH(VolumeFlow!B54,'Percent BW'!$N$2:$X$2,0))</f>
        <v>4.8000000000000001E-2</v>
      </c>
      <c r="D54" s="21" t="s">
        <v>350</v>
      </c>
      <c r="E54" s="22">
        <f>IF(INDEX(Flows!$H$3:$M$21,MATCH($A54,Flows!$A$3:$A$21,0),MATCH($B54,Flows!$B$2:$G$2,0))=0,"",INDEX(Flows!$H$3:$M$21,MATCH($A54,Flows!$A$3:$A$21,0),MATCH($B54,Flows!$B$2:$G$2,0)))</f>
        <v>55.830044277922326</v>
      </c>
      <c r="F54" s="20" t="s">
        <v>342</v>
      </c>
      <c r="G54" s="7"/>
      <c r="H54" s="7"/>
      <c r="I54" s="2"/>
      <c r="J54" s="2"/>
      <c r="K54" s="2"/>
      <c r="L54" s="2"/>
    </row>
    <row r="55" spans="1:12" x14ac:dyDescent="0.25">
      <c r="A55" s="20" t="s">
        <v>8</v>
      </c>
      <c r="B55" s="20" t="s">
        <v>104</v>
      </c>
      <c r="C55" s="21">
        <f>INDEX('Percent BW'!$N$4:$X$23,MATCH(VolumeFlow!A55,'Percent BW'!$A$4:$A$23,0),MATCH(VolumeFlow!B55,'Percent BW'!$N$2:$X$2,0))</f>
        <v>2.3999999999999998E-3</v>
      </c>
      <c r="D55" s="21" t="s">
        <v>350</v>
      </c>
      <c r="E55" s="22">
        <f>IF(INDEX(Flows!$H$3:$M$21,MATCH($A55,Flows!$A$3:$A$21,0),MATCH($B55,Flows!$B$2:$G$2,0))=0,"",INDEX(Flows!$H$3:$M$21,MATCH($A55,Flows!$A$3:$A$21,0),MATCH($B55,Flows!$B$2:$G$2,0)))</f>
        <v>8.0475739499707863</v>
      </c>
      <c r="F55" s="20" t="s">
        <v>342</v>
      </c>
      <c r="G55" s="7"/>
      <c r="H55" s="7"/>
      <c r="I55" s="2"/>
      <c r="J55" s="2"/>
      <c r="K55" s="2"/>
      <c r="L55" s="2"/>
    </row>
    <row r="56" spans="1:12" x14ac:dyDescent="0.25">
      <c r="A56" s="20" t="s">
        <v>38</v>
      </c>
      <c r="B56" s="20" t="s">
        <v>104</v>
      </c>
      <c r="C56" s="21">
        <f>INDEX('Percent BW'!$N$4:$X$23,MATCH(VolumeFlow!A56,'Percent BW'!$A$4:$A$23,0),MATCH(VolumeFlow!B56,'Percent BW'!$N$2:$X$2,0))</f>
        <v>6.0000000000000001E-3</v>
      </c>
      <c r="D56" s="21" t="s">
        <v>350</v>
      </c>
      <c r="E56" s="22">
        <f>IF(INDEX(Flows!$H$3:$M$21,MATCH($A56,Flows!$A$3:$A$21,0),MATCH($B56,Flows!$B$2:$G$2,0))=0,"",INDEX(Flows!$H$3:$M$21,MATCH($A56,Flows!$A$3:$A$21,0),MATCH($B56,Flows!$B$2:$G$2,0)))</f>
        <v>40.237869749853928</v>
      </c>
      <c r="F56" s="20" t="s">
        <v>342</v>
      </c>
      <c r="G56" s="7"/>
      <c r="H56" s="7"/>
      <c r="I56" s="2"/>
      <c r="J56" s="2"/>
      <c r="K56" s="2"/>
      <c r="L56" s="2"/>
    </row>
    <row r="57" spans="1:12" x14ac:dyDescent="0.25">
      <c r="A57" s="20" t="s">
        <v>10</v>
      </c>
      <c r="B57" s="20" t="s">
        <v>104</v>
      </c>
      <c r="C57" s="21">
        <f>INDEX('Percent BW'!$N$4:$X$23,MATCH(VolumeFlow!A57,'Percent BW'!$A$4:$A$23,0),MATCH(VolumeFlow!B57,'Percent BW'!$N$2:$X$2,0))</f>
        <v>0.04</v>
      </c>
      <c r="D57" s="21" t="s">
        <v>350</v>
      </c>
      <c r="E57" s="22">
        <f>IF(INDEX(Flows!$H$3:$M$21,MATCH($A57,Flows!$A$3:$A$21,0),MATCH($B57,Flows!$B$2:$G$2,0))=0,"",INDEX(Flows!$H$3:$M$21,MATCH($A57,Flows!$A$3:$A$21,0),MATCH($B57,Flows!$B$2:$G$2,0)))</f>
        <v>89.026286821551821</v>
      </c>
      <c r="F57" s="20" t="s">
        <v>342</v>
      </c>
      <c r="G57" s="7"/>
      <c r="H57" s="7"/>
      <c r="I57" s="2"/>
      <c r="J57" s="2"/>
      <c r="K57" s="2"/>
      <c r="L57" s="2"/>
    </row>
    <row r="58" spans="1:12" x14ac:dyDescent="0.25">
      <c r="A58" s="20" t="s">
        <v>37</v>
      </c>
      <c r="B58" s="20" t="s">
        <v>104</v>
      </c>
      <c r="C58" s="21">
        <f>INDEX('Percent BW'!$N$4:$X$23,MATCH(VolumeFlow!A58,'Percent BW'!$A$4:$A$23,0),MATCH(VolumeFlow!B58,'Percent BW'!$N$2:$X$2,0))</f>
        <v>6.7999999999999996E-3</v>
      </c>
      <c r="D58" s="21" t="s">
        <v>350</v>
      </c>
      <c r="E58" s="22">
        <f>IF(INDEX(Flows!$H$3:$M$21,MATCH($A58,Flows!$A$3:$A$21,0),MATCH($B58,Flows!$B$2:$G$2,0))=0,"",INDEX(Flows!$H$3:$M$21,MATCH($A58,Flows!$A$3:$A$21,0),MATCH($B58,Flows!$B$2:$G$2,0)))</f>
        <v>9.2635120764741856</v>
      </c>
      <c r="F58" s="20" t="s">
        <v>342</v>
      </c>
      <c r="G58" s="7"/>
      <c r="H58" s="7"/>
      <c r="I58" s="2"/>
      <c r="J58" s="2"/>
      <c r="K58" s="2"/>
      <c r="L58" s="2"/>
    </row>
    <row r="59" spans="1:12" x14ac:dyDescent="0.25">
      <c r="A59" s="20" t="s">
        <v>11</v>
      </c>
      <c r="B59" s="20" t="s">
        <v>104</v>
      </c>
      <c r="C59" s="21">
        <f>INDEX('Percent BW'!$N$4:$X$23,MATCH(VolumeFlow!A59,'Percent BW'!$A$4:$A$23,0),MATCH(VolumeFlow!B59,'Percent BW'!$N$2:$X$2,0))</f>
        <v>0.54</v>
      </c>
      <c r="D59" s="21" t="s">
        <v>350</v>
      </c>
      <c r="E59" s="22">
        <f>IF(INDEX(Flows!$H$3:$M$21,MATCH($A59,Flows!$A$3:$A$21,0),MATCH($B59,Flows!$B$2:$G$2,0))=0,"",INDEX(Flows!$H$3:$M$21,MATCH($A59,Flows!$A$3:$A$21,0),MATCH($B59,Flows!$B$2:$G$2,0)))</f>
        <v>77.960872640341989</v>
      </c>
      <c r="F59" s="20" t="s">
        <v>342</v>
      </c>
      <c r="G59" s="7"/>
      <c r="H59" s="7"/>
      <c r="I59" s="2"/>
      <c r="J59" s="2"/>
      <c r="K59" s="2"/>
      <c r="L59" s="2"/>
    </row>
    <row r="60" spans="1:12" x14ac:dyDescent="0.25">
      <c r="A60" s="20" t="s">
        <v>13</v>
      </c>
      <c r="B60" s="20" t="s">
        <v>104</v>
      </c>
      <c r="C60" s="21">
        <f>INDEX('Percent BW'!$N$4:$X$23,MATCH(VolumeFlow!A60,'Percent BW'!$A$4:$A$23,0),MATCH(VolumeFlow!B60,'Percent BW'!$N$2:$X$2,0))</f>
        <v>4.3999999999999997E-2</v>
      </c>
      <c r="D60" s="21" t="s">
        <v>350</v>
      </c>
      <c r="E60" s="22">
        <f>IF(INDEX(Flows!$H$3:$M$21,MATCH($A60,Flows!$A$3:$A$21,0),MATCH($B60,Flows!$B$2:$G$2,0))=0,"",INDEX(Flows!$H$3:$M$21,MATCH($A60,Flows!$A$3:$A$21,0),MATCH($B60,Flows!$B$2:$G$2,0)))</f>
        <v>17.762827077650776</v>
      </c>
      <c r="F60" s="20" t="s">
        <v>342</v>
      </c>
      <c r="G60" s="7"/>
      <c r="H60" s="7"/>
      <c r="I60" s="2"/>
      <c r="J60" s="2"/>
      <c r="K60" s="2"/>
      <c r="L60" s="2"/>
    </row>
    <row r="61" spans="1:12" x14ac:dyDescent="0.25">
      <c r="A61" s="20" t="s">
        <v>14</v>
      </c>
      <c r="B61" s="20" t="s">
        <v>104</v>
      </c>
      <c r="C61" s="21">
        <f>INDEX('Percent BW'!$N$4:$X$23,MATCH(VolumeFlow!A61,'Percent BW'!$A$4:$A$23,0),MATCH(VolumeFlow!B61,'Percent BW'!$N$2:$X$2,0))</f>
        <v>4.0000000000000002E-4</v>
      </c>
      <c r="D61" s="21" t="s">
        <v>350</v>
      </c>
      <c r="E61" s="22">
        <f>IF(INDEX(Flows!$H$3:$M$21,MATCH($A61,Flows!$A$3:$A$21,0),MATCH($B61,Flows!$B$2:$G$2,0))=0,"",INDEX(Flows!$H$3:$M$21,MATCH($A61,Flows!$A$3:$A$21,0),MATCH($B61,Flows!$B$2:$G$2,0)))</f>
        <v>4.5267603468585671</v>
      </c>
      <c r="F61" s="20" t="s">
        <v>342</v>
      </c>
      <c r="G61" s="7"/>
      <c r="H61" s="7"/>
      <c r="I61" s="2"/>
      <c r="J61" s="2"/>
      <c r="K61" s="2"/>
      <c r="L61" s="2"/>
    </row>
    <row r="62" spans="1:12" x14ac:dyDescent="0.25">
      <c r="A62" s="20" t="s">
        <v>30</v>
      </c>
      <c r="B62" s="20" t="s">
        <v>104</v>
      </c>
      <c r="C62" s="30">
        <f>INDEX('Percent BW'!$N$4:$X$23,MATCH("Total",'Percent BW'!$A$4:$A$23,0),MATCH(VolumeFlow!B62,'Percent BW'!$N$2:$X$2,0))-INDEX('Percent BW'!$N$4:$X$23,MATCH("GI Contents",'Percent BW'!$A$4:$A$23,0),MATCH(VolumeFlow!B62,'Percent BW'!$N$2:$X$2,0))-INDEX('Percent BW'!$N$4:$X$23,MATCH("Blood",'Percent BW'!$A$4:$A$23,0),MATCH(VolumeFlow!B62,'Percent BW'!$N$2:$X$2,0))-SUM(C51:C61)</f>
        <v>2.5662489315418147E-2</v>
      </c>
      <c r="D62" s="21" t="s">
        <v>350</v>
      </c>
      <c r="E62" s="22">
        <v>0</v>
      </c>
      <c r="F62" s="20" t="s">
        <v>342</v>
      </c>
      <c r="G62" s="7"/>
      <c r="H62" s="7"/>
      <c r="I62" s="2"/>
      <c r="J62" s="2"/>
      <c r="K62" s="2"/>
      <c r="L62" s="2"/>
    </row>
    <row r="63" spans="1:12" x14ac:dyDescent="0.25">
      <c r="A63" s="20" t="s">
        <v>3</v>
      </c>
      <c r="B63" s="20" t="s">
        <v>339</v>
      </c>
      <c r="C63" s="21">
        <f>INDEX('Percent BW'!$N$4:$X$23,MATCH(VolumeFlow!A63,'Percent BW'!$A$4:$A$23,0),MATCH(VolumeFlow!B63,'Percent BW'!$N$2:$X$2,0))</f>
        <v>2.7000000000000003E-2</v>
      </c>
      <c r="D63" s="21" t="s">
        <v>350</v>
      </c>
      <c r="E63" s="22">
        <f>IF(INDEX(Flows!$H$3:$M$21,MATCH($A63,Flows!$A$3:$A$21,0),MATCH($B63,Flows!$B$2:$G$2,0))=0,"",INDEX(Flows!$H$3:$M$21,MATCH($A63,Flows!$A$3:$A$21,0),MATCH($B63,Flows!$B$2:$G$2,0)))</f>
        <v>5.9813951248848829</v>
      </c>
      <c r="F63" s="20" t="s">
        <v>342</v>
      </c>
      <c r="G63" s="7"/>
      <c r="H63" s="7"/>
      <c r="I63" s="2"/>
      <c r="J63" s="2"/>
      <c r="K63" s="2"/>
      <c r="L63" s="2"/>
    </row>
    <row r="64" spans="1:12" x14ac:dyDescent="0.25">
      <c r="A64" s="20" t="s">
        <v>5</v>
      </c>
      <c r="B64" s="20" t="s">
        <v>339</v>
      </c>
      <c r="C64" s="21">
        <f>INDEX('Percent BW'!$N$4:$X$23,MATCH(VolumeFlow!A64,'Percent BW'!$A$4:$A$23,0),MATCH(VolumeFlow!B64,'Percent BW'!$N$2:$X$2,0))</f>
        <v>7.2310597961656342E-2</v>
      </c>
      <c r="D64" s="21"/>
      <c r="E64" s="22">
        <f>IF(INDEX(Flows!$H$3:$M$21,MATCH($A64,Flows!$A$3:$A$21,0),MATCH($B64,Flows!$B$2:$G$2,0))=0,"",INDEX(Flows!$H$3:$M$21,MATCH($A64,Flows!$A$3:$A$21,0),MATCH($B64,Flows!$B$2:$G$2,0)))</f>
        <v>0.34858241588912464</v>
      </c>
      <c r="F64" s="20" t="s">
        <v>342</v>
      </c>
      <c r="G64" s="7"/>
      <c r="H64" s="7"/>
      <c r="I64" s="2"/>
      <c r="J64" s="2"/>
      <c r="K64" s="2"/>
      <c r="L64" s="2"/>
    </row>
    <row r="65" spans="1:12" x14ac:dyDescent="0.25">
      <c r="A65" s="20" t="s">
        <v>6</v>
      </c>
      <c r="B65" s="20" t="s">
        <v>339</v>
      </c>
      <c r="C65" s="21">
        <f>INDEX('Percent BW'!$N$4:$X$23,MATCH(VolumeFlow!A65,'Percent BW'!$A$4:$A$23,0),MATCH(VolumeFlow!B65,'Percent BW'!$N$2:$X$2,0))</f>
        <v>1.9314340898116854E-2</v>
      </c>
      <c r="D65" s="21"/>
      <c r="E65" s="22">
        <f>IF(INDEX(Flows!$H$3:$M$21,MATCH($A65,Flows!$A$3:$A$21,0),MATCH($B65,Flows!$B$2:$G$2,0))=0,"",INDEX(Flows!$H$3:$M$21,MATCH($A65,Flows!$A$3:$A$21,0),MATCH($B65,Flows!$B$2:$G$2,0)))</f>
        <v>21.53302244958558</v>
      </c>
      <c r="F65" s="20" t="s">
        <v>342</v>
      </c>
      <c r="G65" s="7"/>
      <c r="H65" s="7"/>
      <c r="I65" s="2"/>
      <c r="J65" s="2"/>
      <c r="K65" s="2"/>
      <c r="L65" s="2"/>
    </row>
    <row r="66" spans="1:12" x14ac:dyDescent="0.25">
      <c r="A66" s="20" t="s">
        <v>45</v>
      </c>
      <c r="B66" s="20" t="s">
        <v>339</v>
      </c>
      <c r="C66" s="30">
        <f>INDEX('Percent BW'!$N$4:$X$23,MATCH("Stomach",'Percent BW'!$A$4:$A$23,0),MATCH(VolumeFlow!B66,'Percent BW'!$N$2:$X$2,0))+INDEX('Percent BW'!$N$4:$X$23,MATCH("Large Intestine",'Percent BW'!$A$4:$A$23,0),MATCH(VolumeFlow!B66,'Percent BW'!$N$2:$X$2,0))+INDEX('Percent BW'!$N$4:$X$23,MATCH("Small Intestine",'Percent BW'!$A$4:$A$23,0),MATCH(VolumeFlow!B66,'Percent BW'!$N$2:$X$2,0))</f>
        <v>4.5999999999999999E-2</v>
      </c>
      <c r="D66" s="21" t="s">
        <v>350</v>
      </c>
      <c r="E66" s="22">
        <f>IF(INDEX(Flows!$H$3:$M$21,MATCH($A66,Flows!$A$3:$A$21,0),MATCH($B66,Flows!$B$2:$G$2,0))=0,"",INDEX(Flows!$H$3:$M$21,MATCH($A66,Flows!$A$3:$A$21,0),MATCH($B66,Flows!$B$2:$G$2,0)))</f>
        <v>37.38371953053052</v>
      </c>
      <c r="F66" s="20" t="s">
        <v>342</v>
      </c>
      <c r="G66" s="7"/>
      <c r="H66" s="7"/>
      <c r="I66" s="2"/>
      <c r="J66" s="2"/>
      <c r="K66" s="2"/>
      <c r="L66" s="2"/>
    </row>
    <row r="67" spans="1:12" x14ac:dyDescent="0.25">
      <c r="A67" s="20" t="s">
        <v>8</v>
      </c>
      <c r="B67" s="20" t="s">
        <v>339</v>
      </c>
      <c r="C67" s="21">
        <f>INDEX('Percent BW'!$N$4:$X$23,MATCH(VolumeFlow!A67,'Percent BW'!$A$4:$A$23,0),MATCH(VolumeFlow!B67,'Percent BW'!$N$2:$X$2,0))</f>
        <v>3.4000000000000002E-3</v>
      </c>
      <c r="D67" s="21" t="s">
        <v>350</v>
      </c>
      <c r="E67" s="22">
        <f>IF(INDEX(Flows!$H$3:$M$21,MATCH($A67,Flows!$A$3:$A$21,0),MATCH($B67,Flows!$B$2:$G$2,0))=0,"",INDEX(Flows!$H$3:$M$21,MATCH($A67,Flows!$A$3:$A$21,0),MATCH($B67,Flows!$B$2:$G$2,0)))</f>
        <v>17.944185374654648</v>
      </c>
      <c r="F67" s="20" t="s">
        <v>342</v>
      </c>
      <c r="G67" s="7"/>
      <c r="H67" s="7"/>
      <c r="I67" s="2"/>
      <c r="J67" s="2"/>
      <c r="K67" s="2"/>
      <c r="L67" s="2"/>
    </row>
    <row r="68" spans="1:12" x14ac:dyDescent="0.25">
      <c r="A68" s="20" t="s">
        <v>38</v>
      </c>
      <c r="B68" s="20" t="s">
        <v>339</v>
      </c>
      <c r="C68" s="21">
        <f>INDEX('Percent BW'!$N$4:$X$23,MATCH(VolumeFlow!A68,'Percent BW'!$A$4:$A$23,0),MATCH(VolumeFlow!B68,'Percent BW'!$N$2:$X$2,0))</f>
        <v>6.0000000000000001E-3</v>
      </c>
      <c r="D68" s="21" t="s">
        <v>350</v>
      </c>
      <c r="E68" s="22">
        <f>IF(INDEX(Flows!$H$3:$M$21,MATCH($A68,Flows!$A$3:$A$21,0),MATCH($B68,Flows!$B$2:$G$2,0))=0,"",INDEX(Flows!$H$3:$M$21,MATCH($A68,Flows!$A$3:$A$21,0),MATCH($B68,Flows!$B$2:$G$2,0)))</f>
        <v>41.271626361705692</v>
      </c>
      <c r="F68" s="20" t="s">
        <v>342</v>
      </c>
      <c r="G68" s="7"/>
      <c r="H68" s="7"/>
      <c r="I68" s="2"/>
      <c r="J68" s="2"/>
      <c r="K68" s="2"/>
      <c r="L68" s="2"/>
    </row>
    <row r="69" spans="1:12" x14ac:dyDescent="0.25">
      <c r="A69" s="20" t="s">
        <v>10</v>
      </c>
      <c r="B69" s="20" t="s">
        <v>339</v>
      </c>
      <c r="C69" s="21">
        <f>INDEX('Percent BW'!$N$4:$X$23,MATCH(VolumeFlow!A69,'Percent BW'!$A$4:$A$23,0),MATCH(VolumeFlow!B69,'Percent BW'!$N$2:$X$2,0))</f>
        <v>2.7000000000000003E-2</v>
      </c>
      <c r="D69" s="21" t="s">
        <v>350</v>
      </c>
      <c r="E69" s="22">
        <f>IF(INDEX(Flows!$H$3:$M$21,MATCH($A69,Flows!$A$3:$A$21,0),MATCH($B69,Flows!$B$2:$G$2,0))=0,"",INDEX(Flows!$H$3:$M$21,MATCH($A69,Flows!$A$3:$A$21,0),MATCH($B69,Flows!$B$2:$G$2,0)))</f>
        <v>65.19720686124522</v>
      </c>
      <c r="F69" s="20" t="s">
        <v>342</v>
      </c>
      <c r="G69" s="7"/>
      <c r="H69" s="7"/>
      <c r="I69" s="2"/>
      <c r="J69" s="2"/>
      <c r="K69" s="2"/>
      <c r="L69" s="2"/>
    </row>
    <row r="70" spans="1:12" x14ac:dyDescent="0.25">
      <c r="A70" s="20" t="s">
        <v>37</v>
      </c>
      <c r="B70" s="20" t="s">
        <v>339</v>
      </c>
      <c r="C70" s="21">
        <f>INDEX('Percent BW'!$N$4:$X$23,MATCH(VolumeFlow!A70,'Percent BW'!$A$4:$A$23,0),MATCH(VolumeFlow!B70,'Percent BW'!$N$2:$X$2,0))</f>
        <v>7.234650166587339E-3</v>
      </c>
      <c r="D70" s="21" t="s">
        <v>350</v>
      </c>
      <c r="E70" s="22">
        <f>IF(INDEX(Flows!$H$3:$M$21,MATCH($A70,Flows!$A$3:$A$21,0),MATCH($B70,Flows!$B$2:$G$2,0))=0,"",INDEX(Flows!$H$3:$M$21,MATCH($A70,Flows!$A$3:$A$21,0),MATCH($B70,Flows!$B$2:$G$2,0)))</f>
        <v>11.286443996023408</v>
      </c>
      <c r="F70" s="20" t="s">
        <v>342</v>
      </c>
      <c r="G70" s="7"/>
      <c r="H70" s="7"/>
      <c r="I70" s="2"/>
      <c r="J70" s="2"/>
      <c r="K70" s="2"/>
      <c r="L70" s="2"/>
    </row>
    <row r="71" spans="1:12" x14ac:dyDescent="0.25">
      <c r="A71" s="20" t="s">
        <v>11</v>
      </c>
      <c r="B71" s="20" t="s">
        <v>339</v>
      </c>
      <c r="C71" s="21">
        <f>INDEX('Percent BW'!$N$4:$X$23,MATCH(VolumeFlow!A71,'Percent BW'!$A$4:$A$23,0),MATCH(VolumeFlow!B71,'Percent BW'!$N$2:$X$2,0))</f>
        <v>0.5</v>
      </c>
      <c r="D71" s="21" t="s">
        <v>350</v>
      </c>
      <c r="E71" s="22">
        <f>IF(INDEX(Flows!$H$3:$M$21,MATCH($A71,Flows!$A$3:$A$21,0),MATCH($B71,Flows!$B$2:$G$2,0))=0,"",INDEX(Flows!$H$3:$M$21,MATCH($A71,Flows!$A$3:$A$21,0),MATCH($B71,Flows!$B$2:$G$2,0)))</f>
        <v>26.916278061981973</v>
      </c>
      <c r="F71" s="20" t="s">
        <v>342</v>
      </c>
      <c r="G71" s="7"/>
      <c r="H71" s="7"/>
      <c r="I71" s="2"/>
      <c r="J71" s="2"/>
      <c r="K71" s="2"/>
      <c r="L71" s="2"/>
    </row>
    <row r="72" spans="1:12" x14ac:dyDescent="0.25">
      <c r="A72" s="20" t="s">
        <v>13</v>
      </c>
      <c r="B72" s="20" t="s">
        <v>339</v>
      </c>
      <c r="C72" s="21">
        <f>INDEX('Percent BW'!$N$4:$X$23,MATCH(VolumeFlow!A72,'Percent BW'!$A$4:$A$23,0),MATCH(VolumeFlow!B72,'Percent BW'!$N$2:$X$2,0))</f>
        <v>0.1</v>
      </c>
      <c r="D72" s="21" t="s">
        <v>350</v>
      </c>
      <c r="E72" s="22">
        <f>IF(INDEX(Flows!$H$3:$M$21,MATCH($A72,Flows!$A$3:$A$21,0),MATCH($B72,Flows!$B$2:$G$2,0))=0,"",INDEX(Flows!$H$3:$M$21,MATCH($A72,Flows!$A$3:$A$21,0),MATCH($B72,Flows!$B$2:$G$2,0)))</f>
        <v>16.149766837189183</v>
      </c>
      <c r="F72" s="20" t="s">
        <v>342</v>
      </c>
      <c r="G72" s="7"/>
      <c r="H72" s="7"/>
      <c r="I72" s="2"/>
      <c r="J72" s="2"/>
      <c r="K72" s="2"/>
      <c r="L72" s="2"/>
    </row>
    <row r="73" spans="1:12" x14ac:dyDescent="0.25">
      <c r="A73" s="20" t="s">
        <v>14</v>
      </c>
      <c r="B73" s="20" t="s">
        <v>339</v>
      </c>
      <c r="C73" s="21">
        <f>INDEX('Percent BW'!$N$4:$X$23,MATCH(VolumeFlow!A73,'Percent BW'!$A$4:$A$23,0),MATCH(VolumeFlow!B73,'Percent BW'!$N$2:$X$2,0))</f>
        <v>2.4667931688804553E-3</v>
      </c>
      <c r="D73" s="21" t="s">
        <v>350</v>
      </c>
      <c r="E73" s="22">
        <f>IF(INDEX(Flows!$H$3:$M$21,MATCH($A73,Flows!$A$3:$A$21,0),MATCH($B73,Flows!$B$2:$G$2,0))=0,"",INDEX(Flows!$H$3:$M$21,MATCH($A73,Flows!$A$3:$A$21,0),MATCH($B73,Flows!$B$2:$G$2,0)))</f>
        <v>6.2804648811291273</v>
      </c>
      <c r="F73" s="20" t="s">
        <v>342</v>
      </c>
      <c r="G73" s="7"/>
      <c r="H73" s="7"/>
      <c r="I73" s="2"/>
      <c r="J73" s="2"/>
      <c r="K73" s="2"/>
      <c r="L73" s="2"/>
    </row>
    <row r="74" spans="1:12" x14ac:dyDescent="0.25">
      <c r="A74" s="20" t="s">
        <v>30</v>
      </c>
      <c r="B74" s="20" t="s">
        <v>339</v>
      </c>
      <c r="C74" s="30">
        <f>INDEX('Percent BW'!$N$4:$X$23,MATCH("Total",'Percent BW'!$A$4:$A$23,0),MATCH(VolumeFlow!B74,'Percent BW'!$N$2:$X$2,0))-INDEX('Percent BW'!$N$4:$X$23,MATCH("GI Contents",'Percent BW'!$A$4:$A$23,0),MATCH(VolumeFlow!B74,'Percent BW'!$N$2:$X$2,0))-INDEX('Percent BW'!$N$4:$X$23,MATCH("Blood",'Percent BW'!$A$4:$A$23,0),MATCH(VolumeFlow!B74,'Percent BW'!$N$2:$X$2,0))-SUM(C63:C73)</f>
        <v>1.7528264277473893E-2</v>
      </c>
      <c r="D74" s="21"/>
      <c r="E74" s="22">
        <f>IF(INDEX(Flows!$H$3:$M$21,MATCH($A74,Flows!$A$3:$A$21,0),MATCH($B74,Flows!$B$2:$G$2,0))=0,"",INDEX(Flows!$H$3:$M$21,MATCH($A74,Flows!$A$3:$A$21,0),MATCH($B74,Flows!$B$2:$G$2,0)))</f>
        <v>99.799527813744888</v>
      </c>
      <c r="F74" s="20" t="s">
        <v>342</v>
      </c>
      <c r="G74" s="7"/>
      <c r="H74" s="7"/>
      <c r="I74" s="2"/>
      <c r="J74" s="2"/>
      <c r="K74" s="2"/>
      <c r="L74" s="2"/>
    </row>
    <row r="75" spans="1:12" x14ac:dyDescent="0.25">
      <c r="A75" s="20"/>
      <c r="B75" s="20"/>
      <c r="C75" s="21"/>
      <c r="D75" s="21"/>
      <c r="E75" s="20"/>
      <c r="F75" s="20"/>
    </row>
    <row r="76" spans="1:12" x14ac:dyDescent="0.25">
      <c r="A76" s="26"/>
    </row>
    <row r="77" spans="1:12" x14ac:dyDescent="0.25">
      <c r="A77" s="27" t="s">
        <v>337</v>
      </c>
    </row>
    <row r="78" spans="1:12" x14ac:dyDescent="0.25">
      <c r="A78" s="25" t="s">
        <v>319</v>
      </c>
    </row>
    <row r="79" spans="1:12" x14ac:dyDescent="0.25">
      <c r="A79" t="s">
        <v>343</v>
      </c>
    </row>
    <row r="80" spans="1:12" x14ac:dyDescent="0.25">
      <c r="A80" t="s">
        <v>348</v>
      </c>
    </row>
    <row r="95" spans="10:10" x14ac:dyDescent="0.25">
      <c r="J95" s="7"/>
    </row>
  </sheetData>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60"/>
  <sheetViews>
    <sheetView topLeftCell="A28" workbookViewId="0">
      <selection activeCell="A41" sqref="A31:A41"/>
    </sheetView>
  </sheetViews>
  <sheetFormatPr defaultRowHeight="15" x14ac:dyDescent="0.25"/>
  <cols>
    <col min="1" max="3" width="22.140625" customWidth="1"/>
    <col min="5" max="5" width="15.42578125" customWidth="1"/>
    <col min="9" max="9" width="17.5703125" customWidth="1"/>
    <col min="10" max="10" width="23.140625" customWidth="1"/>
    <col min="11" max="11" width="20.85546875" customWidth="1"/>
  </cols>
  <sheetData>
    <row r="1" spans="1:12" ht="17.25" x14ac:dyDescent="0.25">
      <c r="A1" s="1"/>
      <c r="B1" s="1"/>
      <c r="C1" s="1"/>
      <c r="D1" s="31" t="s">
        <v>360</v>
      </c>
      <c r="E1" s="31"/>
      <c r="F1" s="31" t="s">
        <v>361</v>
      </c>
      <c r="G1" s="31"/>
      <c r="H1" s="31"/>
      <c r="I1" s="31" t="s">
        <v>364</v>
      </c>
      <c r="J1" s="31"/>
      <c r="K1" s="31"/>
      <c r="L1" s="1"/>
    </row>
    <row r="2" spans="1:12" ht="17.25" x14ac:dyDescent="0.25">
      <c r="A2" s="1" t="s">
        <v>0</v>
      </c>
      <c r="B2" s="1" t="s">
        <v>118</v>
      </c>
      <c r="C2" s="1" t="s">
        <v>372</v>
      </c>
      <c r="D2" s="1" t="s">
        <v>54</v>
      </c>
      <c r="E2" s="1" t="s">
        <v>53</v>
      </c>
      <c r="F2" s="1" t="s">
        <v>52</v>
      </c>
      <c r="G2" s="1" t="s">
        <v>51</v>
      </c>
      <c r="H2" s="1" t="s">
        <v>50</v>
      </c>
      <c r="I2" s="1" t="s">
        <v>315</v>
      </c>
      <c r="J2" s="1" t="s">
        <v>316</v>
      </c>
      <c r="K2" s="1" t="s">
        <v>317</v>
      </c>
      <c r="L2" s="1" t="s">
        <v>369</v>
      </c>
    </row>
    <row r="3" spans="1:12" x14ac:dyDescent="0.25">
      <c r="A3" t="s">
        <v>3</v>
      </c>
      <c r="B3" t="s">
        <v>35</v>
      </c>
      <c r="C3" t="s">
        <v>313</v>
      </c>
      <c r="D3">
        <v>0.86</v>
      </c>
      <c r="E3">
        <v>0.14000000000000001</v>
      </c>
      <c r="F3">
        <v>2.00177351979684E-2</v>
      </c>
      <c r="G3">
        <v>0.93396843186700296</v>
      </c>
      <c r="H3">
        <v>4.6013832935028698E-2</v>
      </c>
      <c r="I3">
        <v>0.93607038123167197</v>
      </c>
      <c r="J3">
        <v>5.6070381231671601E-2</v>
      </c>
      <c r="K3">
        <v>7.8592375366568906E-3</v>
      </c>
      <c r="L3">
        <v>7.1</v>
      </c>
    </row>
    <row r="4" spans="1:12" x14ac:dyDescent="0.25">
      <c r="A4" t="s">
        <v>5</v>
      </c>
      <c r="B4" t="s">
        <v>35</v>
      </c>
      <c r="C4" t="s">
        <v>313</v>
      </c>
      <c r="D4">
        <v>0.9</v>
      </c>
      <c r="E4">
        <v>0.1</v>
      </c>
      <c r="F4">
        <v>0.26</v>
      </c>
      <c r="G4">
        <v>0.02</v>
      </c>
      <c r="H4">
        <v>0.21</v>
      </c>
      <c r="I4">
        <v>0.85</v>
      </c>
      <c r="J4">
        <v>0.11</v>
      </c>
      <c r="K4">
        <v>0.04</v>
      </c>
      <c r="L4">
        <v>7</v>
      </c>
    </row>
    <row r="5" spans="1:12" x14ac:dyDescent="0.25">
      <c r="A5" t="s">
        <v>6</v>
      </c>
      <c r="B5" t="s">
        <v>35</v>
      </c>
      <c r="C5" t="s">
        <v>313</v>
      </c>
      <c r="D5">
        <v>0.995</v>
      </c>
      <c r="E5">
        <v>5.0000000000000001E-3</v>
      </c>
      <c r="F5">
        <v>0.80428788383207905</v>
      </c>
      <c r="G5">
        <v>0.112299173394122</v>
      </c>
      <c r="H5">
        <v>8.3412942773798696E-2</v>
      </c>
      <c r="I5">
        <v>0.37338201128443399</v>
      </c>
      <c r="J5">
        <v>0.45884500497842701</v>
      </c>
      <c r="K5">
        <v>0.167772983737139</v>
      </c>
      <c r="L5">
        <v>7.1</v>
      </c>
    </row>
    <row r="6" spans="1:12" x14ac:dyDescent="0.25">
      <c r="A6" t="s">
        <v>45</v>
      </c>
      <c r="B6" t="s">
        <v>35</v>
      </c>
      <c r="C6" t="s">
        <v>313</v>
      </c>
      <c r="D6">
        <v>0.9</v>
      </c>
      <c r="E6">
        <v>9.6000000000000002E-2</v>
      </c>
      <c r="F6">
        <v>0.78</v>
      </c>
      <c r="G6">
        <v>7.0000000000000007E-2</v>
      </c>
      <c r="H6">
        <v>0.15</v>
      </c>
      <c r="I6">
        <v>0.69</v>
      </c>
      <c r="J6">
        <v>0.26</v>
      </c>
      <c r="K6">
        <v>0.05</v>
      </c>
      <c r="L6">
        <v>7</v>
      </c>
    </row>
    <row r="7" spans="1:12" x14ac:dyDescent="0.25">
      <c r="A7" t="s">
        <v>8</v>
      </c>
      <c r="B7" t="s">
        <v>35</v>
      </c>
      <c r="C7" t="s">
        <v>313</v>
      </c>
      <c r="D7">
        <v>0.75</v>
      </c>
      <c r="E7">
        <v>0.25</v>
      </c>
      <c r="F7">
        <v>0.69569726714443003</v>
      </c>
      <c r="G7">
        <v>0.13752793536187</v>
      </c>
      <c r="H7">
        <v>0.1667747974937</v>
      </c>
      <c r="I7">
        <v>0.89008900890089004</v>
      </c>
      <c r="J7">
        <v>7.9007900790078994E-2</v>
      </c>
      <c r="K7">
        <v>3.0903090309030899E-2</v>
      </c>
      <c r="L7">
        <v>7.1</v>
      </c>
    </row>
    <row r="8" spans="1:12" x14ac:dyDescent="0.25">
      <c r="A8" t="s">
        <v>38</v>
      </c>
      <c r="B8" t="s">
        <v>35</v>
      </c>
      <c r="C8" t="s">
        <v>313</v>
      </c>
      <c r="D8">
        <v>0.83499999999999996</v>
      </c>
      <c r="E8">
        <v>0.16500000000000001</v>
      </c>
      <c r="F8">
        <v>0.76610358279034996</v>
      </c>
      <c r="G8">
        <v>6.4072688000202105E-2</v>
      </c>
      <c r="H8">
        <v>0.16982372920944799</v>
      </c>
      <c r="I8">
        <v>0.63750664069417395</v>
      </c>
      <c r="J8">
        <v>0.29396139543120198</v>
      </c>
      <c r="K8">
        <v>6.8531963874623694E-2</v>
      </c>
      <c r="L8">
        <v>7.22</v>
      </c>
    </row>
    <row r="9" spans="1:12" x14ac:dyDescent="0.25">
      <c r="A9" t="s">
        <v>10</v>
      </c>
      <c r="B9" t="s">
        <v>35</v>
      </c>
      <c r="C9" t="s">
        <v>313</v>
      </c>
      <c r="D9">
        <v>0.77</v>
      </c>
      <c r="E9">
        <v>0.23</v>
      </c>
      <c r="F9">
        <v>0.72440973701968503</v>
      </c>
      <c r="G9">
        <v>9.23116772893985E-2</v>
      </c>
      <c r="H9">
        <v>0.18327858569091601</v>
      </c>
      <c r="I9">
        <v>0.72435395458104901</v>
      </c>
      <c r="J9">
        <v>0.22513703993735301</v>
      </c>
      <c r="K9">
        <v>5.0509005481597501E-2</v>
      </c>
      <c r="L9">
        <v>7.23</v>
      </c>
    </row>
    <row r="10" spans="1:12" x14ac:dyDescent="0.25">
      <c r="A10" t="s">
        <v>37</v>
      </c>
      <c r="B10" t="s">
        <v>35</v>
      </c>
      <c r="C10" t="s">
        <v>313</v>
      </c>
      <c r="D10">
        <v>0.8</v>
      </c>
      <c r="E10">
        <v>0.2</v>
      </c>
      <c r="F10">
        <v>0.80379841112214501</v>
      </c>
      <c r="G10">
        <v>1.3157894736842099E-2</v>
      </c>
      <c r="H10">
        <v>0.18304369414101301</v>
      </c>
      <c r="I10">
        <v>0.3</v>
      </c>
      <c r="J10">
        <v>0.56000000000000005</v>
      </c>
      <c r="K10">
        <v>0.14000000000000001</v>
      </c>
      <c r="L10">
        <v>6.6</v>
      </c>
    </row>
    <row r="11" spans="1:12" x14ac:dyDescent="0.25">
      <c r="A11" t="s">
        <v>11</v>
      </c>
      <c r="B11" t="s">
        <v>35</v>
      </c>
      <c r="C11" t="s">
        <v>313</v>
      </c>
      <c r="D11">
        <v>0.85</v>
      </c>
      <c r="E11">
        <v>0.15</v>
      </c>
      <c r="F11">
        <v>0.79914325733495795</v>
      </c>
      <c r="G11">
        <v>2.3868597091799899E-2</v>
      </c>
      <c r="H11">
        <v>0.17698814557324299</v>
      </c>
      <c r="I11">
        <v>0.53941908713692899</v>
      </c>
      <c r="J11">
        <v>0.38174273858921198</v>
      </c>
      <c r="K11">
        <v>7.8838174273858905E-2</v>
      </c>
      <c r="L11">
        <v>6.81</v>
      </c>
    </row>
    <row r="12" spans="1:12" x14ac:dyDescent="0.25">
      <c r="A12" t="s">
        <v>13</v>
      </c>
      <c r="B12" t="s">
        <v>35</v>
      </c>
      <c r="C12" t="s">
        <v>313</v>
      </c>
      <c r="D12">
        <v>0.4</v>
      </c>
      <c r="E12">
        <v>0.6</v>
      </c>
      <c r="F12">
        <v>0.42702841153825899</v>
      </c>
      <c r="G12">
        <v>0.28312570781426999</v>
      </c>
      <c r="H12">
        <v>0.28984588064747202</v>
      </c>
      <c r="I12">
        <v>0.35992801439712102</v>
      </c>
      <c r="J12">
        <v>0.50189962007598499</v>
      </c>
      <c r="K12">
        <v>0.13817236552689499</v>
      </c>
      <c r="L12">
        <v>7</v>
      </c>
    </row>
    <row r="13" spans="1:12" x14ac:dyDescent="0.25">
      <c r="A13" t="s">
        <v>14</v>
      </c>
      <c r="B13" t="s">
        <v>35</v>
      </c>
      <c r="C13" t="s">
        <v>313</v>
      </c>
      <c r="D13">
        <v>0.745</v>
      </c>
      <c r="E13">
        <v>0.255</v>
      </c>
      <c r="F13">
        <v>0.76988279750895305</v>
      </c>
      <c r="G13">
        <v>3.9456083793448803E-2</v>
      </c>
      <c r="H13">
        <v>0.190661118697598</v>
      </c>
      <c r="I13">
        <v>0.53414727203357504</v>
      </c>
      <c r="J13">
        <v>0.39297977871041601</v>
      </c>
      <c r="K13">
        <v>7.2872949256009206E-2</v>
      </c>
      <c r="L13">
        <v>7</v>
      </c>
    </row>
    <row r="14" spans="1:12" x14ac:dyDescent="0.25">
      <c r="A14" t="s">
        <v>44</v>
      </c>
      <c r="B14" t="s">
        <v>35</v>
      </c>
      <c r="C14" t="s">
        <v>313</v>
      </c>
      <c r="D14">
        <v>1</v>
      </c>
      <c r="E14">
        <v>0</v>
      </c>
      <c r="F14">
        <v>0.66432865731462898</v>
      </c>
      <c r="G14">
        <v>5.0100200400801601E-3</v>
      </c>
      <c r="H14">
        <v>0.33066132264529102</v>
      </c>
      <c r="I14">
        <v>0.4</v>
      </c>
      <c r="J14">
        <v>0.5</v>
      </c>
      <c r="K14">
        <v>0.1</v>
      </c>
      <c r="L14">
        <v>7.2</v>
      </c>
    </row>
    <row r="15" spans="1:12" x14ac:dyDescent="0.25">
      <c r="A15" t="s">
        <v>15</v>
      </c>
      <c r="B15" t="s">
        <v>35</v>
      </c>
      <c r="C15" t="s">
        <v>367</v>
      </c>
      <c r="D15">
        <v>0.86</v>
      </c>
      <c r="E15">
        <v>0.14000000000000001</v>
      </c>
      <c r="F15">
        <v>0.69</v>
      </c>
      <c r="G15">
        <v>0.05</v>
      </c>
      <c r="H15">
        <v>0.16</v>
      </c>
      <c r="I15">
        <v>0.92</v>
      </c>
      <c r="J15">
        <v>6.4000000000000001E-2</v>
      </c>
      <c r="K15">
        <v>1.4E-2</v>
      </c>
      <c r="L15">
        <v>7.3</v>
      </c>
    </row>
    <row r="16" spans="1:12" x14ac:dyDescent="0.25">
      <c r="A16" t="s">
        <v>357</v>
      </c>
      <c r="B16" t="s">
        <v>35</v>
      </c>
      <c r="C16" t="s">
        <v>375</v>
      </c>
      <c r="D16">
        <v>0.72399999999999998</v>
      </c>
      <c r="E16">
        <v>0.27600000000000002</v>
      </c>
      <c r="F16">
        <v>0.79300000000000004</v>
      </c>
      <c r="G16">
        <v>8.3000000000000001E-3</v>
      </c>
      <c r="H16">
        <v>0.1535</v>
      </c>
      <c r="I16">
        <f>AVERAGE(I3:I15)</f>
        <v>0.62729972078921881</v>
      </c>
      <c r="J16">
        <f>AVERAGE(J3:J15)</f>
        <v>0.29874183536494969</v>
      </c>
      <c r="K16">
        <f>AVERAGE(K3:K15)</f>
        <v>7.3804597691985455E-2</v>
      </c>
      <c r="L16">
        <v>7.32</v>
      </c>
    </row>
    <row r="17" spans="1:12" x14ac:dyDescent="0.25">
      <c r="A17" t="s">
        <v>3</v>
      </c>
      <c r="B17" t="s">
        <v>17</v>
      </c>
      <c r="C17" t="s">
        <v>314</v>
      </c>
      <c r="D17">
        <v>0.86</v>
      </c>
      <c r="E17">
        <v>0.14000000000000001</v>
      </c>
      <c r="F17">
        <v>2.88818990331598E-2</v>
      </c>
      <c r="G17">
        <v>0.91918088619788096</v>
      </c>
      <c r="H17">
        <v>5.1937214768959301E-2</v>
      </c>
      <c r="I17">
        <v>0.99766081871345003</v>
      </c>
      <c r="J17">
        <v>1.8713450292397701E-3</v>
      </c>
      <c r="K17">
        <v>4.6783625730994197E-4</v>
      </c>
      <c r="L17">
        <v>7.1</v>
      </c>
    </row>
    <row r="18" spans="1:12" x14ac:dyDescent="0.25">
      <c r="A18" t="s">
        <v>5</v>
      </c>
      <c r="B18" t="s">
        <v>17</v>
      </c>
      <c r="C18" t="s">
        <v>314</v>
      </c>
      <c r="D18">
        <v>0.9</v>
      </c>
      <c r="E18">
        <v>0.1</v>
      </c>
      <c r="F18">
        <v>0.26</v>
      </c>
      <c r="G18">
        <v>0.02</v>
      </c>
      <c r="H18">
        <v>0.21</v>
      </c>
      <c r="I18">
        <v>0.85</v>
      </c>
      <c r="J18">
        <v>0.11</v>
      </c>
      <c r="K18">
        <v>0.04</v>
      </c>
      <c r="L18">
        <v>7</v>
      </c>
    </row>
    <row r="19" spans="1:12" x14ac:dyDescent="0.25">
      <c r="A19" t="s">
        <v>6</v>
      </c>
      <c r="B19" t="s">
        <v>17</v>
      </c>
      <c r="C19" t="s">
        <v>314</v>
      </c>
      <c r="D19">
        <v>0.83799999999999997</v>
      </c>
      <c r="E19">
        <v>0.16200000000000001</v>
      </c>
      <c r="F19">
        <v>0.80292051232726702</v>
      </c>
      <c r="G19">
        <v>0.115353333926677</v>
      </c>
      <c r="H19">
        <v>8.1726153746056907E-2</v>
      </c>
      <c r="I19">
        <v>0.95354523227383903</v>
      </c>
      <c r="J19">
        <v>3.6674816625916901E-2</v>
      </c>
      <c r="K19">
        <v>9.7799511002445005E-3</v>
      </c>
      <c r="L19">
        <v>7.1</v>
      </c>
    </row>
    <row r="20" spans="1:12" x14ac:dyDescent="0.25">
      <c r="A20" t="s">
        <v>45</v>
      </c>
      <c r="B20" t="s">
        <v>17</v>
      </c>
      <c r="C20" t="s">
        <v>314</v>
      </c>
      <c r="D20">
        <v>0.9</v>
      </c>
      <c r="E20">
        <v>9.6000000000000002E-2</v>
      </c>
      <c r="F20">
        <v>0.78</v>
      </c>
      <c r="G20">
        <v>7.0000000000000007E-2</v>
      </c>
      <c r="H20">
        <v>0.15</v>
      </c>
      <c r="I20">
        <v>0.69</v>
      </c>
      <c r="J20">
        <v>0.26</v>
      </c>
      <c r="K20">
        <v>0.05</v>
      </c>
      <c r="L20">
        <v>7</v>
      </c>
    </row>
    <row r="21" spans="1:12" x14ac:dyDescent="0.25">
      <c r="A21" t="s">
        <v>8</v>
      </c>
      <c r="B21" t="s">
        <v>17</v>
      </c>
      <c r="C21" t="s">
        <v>314</v>
      </c>
      <c r="D21">
        <v>0.86</v>
      </c>
      <c r="E21">
        <v>0.14000000000000001</v>
      </c>
      <c r="F21">
        <v>0.76399672127125895</v>
      </c>
      <c r="G21">
        <v>3.2882921622291603E-2</v>
      </c>
      <c r="H21">
        <v>0.20312035710644999</v>
      </c>
      <c r="I21">
        <v>0.52141527001862198</v>
      </c>
      <c r="J21">
        <v>0.39478584729981397</v>
      </c>
      <c r="K21">
        <v>8.3798882681564199E-2</v>
      </c>
      <c r="L21">
        <v>7.1</v>
      </c>
    </row>
    <row r="22" spans="1:12" x14ac:dyDescent="0.25">
      <c r="A22" t="s">
        <v>38</v>
      </c>
      <c r="B22" t="s">
        <v>17</v>
      </c>
      <c r="C22" t="s">
        <v>314</v>
      </c>
      <c r="D22">
        <v>0.85399999999999998</v>
      </c>
      <c r="E22">
        <v>0.14599999999999999</v>
      </c>
      <c r="F22">
        <v>0.75362656390091898</v>
      </c>
      <c r="G22">
        <v>5.2658017463145301E-2</v>
      </c>
      <c r="H22">
        <v>0.193715418635936</v>
      </c>
      <c r="I22">
        <v>0.29246892517669998</v>
      </c>
      <c r="J22">
        <v>0.58493785035339996</v>
      </c>
      <c r="K22">
        <v>0.12259322446989999</v>
      </c>
      <c r="L22">
        <v>7.22</v>
      </c>
    </row>
    <row r="23" spans="1:12" x14ac:dyDescent="0.25">
      <c r="A23" t="s">
        <v>10</v>
      </c>
      <c r="B23" t="s">
        <v>17</v>
      </c>
      <c r="C23" t="s">
        <v>314</v>
      </c>
      <c r="D23">
        <v>0.873</v>
      </c>
      <c r="E23">
        <v>0.127</v>
      </c>
      <c r="F23">
        <v>0.68180834079295904</v>
      </c>
      <c r="G23">
        <v>6.2198013624446602E-2</v>
      </c>
      <c r="H23">
        <v>0.25599364558259502</v>
      </c>
      <c r="I23">
        <v>0.33050047214353201</v>
      </c>
      <c r="J23">
        <v>0.561850802644004</v>
      </c>
      <c r="K23">
        <v>0.107648725212465</v>
      </c>
      <c r="L23">
        <v>7.23</v>
      </c>
    </row>
    <row r="24" spans="1:12" x14ac:dyDescent="0.25">
      <c r="A24" t="s">
        <v>37</v>
      </c>
      <c r="B24" t="s">
        <v>17</v>
      </c>
      <c r="C24" t="s">
        <v>314</v>
      </c>
      <c r="D24">
        <v>0.67500000000000004</v>
      </c>
      <c r="E24">
        <v>0.32500000000000001</v>
      </c>
      <c r="F24">
        <v>0.75535011388568196</v>
      </c>
      <c r="G24">
        <v>8.3300793960692399E-2</v>
      </c>
      <c r="H24">
        <v>0.161349092153626</v>
      </c>
      <c r="I24">
        <v>0.57576550641193402</v>
      </c>
      <c r="J24">
        <v>0.32190526040303602</v>
      </c>
      <c r="K24">
        <v>0.10232923318503</v>
      </c>
      <c r="L24">
        <v>6.6</v>
      </c>
    </row>
    <row r="25" spans="1:12" x14ac:dyDescent="0.25">
      <c r="A25" t="s">
        <v>11</v>
      </c>
      <c r="B25" t="s">
        <v>17</v>
      </c>
      <c r="C25" t="s">
        <v>314</v>
      </c>
      <c r="D25">
        <v>0.876</v>
      </c>
      <c r="E25">
        <v>0.124</v>
      </c>
      <c r="F25">
        <v>0.77677543363722101</v>
      </c>
      <c r="G25">
        <v>2.3186412508439901E-2</v>
      </c>
      <c r="H25">
        <v>0.20003815385434001</v>
      </c>
      <c r="I25">
        <v>0.53390282968499703</v>
      </c>
      <c r="J25">
        <v>0.38441003737319801</v>
      </c>
      <c r="K25">
        <v>8.1687132941804602E-2</v>
      </c>
      <c r="L25">
        <v>6.81</v>
      </c>
    </row>
    <row r="26" spans="1:12" x14ac:dyDescent="0.25">
      <c r="A26" t="s">
        <v>13</v>
      </c>
      <c r="B26" t="s">
        <v>17</v>
      </c>
      <c r="C26" t="s">
        <v>314</v>
      </c>
      <c r="D26">
        <v>0.68100000000000005</v>
      </c>
      <c r="E26">
        <v>0.31900000000000001</v>
      </c>
      <c r="F26">
        <v>0.52200601546333902</v>
      </c>
      <c r="G26">
        <v>6.3830853345103702E-2</v>
      </c>
      <c r="H26">
        <v>0.41416313119155701</v>
      </c>
      <c r="I26">
        <v>0.80753701211305495</v>
      </c>
      <c r="J26">
        <v>0.14804845222072699</v>
      </c>
      <c r="K26">
        <v>4.4414535666218002E-2</v>
      </c>
      <c r="L26">
        <v>7</v>
      </c>
    </row>
    <row r="27" spans="1:12" x14ac:dyDescent="0.25">
      <c r="A27" t="s">
        <v>14</v>
      </c>
      <c r="B27" t="s">
        <v>17</v>
      </c>
      <c r="C27" t="s">
        <v>314</v>
      </c>
      <c r="D27">
        <v>0.745</v>
      </c>
      <c r="E27">
        <v>0.255</v>
      </c>
      <c r="F27">
        <v>0.64498977178046801</v>
      </c>
      <c r="G27">
        <v>3.9570322823172903E-2</v>
      </c>
      <c r="H27">
        <v>0.31543990539635902</v>
      </c>
      <c r="I27">
        <v>0.36563071297989003</v>
      </c>
      <c r="J27">
        <v>0.48903107861060302</v>
      </c>
      <c r="K27">
        <v>0.14533820840950601</v>
      </c>
      <c r="L27">
        <v>7</v>
      </c>
    </row>
    <row r="28" spans="1:12" x14ac:dyDescent="0.25">
      <c r="A28" t="s">
        <v>44</v>
      </c>
      <c r="B28" t="s">
        <v>17</v>
      </c>
      <c r="C28" t="s">
        <v>314</v>
      </c>
      <c r="D28">
        <v>1</v>
      </c>
      <c r="E28">
        <v>0</v>
      </c>
      <c r="F28">
        <v>0.66399197592778303</v>
      </c>
      <c r="G28">
        <v>5.0150451354062202E-3</v>
      </c>
      <c r="H28">
        <v>0.33099297893681001</v>
      </c>
      <c r="I28">
        <v>0.22727272727272699</v>
      </c>
      <c r="J28">
        <v>0.65909090909090895</v>
      </c>
      <c r="K28">
        <v>0.11363636363636399</v>
      </c>
      <c r="L28">
        <v>7.2</v>
      </c>
    </row>
    <row r="30" spans="1:12" x14ac:dyDescent="0.25">
      <c r="L30" s="2"/>
    </row>
    <row r="31" spans="1:12" x14ac:dyDescent="0.25">
      <c r="A31" s="26" t="s">
        <v>43</v>
      </c>
      <c r="L31" s="2"/>
    </row>
    <row r="32" spans="1:12" x14ac:dyDescent="0.25">
      <c r="A32" s="26" t="s">
        <v>42</v>
      </c>
      <c r="L32" s="2"/>
    </row>
    <row r="33" spans="1:12" x14ac:dyDescent="0.25">
      <c r="A33" s="26" t="s">
        <v>41</v>
      </c>
      <c r="L33" s="2"/>
    </row>
    <row r="34" spans="1:12" x14ac:dyDescent="0.25">
      <c r="A34" s="28" t="s">
        <v>359</v>
      </c>
      <c r="L34" s="2"/>
    </row>
    <row r="35" spans="1:12" x14ac:dyDescent="0.25">
      <c r="A35" s="26" t="s">
        <v>40</v>
      </c>
      <c r="L35" s="2"/>
    </row>
    <row r="36" spans="1:12" x14ac:dyDescent="0.25">
      <c r="A36" s="26" t="s">
        <v>358</v>
      </c>
      <c r="L36" s="2"/>
    </row>
    <row r="37" spans="1:12" x14ac:dyDescent="0.25">
      <c r="A37" s="26" t="s">
        <v>362</v>
      </c>
      <c r="L37" s="2"/>
    </row>
    <row r="38" spans="1:12" x14ac:dyDescent="0.25">
      <c r="A38" s="26" t="s">
        <v>363</v>
      </c>
    </row>
    <row r="39" spans="1:12" x14ac:dyDescent="0.25">
      <c r="A39" s="26" t="s">
        <v>366</v>
      </c>
    </row>
    <row r="40" spans="1:12" x14ac:dyDescent="0.25">
      <c r="A40" s="26" t="s">
        <v>371</v>
      </c>
    </row>
    <row r="41" spans="1:12" x14ac:dyDescent="0.25">
      <c r="A41" s="26" t="s">
        <v>373</v>
      </c>
    </row>
    <row r="42" spans="1:12" x14ac:dyDescent="0.25">
      <c r="A42" s="26"/>
    </row>
    <row r="43" spans="1:12" x14ac:dyDescent="0.25">
      <c r="A43" s="26"/>
    </row>
    <row r="44" spans="1:12" x14ac:dyDescent="0.25">
      <c r="A44" s="1" t="s">
        <v>337</v>
      </c>
    </row>
    <row r="45" spans="1:12" x14ac:dyDescent="0.25">
      <c r="A45" s="25" t="s">
        <v>336</v>
      </c>
    </row>
    <row r="46" spans="1:12" x14ac:dyDescent="0.25">
      <c r="A46" s="25" t="s">
        <v>324</v>
      </c>
    </row>
    <row r="47" spans="1:12" x14ac:dyDescent="0.25">
      <c r="A47" s="25" t="s">
        <v>334</v>
      </c>
    </row>
    <row r="48" spans="1:12" x14ac:dyDescent="0.25">
      <c r="A48" s="25" t="s">
        <v>333</v>
      </c>
    </row>
    <row r="49" spans="1:1" x14ac:dyDescent="0.25">
      <c r="A49" s="25" t="s">
        <v>332</v>
      </c>
    </row>
    <row r="50" spans="1:1" x14ac:dyDescent="0.25">
      <c r="A50" s="25" t="s">
        <v>331</v>
      </c>
    </row>
    <row r="51" spans="1:1" x14ac:dyDescent="0.25">
      <c r="A51" s="25" t="s">
        <v>330</v>
      </c>
    </row>
    <row r="52" spans="1:1" x14ac:dyDescent="0.25">
      <c r="A52" s="25" t="s">
        <v>329</v>
      </c>
    </row>
    <row r="53" spans="1:1" x14ac:dyDescent="0.25">
      <c r="A53" s="25" t="s">
        <v>328</v>
      </c>
    </row>
    <row r="54" spans="1:1" x14ac:dyDescent="0.25">
      <c r="A54" s="25" t="s">
        <v>327</v>
      </c>
    </row>
    <row r="55" spans="1:1" x14ac:dyDescent="0.25">
      <c r="A55" s="25" t="s">
        <v>326</v>
      </c>
    </row>
    <row r="56" spans="1:1" x14ac:dyDescent="0.25">
      <c r="A56" s="25" t="s">
        <v>325</v>
      </c>
    </row>
    <row r="57" spans="1:1" x14ac:dyDescent="0.25">
      <c r="A57" s="25" t="s">
        <v>365</v>
      </c>
    </row>
    <row r="58" spans="1:1" x14ac:dyDescent="0.25">
      <c r="A58" s="25" t="s">
        <v>368</v>
      </c>
    </row>
    <row r="59" spans="1:1" x14ac:dyDescent="0.25">
      <c r="A59" s="25" t="s">
        <v>370</v>
      </c>
    </row>
    <row r="60" spans="1:1" x14ac:dyDescent="0.25">
      <c r="A60" s="25" t="s">
        <v>374</v>
      </c>
    </row>
  </sheetData>
  <mergeCells count="3">
    <mergeCell ref="D1:E1"/>
    <mergeCell ref="F1:H1"/>
    <mergeCell ref="I1:K1"/>
  </mergeCells>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T40"/>
  <sheetViews>
    <sheetView workbookViewId="0">
      <selection activeCell="E16" sqref="E16"/>
    </sheetView>
  </sheetViews>
  <sheetFormatPr defaultRowHeight="15" x14ac:dyDescent="0.25"/>
  <sheetData>
    <row r="1" spans="1:20" x14ac:dyDescent="0.25">
      <c r="B1" s="32" t="s">
        <v>74</v>
      </c>
      <c r="C1" s="32"/>
      <c r="D1" s="32"/>
      <c r="E1" s="32"/>
      <c r="F1" s="24"/>
      <c r="G1" s="24"/>
      <c r="H1" s="32" t="s">
        <v>106</v>
      </c>
      <c r="I1" s="32"/>
      <c r="J1" s="32"/>
      <c r="K1" s="32"/>
      <c r="L1" s="24"/>
      <c r="M1" s="24"/>
      <c r="N1" s="32" t="s">
        <v>75</v>
      </c>
      <c r="O1" s="32"/>
      <c r="P1" s="32"/>
      <c r="Q1" s="32"/>
    </row>
    <row r="2" spans="1:20" x14ac:dyDescent="0.25">
      <c r="B2" t="s">
        <v>34</v>
      </c>
      <c r="C2" t="s">
        <v>17</v>
      </c>
      <c r="D2" t="s">
        <v>18</v>
      </c>
      <c r="E2" t="s">
        <v>35</v>
      </c>
      <c r="F2" t="s">
        <v>339</v>
      </c>
      <c r="G2" t="s">
        <v>104</v>
      </c>
      <c r="H2" t="s">
        <v>34</v>
      </c>
      <c r="I2" t="s">
        <v>17</v>
      </c>
      <c r="J2" t="s">
        <v>18</v>
      </c>
      <c r="K2" t="s">
        <v>35</v>
      </c>
      <c r="L2" t="s">
        <v>339</v>
      </c>
      <c r="M2" t="s">
        <v>104</v>
      </c>
      <c r="N2" t="s">
        <v>34</v>
      </c>
      <c r="O2" t="s">
        <v>17</v>
      </c>
      <c r="P2" t="s">
        <v>18</v>
      </c>
      <c r="Q2" t="s">
        <v>35</v>
      </c>
      <c r="R2" t="s">
        <v>339</v>
      </c>
      <c r="S2" t="s">
        <v>341</v>
      </c>
      <c r="T2" t="s">
        <v>104</v>
      </c>
    </row>
    <row r="3" spans="1:20" x14ac:dyDescent="0.25">
      <c r="A3" t="s">
        <v>33</v>
      </c>
      <c r="B3" s="3">
        <v>8</v>
      </c>
      <c r="C3" s="3">
        <v>74</v>
      </c>
      <c r="D3" s="3">
        <v>1200</v>
      </c>
      <c r="E3" s="3">
        <v>5600</v>
      </c>
      <c r="F3" s="3">
        <v>1086</v>
      </c>
      <c r="G3" s="3">
        <v>530</v>
      </c>
      <c r="H3" s="2">
        <f>B3/(0.02)^(3/4)</f>
        <v>150.42412372345572</v>
      </c>
      <c r="I3" s="2">
        <f>C3/0.25^(3/4)</f>
        <v>209.30360723121805</v>
      </c>
      <c r="J3" s="2">
        <f>D3/(10^(3/4))</f>
        <v>213.3935292046707</v>
      </c>
      <c r="K3" s="2">
        <f>E3/(70^(3/4))</f>
        <v>231.40060868152614</v>
      </c>
      <c r="L3" s="2">
        <f>F3/(5^(3/4))</f>
        <v>324.78975528124914</v>
      </c>
      <c r="M3" s="2">
        <f>G3/(2.5^(3/4))</f>
        <v>266.5758870927823</v>
      </c>
      <c r="N3" s="4">
        <f t="shared" ref="N3:N15" si="0">IF(ISBLANK(B3),"",B3/B$3)</f>
        <v>1</v>
      </c>
      <c r="O3" s="4">
        <f t="shared" ref="O3:O15" si="1">IF(ISBLANK(C3),"",C3/C$3)</f>
        <v>1</v>
      </c>
      <c r="P3" s="4">
        <f t="shared" ref="P3:P15" si="2">IF(ISBLANK(D3),"",D3/D$3)</f>
        <v>1</v>
      </c>
      <c r="Q3" s="4">
        <f t="shared" ref="Q3:Q16" si="3">IF(ISBLANK(E3),"",E3/E$3)</f>
        <v>1</v>
      </c>
      <c r="R3" s="4">
        <f t="shared" ref="R3:R17" si="4">IF(ISBLANK(F3),"",F3/F$3)</f>
        <v>1</v>
      </c>
      <c r="S3" s="4">
        <f t="shared" ref="S3:S17" si="5">IF(ISBLANK(G3),"",G3/G$3)</f>
        <v>1</v>
      </c>
    </row>
    <row r="4" spans="1:20" x14ac:dyDescent="0.25">
      <c r="A4" t="s">
        <v>3</v>
      </c>
      <c r="B4" s="5">
        <f>H4*0.02</f>
        <v>8.1229672130802191E-2</v>
      </c>
      <c r="C4" s="3">
        <v>0.4</v>
      </c>
      <c r="D4" s="3">
        <v>35</v>
      </c>
      <c r="E4" s="3">
        <v>260</v>
      </c>
      <c r="F4" s="3">
        <v>20</v>
      </c>
      <c r="G4" s="3">
        <v>32</v>
      </c>
      <c r="H4" s="9">
        <f>$H$3*N4</f>
        <v>4.0614836065401096</v>
      </c>
      <c r="I4" s="9">
        <f>I$3*O4</f>
        <v>1.131370849898476</v>
      </c>
      <c r="J4" s="9">
        <f>J$3*P4</f>
        <v>6.2239779351362285</v>
      </c>
      <c r="K4" s="9">
        <f>K$3*Q4</f>
        <v>10.743599688785142</v>
      </c>
      <c r="L4" s="2">
        <f t="shared" ref="L4:L21" si="6">F4/(5^(3/4))</f>
        <v>5.9813951248848829</v>
      </c>
      <c r="M4" s="2">
        <f t="shared" ref="M4:M21" si="7">G4/(2.5^(3/4))</f>
        <v>16.095147899941573</v>
      </c>
      <c r="N4" s="4">
        <f>AVERAGE(O4:Q4)</f>
        <v>2.7000214500214503E-2</v>
      </c>
      <c r="O4" s="4">
        <f t="shared" si="1"/>
        <v>5.4054054054054057E-3</v>
      </c>
      <c r="P4" s="4">
        <f t="shared" si="2"/>
        <v>2.9166666666666667E-2</v>
      </c>
      <c r="Q4" s="4">
        <f t="shared" si="3"/>
        <v>4.642857142857143E-2</v>
      </c>
      <c r="R4" s="4">
        <f t="shared" si="4"/>
        <v>1.841620626151013E-2</v>
      </c>
      <c r="S4" s="4">
        <f t="shared" si="5"/>
        <v>6.0377358490566038E-2</v>
      </c>
      <c r="T4" s="4">
        <f>S4/(SUM(S$4:S$17)-S$12)</f>
        <v>5.6864106313847307E-2</v>
      </c>
    </row>
    <row r="5" spans="1:20" x14ac:dyDescent="0.25">
      <c r="A5" t="s">
        <v>4</v>
      </c>
      <c r="B5" s="5">
        <f>H5*0.02</f>
        <v>8.0226199319176385E-3</v>
      </c>
      <c r="C5" s="3">
        <f>0.3/100*C3</f>
        <v>0.222</v>
      </c>
      <c r="D5" s="3">
        <f>0.2/100*D3</f>
        <v>2.4</v>
      </c>
      <c r="E5" s="3">
        <f>0.3/100*E3</f>
        <v>16.8</v>
      </c>
      <c r="F5" s="3">
        <f>R5*F$3</f>
        <v>2.8960000000000004</v>
      </c>
      <c r="G5" s="3">
        <f>S5*G$3</f>
        <v>1.4133333333333336</v>
      </c>
      <c r="H5" s="9">
        <f t="shared" ref="H5:H18" si="8">$H$3*N5</f>
        <v>0.40113099659588192</v>
      </c>
      <c r="I5" s="9">
        <f t="shared" ref="I5:I18" si="9">I$3*O5</f>
        <v>0.6279108216936542</v>
      </c>
      <c r="J5" s="9">
        <f t="shared" ref="J5:J18" si="10">J$3*P5</f>
        <v>0.42678705840934139</v>
      </c>
      <c r="K5" s="9">
        <f t="shared" ref="K5:K18" si="11">K$3*Q5</f>
        <v>0.69420182604457847</v>
      </c>
      <c r="L5" s="2">
        <f t="shared" si="6"/>
        <v>0.86610601408333121</v>
      </c>
      <c r="M5" s="2">
        <f t="shared" si="7"/>
        <v>0.7108690322474196</v>
      </c>
      <c r="N5" s="4">
        <f>AVERAGE(O5:Q5)</f>
        <v>2.6666666666666666E-3</v>
      </c>
      <c r="O5" s="4">
        <f t="shared" si="1"/>
        <v>3.0000000000000001E-3</v>
      </c>
      <c r="P5" s="4">
        <f t="shared" si="2"/>
        <v>2E-3</v>
      </c>
      <c r="Q5" s="4">
        <f t="shared" si="3"/>
        <v>3.0000000000000001E-3</v>
      </c>
      <c r="R5" s="4">
        <f>AVERAGE($N5:$Q5)</f>
        <v>2.666666666666667E-3</v>
      </c>
      <c r="S5" s="4">
        <f>AVERAGE($N5:$Q5)</f>
        <v>2.666666666666667E-3</v>
      </c>
      <c r="T5" s="4">
        <f t="shared" ref="T5:T17" si="12">S5/(SUM(S$4:S$17)-S$12)</f>
        <v>2.5114980288615898E-3</v>
      </c>
    </row>
    <row r="6" spans="1:20" x14ac:dyDescent="0.25">
      <c r="A6" t="s">
        <v>5</v>
      </c>
      <c r="B6" s="5">
        <f>H6*0.02</f>
        <v>0.17532767309545008</v>
      </c>
      <c r="C6" s="3">
        <f>12.2/100*C3</f>
        <v>9.0280000000000005</v>
      </c>
      <c r="D6" s="3">
        <v>13</v>
      </c>
      <c r="E6" s="3">
        <f>4.2/100*E3</f>
        <v>235.20000000000002</v>
      </c>
      <c r="F6" s="3">
        <f>R6*F4</f>
        <v>1.1655555555555557</v>
      </c>
      <c r="G6" s="3">
        <f>S6*G$3</f>
        <v>30.887222222222228</v>
      </c>
      <c r="H6" s="9">
        <f t="shared" si="8"/>
        <v>8.766383654772504</v>
      </c>
      <c r="I6" s="9">
        <f t="shared" si="9"/>
        <v>25.535040082208603</v>
      </c>
      <c r="J6" s="9">
        <f t="shared" si="10"/>
        <v>2.3117632330505993</v>
      </c>
      <c r="K6" s="9">
        <f t="shared" si="11"/>
        <v>9.7188255646240975</v>
      </c>
      <c r="L6" s="2">
        <f t="shared" si="6"/>
        <v>0.34858241588912464</v>
      </c>
      <c r="M6" s="2">
        <f t="shared" si="7"/>
        <v>15.535450308907148</v>
      </c>
      <c r="N6" s="4">
        <f>AVERAGE(O6:Q6)</f>
        <v>5.8277777777777789E-2</v>
      </c>
      <c r="O6" s="4">
        <f t="shared" si="1"/>
        <v>0.12200000000000001</v>
      </c>
      <c r="P6" s="4">
        <f t="shared" si="2"/>
        <v>1.0833333333333334E-2</v>
      </c>
      <c r="Q6" s="4">
        <f t="shared" si="3"/>
        <v>4.2000000000000003E-2</v>
      </c>
      <c r="R6" s="4">
        <f>AVERAGE($N6:$Q6)</f>
        <v>5.8277777777777789E-2</v>
      </c>
      <c r="S6" s="4">
        <f>AVERAGE($N6:$Q6)</f>
        <v>5.8277777777777789E-2</v>
      </c>
      <c r="T6" s="4">
        <f t="shared" si="12"/>
        <v>5.4886696505745992E-2</v>
      </c>
    </row>
    <row r="7" spans="1:20" x14ac:dyDescent="0.25">
      <c r="A7" t="s">
        <v>6</v>
      </c>
      <c r="B7" s="3">
        <f>3.3/100*B3</f>
        <v>0.26400000000000001</v>
      </c>
      <c r="C7" s="3">
        <v>1.3</v>
      </c>
      <c r="D7" s="3">
        <v>45</v>
      </c>
      <c r="E7" s="3">
        <v>700</v>
      </c>
      <c r="F7" s="3">
        <v>72</v>
      </c>
      <c r="G7" s="3">
        <f>S7*G$3</f>
        <v>28.2314527027027</v>
      </c>
      <c r="H7" s="9">
        <f t="shared" si="8"/>
        <v>4.963996082874039</v>
      </c>
      <c r="I7" s="9">
        <f t="shared" si="9"/>
        <v>3.676955262170047</v>
      </c>
      <c r="J7" s="9">
        <f t="shared" si="10"/>
        <v>8.0022573451751509</v>
      </c>
      <c r="K7" s="9">
        <f t="shared" si="11"/>
        <v>28.925076085190767</v>
      </c>
      <c r="L7" s="2">
        <f t="shared" si="6"/>
        <v>21.53302244958558</v>
      </c>
      <c r="M7" s="2">
        <f t="shared" si="7"/>
        <v>14.199668958756412</v>
      </c>
      <c r="N7" s="4">
        <f t="shared" si="0"/>
        <v>3.3000000000000002E-2</v>
      </c>
      <c r="O7" s="4">
        <f t="shared" si="1"/>
        <v>1.7567567567567569E-2</v>
      </c>
      <c r="P7" s="4">
        <f t="shared" si="2"/>
        <v>3.7499999999999999E-2</v>
      </c>
      <c r="Q7" s="4">
        <f t="shared" si="3"/>
        <v>0.125</v>
      </c>
      <c r="R7" s="4">
        <f t="shared" si="4"/>
        <v>6.6298342541436461E-2</v>
      </c>
      <c r="S7" s="4">
        <f>AVERAGE($N7:$Q7)</f>
        <v>5.326689189189189E-2</v>
      </c>
      <c r="T7" s="4">
        <f t="shared" si="12"/>
        <v>5.0167385246276196E-2</v>
      </c>
    </row>
    <row r="8" spans="1:20" x14ac:dyDescent="0.25">
      <c r="A8" t="s">
        <v>8</v>
      </c>
      <c r="B8" s="3">
        <v>0.28000000000000003</v>
      </c>
      <c r="C8" s="3">
        <v>3.9</v>
      </c>
      <c r="D8" s="3">
        <v>54</v>
      </c>
      <c r="E8" s="3">
        <v>240</v>
      </c>
      <c r="F8" s="3">
        <v>60</v>
      </c>
      <c r="G8" s="3">
        <v>16</v>
      </c>
      <c r="H8" s="9">
        <f t="shared" si="8"/>
        <v>5.2648443303209511</v>
      </c>
      <c r="I8" s="9">
        <f t="shared" si="9"/>
        <v>11.030865786510139</v>
      </c>
      <c r="J8" s="9">
        <f t="shared" si="10"/>
        <v>9.6027088142101817</v>
      </c>
      <c r="K8" s="9">
        <f t="shared" si="11"/>
        <v>9.9171689434939783</v>
      </c>
      <c r="L8" s="2">
        <f t="shared" si="6"/>
        <v>17.944185374654648</v>
      </c>
      <c r="M8" s="2">
        <f t="shared" si="7"/>
        <v>8.0475739499707863</v>
      </c>
      <c r="N8" s="4">
        <f t="shared" si="0"/>
        <v>3.5000000000000003E-2</v>
      </c>
      <c r="O8" s="4">
        <f t="shared" si="1"/>
        <v>5.2702702702702699E-2</v>
      </c>
      <c r="P8" s="4">
        <f t="shared" si="2"/>
        <v>4.4999999999999998E-2</v>
      </c>
      <c r="Q8" s="4">
        <f t="shared" si="3"/>
        <v>4.2857142857142858E-2</v>
      </c>
      <c r="R8" s="4">
        <f t="shared" si="4"/>
        <v>5.5248618784530384E-2</v>
      </c>
      <c r="S8" s="4">
        <f t="shared" si="5"/>
        <v>3.0188679245283019E-2</v>
      </c>
      <c r="T8" s="4">
        <f t="shared" si="12"/>
        <v>2.8432053156923653E-2</v>
      </c>
    </row>
    <row r="9" spans="1:20" x14ac:dyDescent="0.25">
      <c r="A9" t="s">
        <v>38</v>
      </c>
      <c r="B9" s="3">
        <v>1.3</v>
      </c>
      <c r="C9" s="3">
        <v>9.1999999999999993</v>
      </c>
      <c r="D9" s="3">
        <v>216</v>
      </c>
      <c r="E9" s="3">
        <v>1240</v>
      </c>
      <c r="F9" s="3">
        <v>138</v>
      </c>
      <c r="G9" s="3">
        <v>80</v>
      </c>
      <c r="H9" s="9">
        <f t="shared" si="8"/>
        <v>24.443920105061554</v>
      </c>
      <c r="I9" s="9">
        <f t="shared" si="9"/>
        <v>26.021529547664947</v>
      </c>
      <c r="J9" s="9">
        <f t="shared" si="10"/>
        <v>38.410835256840727</v>
      </c>
      <c r="K9" s="9">
        <f t="shared" si="11"/>
        <v>51.238706208052214</v>
      </c>
      <c r="L9" s="2">
        <f t="shared" si="6"/>
        <v>41.271626361705692</v>
      </c>
      <c r="M9" s="2">
        <f t="shared" si="7"/>
        <v>40.237869749853928</v>
      </c>
      <c r="N9" s="4">
        <f t="shared" si="0"/>
        <v>0.16250000000000001</v>
      </c>
      <c r="O9" s="4">
        <f t="shared" si="1"/>
        <v>0.12432432432432432</v>
      </c>
      <c r="P9" s="4">
        <f t="shared" si="2"/>
        <v>0.18</v>
      </c>
      <c r="Q9" s="4">
        <f t="shared" si="3"/>
        <v>0.22142857142857142</v>
      </c>
      <c r="R9" s="4">
        <f t="shared" si="4"/>
        <v>0.1270718232044199</v>
      </c>
      <c r="S9" s="4">
        <f t="shared" si="5"/>
        <v>0.15094339622641509</v>
      </c>
      <c r="T9" s="4">
        <f t="shared" si="12"/>
        <v>0.14216026578461827</v>
      </c>
    </row>
    <row r="10" spans="1:20" x14ac:dyDescent="0.25">
      <c r="A10" t="s">
        <v>36</v>
      </c>
      <c r="B10" s="3">
        <v>0.35</v>
      </c>
      <c r="C10" s="3">
        <v>2</v>
      </c>
      <c r="D10" s="3">
        <v>79</v>
      </c>
      <c r="E10" s="3">
        <v>300</v>
      </c>
      <c r="F10" s="3">
        <v>51</v>
      </c>
      <c r="G10" s="3">
        <v>37</v>
      </c>
      <c r="H10" s="9">
        <f t="shared" si="8"/>
        <v>6.5810554129011871</v>
      </c>
      <c r="I10" s="9">
        <f t="shared" si="9"/>
        <v>5.6568542494923797</v>
      </c>
      <c r="J10" s="9">
        <f t="shared" si="10"/>
        <v>14.048407339307486</v>
      </c>
      <c r="K10" s="9">
        <f t="shared" si="11"/>
        <v>12.396461179367471</v>
      </c>
      <c r="L10" s="2">
        <f t="shared" si="6"/>
        <v>15.252557568456451</v>
      </c>
      <c r="M10" s="2">
        <f t="shared" si="7"/>
        <v>18.610014759307443</v>
      </c>
      <c r="N10" s="4">
        <f t="shared" si="0"/>
        <v>4.3749999999999997E-2</v>
      </c>
      <c r="O10" s="4">
        <f t="shared" si="1"/>
        <v>2.7027027027027029E-2</v>
      </c>
      <c r="P10" s="4">
        <f t="shared" si="2"/>
        <v>6.5833333333333327E-2</v>
      </c>
      <c r="Q10" s="4">
        <f t="shared" si="3"/>
        <v>5.3571428571428568E-2</v>
      </c>
      <c r="R10" s="4">
        <f t="shared" si="4"/>
        <v>4.6961325966850827E-2</v>
      </c>
      <c r="S10" s="4">
        <f t="shared" si="5"/>
        <v>6.981132075471698E-2</v>
      </c>
      <c r="T10" s="4">
        <f t="shared" si="12"/>
        <v>6.5749122925385942E-2</v>
      </c>
    </row>
    <row r="11" spans="1:20" x14ac:dyDescent="0.25">
      <c r="A11" t="s">
        <v>45</v>
      </c>
      <c r="B11" s="3">
        <v>1.45</v>
      </c>
      <c r="C11" s="3">
        <v>9.8000000000000007</v>
      </c>
      <c r="D11" s="3">
        <v>230</v>
      </c>
      <c r="E11" s="3">
        <v>1150</v>
      </c>
      <c r="F11" s="3">
        <v>125</v>
      </c>
      <c r="G11" s="3">
        <v>111</v>
      </c>
      <c r="H11" s="9">
        <f t="shared" si="8"/>
        <v>27.264372424876349</v>
      </c>
      <c r="I11" s="9">
        <f t="shared" si="9"/>
        <v>27.718585822512662</v>
      </c>
      <c r="J11" s="9">
        <f t="shared" si="10"/>
        <v>40.900426430895223</v>
      </c>
      <c r="K11" s="9">
        <f t="shared" si="11"/>
        <v>47.519767854241969</v>
      </c>
      <c r="L11" s="2">
        <f t="shared" si="6"/>
        <v>37.38371953053052</v>
      </c>
      <c r="M11" s="2">
        <f t="shared" si="7"/>
        <v>55.830044277922326</v>
      </c>
      <c r="N11" s="4">
        <f t="shared" si="0"/>
        <v>0.18124999999999999</v>
      </c>
      <c r="O11" s="4">
        <f t="shared" si="1"/>
        <v>0.13243243243243244</v>
      </c>
      <c r="P11" s="4">
        <f t="shared" si="2"/>
        <v>0.19166666666666668</v>
      </c>
      <c r="Q11" s="4">
        <f t="shared" si="3"/>
        <v>0.20535714285714285</v>
      </c>
      <c r="R11" s="4">
        <f t="shared" si="4"/>
        <v>0.1151012891344383</v>
      </c>
      <c r="S11" s="4">
        <f t="shared" si="5"/>
        <v>0.20943396226415095</v>
      </c>
      <c r="T11" s="4">
        <f t="shared" si="12"/>
        <v>0.19724736877615787</v>
      </c>
    </row>
    <row r="12" spans="1:20" x14ac:dyDescent="0.25">
      <c r="A12" t="s">
        <v>10</v>
      </c>
      <c r="B12" s="3">
        <f>SUM(B10:B11)</f>
        <v>1.7999999999999998</v>
      </c>
      <c r="C12" s="3">
        <f t="shared" ref="C12:Q12" si="13">SUM(C10:C11)</f>
        <v>11.8</v>
      </c>
      <c r="D12" s="3">
        <f t="shared" si="13"/>
        <v>309</v>
      </c>
      <c r="E12" s="3">
        <f t="shared" si="13"/>
        <v>1450</v>
      </c>
      <c r="F12" s="3">
        <v>218</v>
      </c>
      <c r="G12" s="3">
        <v>177</v>
      </c>
      <c r="H12" s="9">
        <f t="shared" si="8"/>
        <v>33.845427837777535</v>
      </c>
      <c r="I12" s="9">
        <f t="shared" si="9"/>
        <v>33.375440072005041</v>
      </c>
      <c r="J12" s="9">
        <f t="shared" si="10"/>
        <v>54.948833770202704</v>
      </c>
      <c r="K12" s="9">
        <f t="shared" si="11"/>
        <v>59.91622903360944</v>
      </c>
      <c r="L12" s="2">
        <f t="shared" si="6"/>
        <v>65.19720686124522</v>
      </c>
      <c r="M12" s="2">
        <f t="shared" si="7"/>
        <v>89.026286821551821</v>
      </c>
      <c r="N12" s="4">
        <f t="shared" si="13"/>
        <v>0.22499999999999998</v>
      </c>
      <c r="O12" s="4">
        <f t="shared" si="13"/>
        <v>0.15945945945945947</v>
      </c>
      <c r="P12" s="4">
        <f t="shared" si="13"/>
        <v>0.25750000000000001</v>
      </c>
      <c r="Q12" s="4">
        <f t="shared" si="13"/>
        <v>0.2589285714285714</v>
      </c>
      <c r="R12" s="4">
        <f t="shared" si="4"/>
        <v>0.20073664825046039</v>
      </c>
      <c r="S12" s="4">
        <f t="shared" si="5"/>
        <v>0.33396226415094338</v>
      </c>
      <c r="T12" s="4">
        <f t="shared" si="12"/>
        <v>0.31452958804846792</v>
      </c>
    </row>
    <row r="13" spans="1:20" x14ac:dyDescent="0.25">
      <c r="A13" t="s">
        <v>37</v>
      </c>
      <c r="B13" s="3">
        <f>0.5/100*B3</f>
        <v>0.04</v>
      </c>
      <c r="C13" s="3">
        <f>2.1/100*C3</f>
        <v>1.554</v>
      </c>
      <c r="D13" s="3">
        <f>8.8/100*D3</f>
        <v>105.60000000000001</v>
      </c>
      <c r="E13" s="3">
        <f>2.5/100*E3</f>
        <v>140</v>
      </c>
      <c r="F13" s="3">
        <f>R13*F$3</f>
        <v>37.738500000000002</v>
      </c>
      <c r="G13" s="3">
        <f>S13*G$3</f>
        <v>18.4175</v>
      </c>
      <c r="H13" s="9">
        <f t="shared" si="8"/>
        <v>0.75212061861727864</v>
      </c>
      <c r="I13" s="9">
        <f t="shared" si="9"/>
        <v>4.3953757518555792</v>
      </c>
      <c r="J13" s="9">
        <f t="shared" si="10"/>
        <v>18.778630570011025</v>
      </c>
      <c r="K13" s="9">
        <f t="shared" si="11"/>
        <v>5.7850152170381541</v>
      </c>
      <c r="L13" s="2">
        <f t="shared" si="6"/>
        <v>11.286443996023408</v>
      </c>
      <c r="M13" s="2">
        <f t="shared" si="7"/>
        <v>9.2635120764741856</v>
      </c>
      <c r="N13" s="4">
        <f t="shared" si="0"/>
        <v>5.0000000000000001E-3</v>
      </c>
      <c r="O13" s="4">
        <f t="shared" si="1"/>
        <v>2.1000000000000001E-2</v>
      </c>
      <c r="P13" s="4">
        <f t="shared" si="2"/>
        <v>8.8000000000000009E-2</v>
      </c>
      <c r="Q13" s="4">
        <f t="shared" si="3"/>
        <v>2.5000000000000001E-2</v>
      </c>
      <c r="R13" s="4">
        <f>AVERAGE($N13:$Q13)</f>
        <v>3.4750000000000003E-2</v>
      </c>
      <c r="S13" s="4">
        <f>AVERAGE($N13:$Q13)</f>
        <v>3.4750000000000003E-2</v>
      </c>
      <c r="T13" s="4">
        <f t="shared" si="12"/>
        <v>3.2727958688602593E-2</v>
      </c>
    </row>
    <row r="14" spans="1:20" x14ac:dyDescent="0.25">
      <c r="A14" t="s">
        <v>11</v>
      </c>
      <c r="B14" s="3">
        <v>0.91</v>
      </c>
      <c r="C14" s="3">
        <v>7.5</v>
      </c>
      <c r="D14" s="3">
        <v>250</v>
      </c>
      <c r="E14" s="3">
        <v>750</v>
      </c>
      <c r="F14" s="3">
        <v>90</v>
      </c>
      <c r="G14" s="3">
        <v>155</v>
      </c>
      <c r="H14" s="9">
        <f t="shared" si="8"/>
        <v>17.110744073543088</v>
      </c>
      <c r="I14" s="9">
        <f t="shared" si="9"/>
        <v>21.213203435596427</v>
      </c>
      <c r="J14" s="9">
        <f t="shared" si="10"/>
        <v>44.456985250973062</v>
      </c>
      <c r="K14" s="9">
        <f t="shared" si="11"/>
        <v>30.991152948418677</v>
      </c>
      <c r="L14" s="2">
        <f t="shared" si="6"/>
        <v>26.916278061981973</v>
      </c>
      <c r="M14" s="2">
        <f t="shared" si="7"/>
        <v>77.960872640341989</v>
      </c>
      <c r="N14" s="4">
        <f t="shared" si="0"/>
        <v>0.11375</v>
      </c>
      <c r="O14" s="4">
        <f t="shared" si="1"/>
        <v>0.10135135135135136</v>
      </c>
      <c r="P14" s="4">
        <f t="shared" si="2"/>
        <v>0.20833333333333334</v>
      </c>
      <c r="Q14" s="4">
        <f t="shared" si="3"/>
        <v>0.13392857142857142</v>
      </c>
      <c r="R14" s="4">
        <f t="shared" si="4"/>
        <v>8.2872928176795577E-2</v>
      </c>
      <c r="S14" s="4">
        <f t="shared" si="5"/>
        <v>0.29245283018867924</v>
      </c>
      <c r="T14" s="4">
        <f t="shared" si="12"/>
        <v>0.27543551495769786</v>
      </c>
    </row>
    <row r="15" spans="1:20" x14ac:dyDescent="0.25">
      <c r="A15" t="s">
        <v>13</v>
      </c>
      <c r="B15" s="3">
        <v>0.41</v>
      </c>
      <c r="C15" s="3">
        <v>5.8</v>
      </c>
      <c r="D15" s="3">
        <v>100</v>
      </c>
      <c r="E15" s="3">
        <v>300</v>
      </c>
      <c r="F15" s="3">
        <v>54</v>
      </c>
      <c r="G15" s="3">
        <f>S15*G$3</f>
        <v>35.315641087516084</v>
      </c>
      <c r="H15" s="9">
        <f t="shared" si="8"/>
        <v>7.709236340827105</v>
      </c>
      <c r="I15" s="9">
        <f t="shared" si="9"/>
        <v>16.404877323527902</v>
      </c>
      <c r="J15" s="9">
        <f t="shared" si="10"/>
        <v>17.782794100389225</v>
      </c>
      <c r="K15" s="9">
        <f t="shared" si="11"/>
        <v>12.396461179367471</v>
      </c>
      <c r="L15" s="2">
        <f t="shared" si="6"/>
        <v>16.149766837189183</v>
      </c>
      <c r="M15" s="2">
        <f t="shared" si="7"/>
        <v>17.762827077650776</v>
      </c>
      <c r="N15" s="4">
        <f t="shared" si="0"/>
        <v>5.1249999999999997E-2</v>
      </c>
      <c r="O15" s="4">
        <f t="shared" si="1"/>
        <v>7.8378378378378383E-2</v>
      </c>
      <c r="P15" s="4">
        <f t="shared" si="2"/>
        <v>8.3333333333333329E-2</v>
      </c>
      <c r="Q15" s="4">
        <f t="shared" si="3"/>
        <v>5.3571428571428568E-2</v>
      </c>
      <c r="R15" s="4">
        <f t="shared" si="4"/>
        <v>4.9723756906077346E-2</v>
      </c>
      <c r="S15" s="4">
        <f>AVERAGE($N15:$Q15)</f>
        <v>6.6633285070785059E-2</v>
      </c>
      <c r="T15" s="4">
        <f t="shared" si="12"/>
        <v>6.2756011541943393E-2</v>
      </c>
    </row>
    <row r="16" spans="1:20" x14ac:dyDescent="0.25">
      <c r="A16" t="s">
        <v>15</v>
      </c>
      <c r="B16" s="5">
        <f>H16*0.02</f>
        <v>4.8135719591505838E-2</v>
      </c>
      <c r="C16" s="5">
        <f>J16*0.25</f>
        <v>0.85357411681868278</v>
      </c>
      <c r="D16" s="5">
        <f>J16*10</f>
        <v>34.142964672747311</v>
      </c>
      <c r="E16" s="3">
        <f>1.6/100*E3</f>
        <v>89.600000000000009</v>
      </c>
      <c r="F16" s="3">
        <f>R16*F$3</f>
        <v>17.376000000000001</v>
      </c>
      <c r="G16" s="3">
        <f>S16*G$3</f>
        <v>8.48</v>
      </c>
      <c r="H16" s="9">
        <f t="shared" si="8"/>
        <v>2.4067859795752917</v>
      </c>
      <c r="I16" s="9">
        <f t="shared" si="9"/>
        <v>3.3488577156994888</v>
      </c>
      <c r="J16" s="9">
        <f t="shared" si="10"/>
        <v>3.4142964672747311</v>
      </c>
      <c r="K16" s="9">
        <f t="shared" si="11"/>
        <v>3.7024097389044184</v>
      </c>
      <c r="L16" s="2">
        <f t="shared" si="6"/>
        <v>5.1966360844999873</v>
      </c>
      <c r="M16" s="2">
        <f t="shared" si="7"/>
        <v>4.2652141934845167</v>
      </c>
      <c r="N16" s="6">
        <f>Q16</f>
        <v>1.6E-2</v>
      </c>
      <c r="O16" s="6">
        <f>Q16</f>
        <v>1.6E-2</v>
      </c>
      <c r="P16" s="6">
        <f>Q16</f>
        <v>1.6E-2</v>
      </c>
      <c r="Q16" s="4">
        <f t="shared" si="3"/>
        <v>1.6E-2</v>
      </c>
      <c r="R16" s="4">
        <f>AVERAGE($N16:$Q16)</f>
        <v>1.6E-2</v>
      </c>
      <c r="S16" s="4">
        <f>AVERAGE($N16:$Q16)</f>
        <v>1.6E-2</v>
      </c>
      <c r="T16" s="4">
        <f t="shared" si="12"/>
        <v>1.5068988173169536E-2</v>
      </c>
    </row>
    <row r="17" spans="1:20" x14ac:dyDescent="0.25">
      <c r="A17" t="s">
        <v>14</v>
      </c>
      <c r="B17" s="5">
        <f>H17*0.02</f>
        <v>4.1366634023950327E-2</v>
      </c>
      <c r="C17" s="5">
        <f>J17*0.25</f>
        <v>0.73354025664105549</v>
      </c>
      <c r="D17" s="5">
        <f>J17*10</f>
        <v>29.34161026564222</v>
      </c>
      <c r="E17" s="3">
        <f>1.1*70</f>
        <v>77</v>
      </c>
      <c r="F17" s="3">
        <v>21</v>
      </c>
      <c r="G17" s="3">
        <v>9</v>
      </c>
      <c r="H17" s="9">
        <f t="shared" si="8"/>
        <v>2.0683317011975162</v>
      </c>
      <c r="I17" s="9">
        <f t="shared" si="9"/>
        <v>2.8779245994292482</v>
      </c>
      <c r="J17" s="9">
        <f t="shared" si="10"/>
        <v>2.934161026564222</v>
      </c>
      <c r="K17" s="9">
        <f t="shared" si="11"/>
        <v>3.1817583693709843</v>
      </c>
      <c r="L17" s="2">
        <f t="shared" si="6"/>
        <v>6.2804648811291273</v>
      </c>
      <c r="M17" s="2">
        <f t="shared" si="7"/>
        <v>4.5267603468585671</v>
      </c>
      <c r="N17" s="6">
        <f>Q17</f>
        <v>1.375E-2</v>
      </c>
      <c r="O17" s="6">
        <f>Q17</f>
        <v>1.375E-2</v>
      </c>
      <c r="P17" s="6">
        <f>Q17</f>
        <v>1.375E-2</v>
      </c>
      <c r="Q17" s="4">
        <f>IF(ISBLANK(E17),"",E17/E$3)</f>
        <v>1.375E-2</v>
      </c>
      <c r="R17" s="4">
        <f t="shared" si="4"/>
        <v>1.9337016574585635E-2</v>
      </c>
      <c r="S17" s="4">
        <f t="shared" si="5"/>
        <v>1.6981132075471698E-2</v>
      </c>
      <c r="T17" s="4">
        <f t="shared" si="12"/>
        <v>1.5993029900769555E-2</v>
      </c>
    </row>
    <row r="18" spans="1:20" x14ac:dyDescent="0.25">
      <c r="A18" t="s">
        <v>30</v>
      </c>
      <c r="B18" s="5">
        <f>B3*N18</f>
        <v>2.0544427284427274</v>
      </c>
      <c r="C18" s="5">
        <f>C3*O18</f>
        <v>21.0945</v>
      </c>
      <c r="D18" s="5">
        <f>D3*P18</f>
        <v>34.300000000000288</v>
      </c>
      <c r="E18" s="5">
        <f>E3*Q18</f>
        <v>101.40000000000136</v>
      </c>
      <c r="F18" s="3">
        <f>R18*F$3</f>
        <v>333.69983333333329</v>
      </c>
      <c r="G18" s="3">
        <f>T18*G$3</f>
        <v>0</v>
      </c>
      <c r="H18" s="9">
        <f t="shared" si="8"/>
        <v>38.629718395752846</v>
      </c>
      <c r="I18" s="9">
        <f t="shared" si="9"/>
        <v>59.664255982958501</v>
      </c>
      <c r="J18" s="9">
        <f t="shared" si="10"/>
        <v>6.0994983764335551</v>
      </c>
      <c r="K18" s="9">
        <f t="shared" si="11"/>
        <v>4.1900038786262614</v>
      </c>
      <c r="L18" s="2">
        <f t="shared" si="6"/>
        <v>99.799527813744888</v>
      </c>
      <c r="M18" s="2">
        <f t="shared" si="7"/>
        <v>0</v>
      </c>
      <c r="N18" s="6">
        <f t="shared" ref="N18:T18" si="14">1-SUM(N4:N17)+N12</f>
        <v>0.25680534105534092</v>
      </c>
      <c r="O18" s="6">
        <f t="shared" si="14"/>
        <v>0.28506081081081081</v>
      </c>
      <c r="P18" s="6">
        <f t="shared" si="14"/>
        <v>2.8583333333333572E-2</v>
      </c>
      <c r="Q18" s="6">
        <f t="shared" si="14"/>
        <v>1.8107142857143099E-2</v>
      </c>
      <c r="R18" s="6">
        <f t="shared" si="14"/>
        <v>0.30727424800491093</v>
      </c>
      <c r="S18" s="6">
        <f t="shared" si="14"/>
        <v>-6.1783300652404727E-2</v>
      </c>
      <c r="T18" s="6">
        <f t="shared" si="14"/>
        <v>0</v>
      </c>
    </row>
    <row r="19" spans="1:20" x14ac:dyDescent="0.25">
      <c r="A19" t="s">
        <v>71</v>
      </c>
      <c r="B19" s="3">
        <f>1/60/24</f>
        <v>6.9444444444444447E-4</v>
      </c>
      <c r="C19" s="3">
        <f>50/60/24</f>
        <v>3.4722222222222224E-2</v>
      </c>
      <c r="D19" s="3">
        <f>300/60/24</f>
        <v>0.20833333333333334</v>
      </c>
      <c r="E19" s="3">
        <f>1400/60/24</f>
        <v>0.97222222222222221</v>
      </c>
      <c r="F19" s="3">
        <f>375/24/60</f>
        <v>0.26041666666666669</v>
      </c>
      <c r="G19" s="3">
        <v>150</v>
      </c>
      <c r="H19" s="2">
        <f>B19/(0.02)^(3/4)</f>
        <v>1.3057649628772197E-2</v>
      </c>
      <c r="I19" s="2">
        <f>C19/0.25^(3/4)</f>
        <v>9.8209275164798271E-2</v>
      </c>
      <c r="J19" s="2">
        <f>D19/(10^(3/4))</f>
        <v>3.704748770914422E-2</v>
      </c>
      <c r="K19" s="2">
        <f>E19/(70^(3/4))</f>
        <v>4.0173716784987171E-2</v>
      </c>
      <c r="L19" s="2">
        <f t="shared" si="6"/>
        <v>7.7882749021938591E-2</v>
      </c>
      <c r="M19" s="2">
        <f t="shared" si="7"/>
        <v>75.446005780976122</v>
      </c>
      <c r="N19" s="4"/>
      <c r="O19" s="4"/>
      <c r="P19" s="4"/>
      <c r="Q19" s="4"/>
    </row>
    <row r="20" spans="1:20" x14ac:dyDescent="0.25">
      <c r="A20" t="s">
        <v>72</v>
      </c>
      <c r="B20" s="3">
        <f>2/60/24</f>
        <v>1.3888888888888889E-3</v>
      </c>
      <c r="C20" s="3">
        <f>22.5/60/24</f>
        <v>1.5625E-2</v>
      </c>
      <c r="D20" s="3">
        <f>120/60/24</f>
        <v>8.3333333333333329E-2</v>
      </c>
      <c r="E20" s="3">
        <f>350/60/24</f>
        <v>0.24305555555555555</v>
      </c>
      <c r="F20" s="3">
        <f>125/24/60</f>
        <v>8.6805555555555552E-2</v>
      </c>
      <c r="G20" s="3">
        <v>300</v>
      </c>
      <c r="H20" s="2">
        <f>B20/(0.02)^(3/4)</f>
        <v>2.6115299257544394E-2</v>
      </c>
      <c r="I20" s="2">
        <f>C20/0.25^(3/4)</f>
        <v>4.4194173824159216E-2</v>
      </c>
      <c r="J20" s="2">
        <f>D20/(10^(3/4))</f>
        <v>1.4818995083657686E-2</v>
      </c>
      <c r="K20" s="2">
        <f>E20/(70^(3/4))</f>
        <v>1.0043429196246793E-2</v>
      </c>
      <c r="L20" s="2">
        <f t="shared" si="6"/>
        <v>2.5960916340646192E-2</v>
      </c>
      <c r="M20" s="2">
        <f t="shared" si="7"/>
        <v>150.89201156195224</v>
      </c>
      <c r="N20" s="4"/>
      <c r="O20" s="4"/>
      <c r="P20" s="4"/>
      <c r="Q20" s="4"/>
    </row>
    <row r="21" spans="1:20" x14ac:dyDescent="0.25">
      <c r="A21" t="s">
        <v>73</v>
      </c>
      <c r="B21" s="3">
        <v>0.28000000000000003</v>
      </c>
      <c r="C21" s="3">
        <v>1.31</v>
      </c>
      <c r="D21" s="3">
        <v>61.3</v>
      </c>
      <c r="E21" s="3">
        <v>125</v>
      </c>
      <c r="F21" s="3">
        <f>10.4</f>
        <v>10.4</v>
      </c>
      <c r="G21" s="3">
        <v>7.8</v>
      </c>
      <c r="H21" s="2">
        <f>B21/(0.02)^(3/4)</f>
        <v>5.2648443303209502</v>
      </c>
      <c r="I21" s="2">
        <f>C21/0.25^(3/4)</f>
        <v>3.705239533417509</v>
      </c>
      <c r="J21" s="2">
        <f>D21/(10^(3/4))</f>
        <v>10.900852783538594</v>
      </c>
      <c r="K21" s="2">
        <f>E21/(70^(3/4))</f>
        <v>5.1651921580697797</v>
      </c>
      <c r="L21" s="2">
        <f t="shared" si="6"/>
        <v>3.1103254649401393</v>
      </c>
      <c r="M21" s="2">
        <f t="shared" si="7"/>
        <v>3.9231923006107583</v>
      </c>
      <c r="N21" s="4"/>
      <c r="O21" s="4"/>
      <c r="P21" s="4"/>
      <c r="Q21" s="4"/>
    </row>
    <row r="23" spans="1:20" x14ac:dyDescent="0.25">
      <c r="A23" s="1" t="s">
        <v>335</v>
      </c>
    </row>
    <row r="24" spans="1:20" x14ac:dyDescent="0.25">
      <c r="A24" s="25" t="s">
        <v>319</v>
      </c>
    </row>
    <row r="25" spans="1:20" x14ac:dyDescent="0.25">
      <c r="A25" s="25" t="s">
        <v>320</v>
      </c>
    </row>
    <row r="26" spans="1:20" x14ac:dyDescent="0.25">
      <c r="A26" s="25" t="s">
        <v>321</v>
      </c>
    </row>
    <row r="40" spans="10:10" x14ac:dyDescent="0.25">
      <c r="J40" s="7"/>
    </row>
  </sheetData>
  <mergeCells count="3">
    <mergeCell ref="B1:E1"/>
    <mergeCell ref="N1:Q1"/>
    <mergeCell ref="H1:K1"/>
  </mergeCells>
  <pageMargins left="0.7" right="0.7" top="0.75" bottom="0.75" header="0.3" footer="0.3"/>
  <pageSetup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30"/>
  <sheetViews>
    <sheetView workbookViewId="0">
      <selection activeCell="D19" sqref="D19"/>
    </sheetView>
  </sheetViews>
  <sheetFormatPr defaultRowHeight="15" x14ac:dyDescent="0.25"/>
  <cols>
    <col min="1" max="1" width="33.28515625" customWidth="1"/>
  </cols>
  <sheetData>
    <row r="1" spans="1:10" x14ac:dyDescent="0.25">
      <c r="A1" t="s">
        <v>0</v>
      </c>
      <c r="B1" t="s">
        <v>32</v>
      </c>
    </row>
    <row r="2" spans="1:10" x14ac:dyDescent="0.25">
      <c r="A2" t="s">
        <v>3</v>
      </c>
      <c r="B2" s="2">
        <v>0.91600000000000004</v>
      </c>
      <c r="J2" t="str">
        <f>IF(ISBLANK('Percent BW'!I4),"",'Percent BW'!I4/'Human Density'!$B2)</f>
        <v/>
      </c>
    </row>
    <row r="3" spans="1:10" x14ac:dyDescent="0.25">
      <c r="A3" t="s">
        <v>4</v>
      </c>
      <c r="B3" s="2">
        <f>(1.016+1.033)/2</f>
        <v>1.0245</v>
      </c>
      <c r="J3" t="str">
        <f>IF(ISBLANK('Percent BW'!I5),"",'Percent BW'!I5/'Human Density'!$B3)</f>
        <v/>
      </c>
    </row>
    <row r="4" spans="1:10" x14ac:dyDescent="0.25">
      <c r="A4" t="s">
        <v>5</v>
      </c>
      <c r="B4" s="2">
        <f>'Composition of Bone'!G4</f>
        <v>1.9761971830985914</v>
      </c>
    </row>
    <row r="5" spans="1:10" x14ac:dyDescent="0.25">
      <c r="A5" t="s">
        <v>20</v>
      </c>
      <c r="B5" s="2">
        <v>1.99</v>
      </c>
    </row>
    <row r="6" spans="1:10" x14ac:dyDescent="0.25">
      <c r="A6" t="s">
        <v>21</v>
      </c>
      <c r="B6" s="2">
        <v>1.92</v>
      </c>
    </row>
    <row r="7" spans="1:10" x14ac:dyDescent="0.25">
      <c r="A7" t="s">
        <v>22</v>
      </c>
      <c r="B7" s="2">
        <v>1.028</v>
      </c>
    </row>
    <row r="8" spans="1:10" x14ac:dyDescent="0.25">
      <c r="A8" t="s">
        <v>23</v>
      </c>
      <c r="B8" s="2">
        <v>0.78300000000000003</v>
      </c>
    </row>
    <row r="9" spans="1:10" x14ac:dyDescent="0.25">
      <c r="A9" t="s">
        <v>6</v>
      </c>
      <c r="B9" s="2">
        <f>(1.03+1.041)/2</f>
        <v>1.0354999999999999</v>
      </c>
      <c r="J9" t="str">
        <f>IF(ISBLANK('Percent BW'!I7),"",'Percent BW'!I10/'Human Density'!$B6)</f>
        <v/>
      </c>
    </row>
    <row r="10" spans="1:10" x14ac:dyDescent="0.25">
      <c r="A10" t="s">
        <v>45</v>
      </c>
      <c r="B10" s="2">
        <f>('Percent BW'!B8*'Human Density'!B11+'Percent BW'!B9*'Human Density'!B12+'Percent BW'!B10*'Human Density'!B13)/SUM('Percent BW'!B8:B10)</f>
        <v>1.0443364928909953</v>
      </c>
    </row>
    <row r="11" spans="1:10" x14ac:dyDescent="0.25">
      <c r="A11" t="s">
        <v>7</v>
      </c>
      <c r="B11" s="2">
        <f>(1.048+1.052)/2</f>
        <v>1.05</v>
      </c>
    </row>
    <row r="12" spans="1:10" x14ac:dyDescent="0.25">
      <c r="A12" t="s">
        <v>69</v>
      </c>
      <c r="B12" s="2">
        <f>(1.041+1.047)/2</f>
        <v>1.044</v>
      </c>
    </row>
    <row r="13" spans="1:10" x14ac:dyDescent="0.25">
      <c r="A13" t="s">
        <v>24</v>
      </c>
      <c r="B13" s="2">
        <v>1.042</v>
      </c>
    </row>
    <row r="14" spans="1:10" x14ac:dyDescent="0.25">
      <c r="A14" t="s">
        <v>8</v>
      </c>
      <c r="B14" s="2">
        <v>1.03</v>
      </c>
    </row>
    <row r="15" spans="1:10" x14ac:dyDescent="0.25">
      <c r="A15" t="s">
        <v>38</v>
      </c>
      <c r="B15" s="2">
        <v>1.05</v>
      </c>
    </row>
    <row r="16" spans="1:10" x14ac:dyDescent="0.25">
      <c r="A16" t="s">
        <v>10</v>
      </c>
      <c r="B16" s="2">
        <v>1.05</v>
      </c>
    </row>
    <row r="17" spans="1:2" x14ac:dyDescent="0.25">
      <c r="A17" t="s">
        <v>37</v>
      </c>
      <c r="B17" s="2">
        <f>(1.045+1.056)/2</f>
        <v>1.0505</v>
      </c>
    </row>
    <row r="18" spans="1:2" x14ac:dyDescent="0.25">
      <c r="A18" t="s">
        <v>11</v>
      </c>
      <c r="B18" s="2">
        <v>1.0409999999999999</v>
      </c>
    </row>
    <row r="19" spans="1:2" x14ac:dyDescent="0.25">
      <c r="A19" t="s">
        <v>12</v>
      </c>
      <c r="B19" s="2">
        <f>(1.04+1.05)/2</f>
        <v>1.0449999999999999</v>
      </c>
    </row>
    <row r="20" spans="1:2" x14ac:dyDescent="0.25">
      <c r="A20" t="s">
        <v>13</v>
      </c>
      <c r="B20" s="2">
        <f>(0.955*B23+0.045*B22)</f>
        <v>1.117305</v>
      </c>
    </row>
    <row r="21" spans="1:2" x14ac:dyDescent="0.25">
      <c r="A21" t="s">
        <v>25</v>
      </c>
      <c r="B21" s="2">
        <v>1.5</v>
      </c>
    </row>
    <row r="22" spans="1:2" x14ac:dyDescent="0.25">
      <c r="A22" t="s">
        <v>26</v>
      </c>
      <c r="B22" s="2">
        <f>(1.1+1.19)/2</f>
        <v>1.145</v>
      </c>
    </row>
    <row r="23" spans="1:2" x14ac:dyDescent="0.25">
      <c r="A23" t="s">
        <v>27</v>
      </c>
      <c r="B23" s="2">
        <v>1.1160000000000001</v>
      </c>
    </row>
    <row r="24" spans="1:2" x14ac:dyDescent="0.25">
      <c r="A24" t="s">
        <v>28</v>
      </c>
      <c r="B24" s="2">
        <v>0.97099999999999997</v>
      </c>
    </row>
    <row r="25" spans="1:2" x14ac:dyDescent="0.25">
      <c r="A25" t="s">
        <v>14</v>
      </c>
      <c r="B25" s="2">
        <v>1.054</v>
      </c>
    </row>
    <row r="26" spans="1:2" x14ac:dyDescent="0.25">
      <c r="A26" t="s">
        <v>15</v>
      </c>
      <c r="B26" s="2">
        <f>(1.036+1.066)/2</f>
        <v>1.0510000000000002</v>
      </c>
    </row>
    <row r="27" spans="1:2" x14ac:dyDescent="0.25">
      <c r="A27" t="s">
        <v>29</v>
      </c>
      <c r="B27" s="2">
        <v>1.125</v>
      </c>
    </row>
    <row r="28" spans="1:2" x14ac:dyDescent="0.25">
      <c r="A28" t="s">
        <v>70</v>
      </c>
      <c r="B28" s="2">
        <v>1.0249999999999999</v>
      </c>
    </row>
    <row r="30" spans="1:2" x14ac:dyDescent="0.25">
      <c r="A30" t="s">
        <v>338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Y28"/>
  <sheetViews>
    <sheetView workbookViewId="0">
      <pane xSplit="1" topLeftCell="B1" activePane="topRight" state="frozen"/>
      <selection pane="topRight" activeCell="B26" sqref="B26:B28"/>
    </sheetView>
  </sheetViews>
  <sheetFormatPr defaultRowHeight="15" x14ac:dyDescent="0.25"/>
  <cols>
    <col min="1" max="1" width="25.140625" customWidth="1"/>
  </cols>
  <sheetData>
    <row r="1" spans="1:25" x14ac:dyDescent="0.25">
      <c r="B1" s="32" t="s">
        <v>58</v>
      </c>
      <c r="C1" s="32"/>
      <c r="D1" s="32"/>
      <c r="E1" s="32"/>
      <c r="F1" s="32"/>
      <c r="G1" s="32"/>
      <c r="H1" s="32"/>
      <c r="I1" s="32"/>
      <c r="J1" s="29"/>
      <c r="K1" s="29"/>
      <c r="L1" s="29"/>
      <c r="M1" s="29"/>
      <c r="N1" s="32" t="s">
        <v>112</v>
      </c>
      <c r="O1" s="32"/>
      <c r="P1" s="32"/>
      <c r="Q1" s="32"/>
      <c r="R1" s="32"/>
      <c r="S1" s="32"/>
      <c r="T1" s="32"/>
      <c r="U1" s="32"/>
    </row>
    <row r="2" spans="1:25" x14ac:dyDescent="0.25">
      <c r="A2" s="1"/>
      <c r="B2" t="s">
        <v>16</v>
      </c>
      <c r="D2" t="s">
        <v>17</v>
      </c>
      <c r="F2" t="s">
        <v>18</v>
      </c>
      <c r="H2" t="s">
        <v>35</v>
      </c>
      <c r="J2" t="s">
        <v>104</v>
      </c>
      <c r="L2" t="s">
        <v>339</v>
      </c>
      <c r="N2" t="s">
        <v>34</v>
      </c>
      <c r="P2" t="s">
        <v>17</v>
      </c>
      <c r="R2" t="s">
        <v>18</v>
      </c>
      <c r="T2" t="s">
        <v>35</v>
      </c>
      <c r="V2" t="s">
        <v>104</v>
      </c>
      <c r="X2" t="s">
        <v>339</v>
      </c>
    </row>
    <row r="3" spans="1:25" x14ac:dyDescent="0.25">
      <c r="A3" t="s">
        <v>0</v>
      </c>
      <c r="B3" t="s">
        <v>1</v>
      </c>
      <c r="C3" t="s">
        <v>2</v>
      </c>
      <c r="D3" t="s">
        <v>1</v>
      </c>
      <c r="E3" t="s">
        <v>2</v>
      </c>
      <c r="F3" t="s">
        <v>1</v>
      </c>
      <c r="G3" t="s">
        <v>2</v>
      </c>
      <c r="H3" t="s">
        <v>1</v>
      </c>
      <c r="I3" t="s">
        <v>2</v>
      </c>
      <c r="J3" t="s">
        <v>1</v>
      </c>
      <c r="K3" t="s">
        <v>2</v>
      </c>
      <c r="L3" t="s">
        <v>1</v>
      </c>
      <c r="M3" t="s">
        <v>2</v>
      </c>
      <c r="N3" t="s">
        <v>1</v>
      </c>
      <c r="O3" t="s">
        <v>2</v>
      </c>
      <c r="P3" t="s">
        <v>1</v>
      </c>
      <c r="Q3" t="s">
        <v>2</v>
      </c>
      <c r="R3" t="s">
        <v>1</v>
      </c>
      <c r="S3" t="s">
        <v>2</v>
      </c>
      <c r="T3" t="s">
        <v>1</v>
      </c>
      <c r="U3" t="s">
        <v>2</v>
      </c>
      <c r="V3" t="s">
        <v>1</v>
      </c>
      <c r="W3" t="s">
        <v>2</v>
      </c>
      <c r="X3" t="s">
        <v>1</v>
      </c>
      <c r="Y3" t="s">
        <v>2</v>
      </c>
    </row>
    <row r="4" spans="1:25" x14ac:dyDescent="0.25">
      <c r="A4" t="s">
        <v>3</v>
      </c>
      <c r="B4" s="2">
        <f>100-SUM(B5:B22)</f>
        <v>6.7023401492482009</v>
      </c>
      <c r="C4" s="2"/>
      <c r="D4" s="2">
        <f>100-SUM(D5:D22)</f>
        <v>6.6499999999999915</v>
      </c>
      <c r="E4" s="2"/>
      <c r="F4" s="2">
        <f>100-SUM(F5:F22)</f>
        <v>4.3330000000000126</v>
      </c>
      <c r="G4" s="2"/>
      <c r="H4" s="2">
        <f>100-SUM(H5:H22)</f>
        <v>19.109999999999985</v>
      </c>
      <c r="N4" s="4">
        <f>IF(ISBLANK(B4),"",B4/100/INDEX('Human Density'!$A$2:$B$28,MATCH($A4,'Human Density'!$A$2:$A$28,0),2))</f>
        <v>7.3169652284369002E-2</v>
      </c>
      <c r="O4" s="4" t="str">
        <f>IF(ISBLANK(C4),"",C4/100/INDEX('Human Density'!$A$2:$B$28,MATCH($A4,'Human Density'!$A$2:$A$28,0),2))</f>
        <v/>
      </c>
      <c r="P4" s="4">
        <f>IF(ISBLANK(D4),"",D4/100/INDEX('Human Density'!$A$2:$B$28,MATCH($A4,'Human Density'!$A$2:$A$28,0),2))</f>
        <v>7.2598253275109076E-2</v>
      </c>
      <c r="Q4" s="4" t="str">
        <f>IF(ISBLANK(E4),"",E4/100/INDEX('Human Density'!$A$2:$B$28,MATCH($A4,'Human Density'!$A$2:$A$28,0),2))</f>
        <v/>
      </c>
      <c r="R4" s="4">
        <f>IF(ISBLANK(F4),"",F4/100/INDEX('Human Density'!$A$2:$B$28,MATCH($A4,'Human Density'!$A$2:$A$28,0),2))</f>
        <v>4.7303493449781797E-2</v>
      </c>
      <c r="S4" s="4" t="str">
        <f>IF(ISBLANK(G4),"",G4/100/INDEX('Human Density'!$A$2:$B$28,MATCH($A4,'Human Density'!$A$2:$A$28,0),2))</f>
        <v/>
      </c>
      <c r="T4" s="4">
        <f>IF(ISBLANK(H4),"",H4/100/INDEX('Human Density'!$A$2:$B$28,MATCH($A4,'Human Density'!$A$2:$A$28,0),2))</f>
        <v>0.20862445414847144</v>
      </c>
      <c r="U4" s="4" t="str">
        <f>IF(ISBLANK(I4),"",I4/100/INDEX('Human Density'!$A$2:$B$28,MATCH($A4,'Human Density'!$A$2:$A$28,0),2))</f>
        <v/>
      </c>
      <c r="V4">
        <f>120/2.5/1000</f>
        <v>4.8000000000000001E-2</v>
      </c>
      <c r="X4">
        <f>135/1000/5</f>
        <v>2.7000000000000003E-2</v>
      </c>
    </row>
    <row r="5" spans="1:25" x14ac:dyDescent="0.25">
      <c r="A5" t="s">
        <v>4</v>
      </c>
      <c r="B5" s="2">
        <v>4.8000000000000001E-2</v>
      </c>
      <c r="C5" s="2"/>
      <c r="D5" s="2">
        <v>1.9E-2</v>
      </c>
      <c r="E5" s="2">
        <v>6.9999999999999999E-4</v>
      </c>
      <c r="F5" s="2">
        <v>8.9999999999999993E-3</v>
      </c>
      <c r="G5" s="2">
        <v>4.0000000000000001E-3</v>
      </c>
      <c r="H5" s="2">
        <v>0.02</v>
      </c>
      <c r="N5" s="4">
        <f>IF(ISBLANK(B5),"",B5/100/INDEX('Human Density'!$A$2:$B$28,MATCH($A5,'Human Density'!$A$2:$A$28,0),2))</f>
        <v>4.6852122986822841E-4</v>
      </c>
      <c r="O5" s="4" t="str">
        <f>IF(ISBLANK(C5),"",C5/100/INDEX('Human Density'!$A$2:$B$28,MATCH($A5,'Human Density'!$A$2:$A$28,0),2))</f>
        <v/>
      </c>
      <c r="P5" s="4">
        <f>IF(ISBLANK(D5),"",D5/100/INDEX('Human Density'!$A$2:$B$28,MATCH($A5,'Human Density'!$A$2:$A$28,0),2))</f>
        <v>1.8545632015617373E-4</v>
      </c>
      <c r="Q5" s="4">
        <f>IF(ISBLANK(E5),"",E5/100/INDEX('Human Density'!$A$2:$B$28,MATCH($A5,'Human Density'!$A$2:$A$28,0),2))</f>
        <v>6.8326012689116645E-6</v>
      </c>
      <c r="R5" s="4">
        <f>IF(ISBLANK(F5),"",F5/100/INDEX('Human Density'!$A$2:$B$28,MATCH($A5,'Human Density'!$A$2:$A$28,0),2))</f>
        <v>8.7847730600292817E-5</v>
      </c>
      <c r="S5" s="4">
        <f>IF(ISBLANK(G5),"",G5/100/INDEX('Human Density'!$A$2:$B$28,MATCH($A5,'Human Density'!$A$2:$A$28,0),2))</f>
        <v>3.9043435822352374E-5</v>
      </c>
      <c r="T5" s="4">
        <f>IF(ISBLANK(H5),"",H5/100/INDEX('Human Density'!$A$2:$B$28,MATCH($A5,'Human Density'!$A$2:$A$28,0),2))</f>
        <v>1.9521717911176185E-4</v>
      </c>
      <c r="U5" s="4" t="str">
        <f>IF(ISBLANK(I5),"",I5/100/INDEX('Human Density'!$A$2:$B$28,MATCH($A5,'Human Density'!$A$2:$A$28,0),2))</f>
        <v/>
      </c>
      <c r="V5" s="4">
        <f>P5</f>
        <v>1.8545632015617373E-4</v>
      </c>
      <c r="X5" s="4">
        <f>T5</f>
        <v>1.9521717911176185E-4</v>
      </c>
    </row>
    <row r="6" spans="1:25" x14ac:dyDescent="0.25">
      <c r="A6" t="s">
        <v>5</v>
      </c>
      <c r="B6" s="2">
        <v>10.73</v>
      </c>
      <c r="C6" s="2">
        <v>0.53</v>
      </c>
      <c r="D6" s="2">
        <v>7.3</v>
      </c>
      <c r="E6" s="2"/>
      <c r="F6" s="2">
        <v>8.1</v>
      </c>
      <c r="G6" s="2"/>
      <c r="H6" s="2">
        <v>14.29</v>
      </c>
      <c r="N6" s="4">
        <f>IF(ISBLANK(B6),"",B6/100/INDEX('Human Density'!$A$2:$B$28,MATCH($A6,'Human Density'!$A$2:$A$28,0),2))</f>
        <v>5.429620126861949E-2</v>
      </c>
      <c r="O6" s="4">
        <f>IF(ISBLANK(C6),"",C6/100/INDEX('Human Density'!$A$2:$B$28,MATCH($A6,'Human Density'!$A$2:$A$28,0),2))</f>
        <v>2.6819186087948116E-3</v>
      </c>
      <c r="P6" s="4">
        <f>IF(ISBLANK(D6),"",D6/100/INDEX('Human Density'!$A$2:$B$28,MATCH($A6,'Human Density'!$A$2:$A$28,0),2))</f>
        <v>3.6939633668305896E-2</v>
      </c>
      <c r="Q6" s="4" t="str">
        <f>IF(ISBLANK(E6),"",E6/100/INDEX('Human Density'!$A$2:$B$28,MATCH($A6,'Human Density'!$A$2:$A$28,0),2))</f>
        <v/>
      </c>
      <c r="R6" s="4">
        <f>IF(ISBLANK(F6),"",F6/100/INDEX('Human Density'!$A$2:$B$28,MATCH($A6,'Human Density'!$A$2:$A$28,0),2))</f>
        <v>4.098781270044901E-2</v>
      </c>
      <c r="S6" s="4" t="str">
        <f>IF(ISBLANK(G6),"",G6/100/INDEX('Human Density'!$A$2:$B$28,MATCH($A6,'Human Density'!$A$2:$A$28,0),2))</f>
        <v/>
      </c>
      <c r="T6" s="4">
        <f>IF(ISBLANK(H6),"",H6/100/INDEX('Human Density'!$A$2:$B$28,MATCH($A6,'Human Density'!$A$2:$A$28,0),2))</f>
        <v>7.2310597961656342E-2</v>
      </c>
      <c r="U6" s="4" t="str">
        <f>IF(ISBLANK(I6),"",I6/100/INDEX('Human Density'!$A$2:$B$28,MATCH($A6,'Human Density'!$A$2:$A$28,0),2))</f>
        <v/>
      </c>
      <c r="V6">
        <v>3.6900000000000002E-2</v>
      </c>
      <c r="X6" s="4">
        <f>T6</f>
        <v>7.2310597961656342E-2</v>
      </c>
    </row>
    <row r="7" spans="1:25" x14ac:dyDescent="0.25">
      <c r="A7" t="s">
        <v>6</v>
      </c>
      <c r="B7" s="2">
        <v>1.65</v>
      </c>
      <c r="C7" s="2">
        <v>0.26</v>
      </c>
      <c r="D7" s="2">
        <v>0.56999999999999995</v>
      </c>
      <c r="E7" s="2">
        <v>0.14000000000000001</v>
      </c>
      <c r="F7" s="2">
        <v>0.78</v>
      </c>
      <c r="G7" s="2">
        <v>0.16</v>
      </c>
      <c r="H7" s="2">
        <v>2</v>
      </c>
      <c r="N7" s="4">
        <f>IF(ISBLANK(B7),"",B7/100/INDEX('Human Density'!$A$2:$B$28,MATCH($A7,'Human Density'!$A$2:$A$28,0),2))</f>
        <v>1.5934331240946405E-2</v>
      </c>
      <c r="O7" s="4">
        <f>IF(ISBLANK(C7),"",C7/100/INDEX('Human Density'!$A$2:$B$28,MATCH($A7,'Human Density'!$A$2:$A$28,0),2))</f>
        <v>2.5108643167551909E-3</v>
      </c>
      <c r="P7" s="4">
        <f>IF(ISBLANK(D7),"",D7/100/INDEX('Human Density'!$A$2:$B$28,MATCH($A7,'Human Density'!$A$2:$A$28,0),2))</f>
        <v>5.5045871559633031E-3</v>
      </c>
      <c r="Q7" s="4">
        <f>IF(ISBLANK(E7),"",E7/100/INDEX('Human Density'!$A$2:$B$28,MATCH($A7,'Human Density'!$A$2:$A$28,0),2))</f>
        <v>1.35200386286818E-3</v>
      </c>
      <c r="R7" s="4">
        <f>IF(ISBLANK(F7),"",F7/100/INDEX('Human Density'!$A$2:$B$28,MATCH($A7,'Human Density'!$A$2:$A$28,0),2))</f>
        <v>7.532592950265574E-3</v>
      </c>
      <c r="S7" s="4">
        <f>IF(ISBLANK(G7),"",G7/100/INDEX('Human Density'!$A$2:$B$28,MATCH($A7,'Human Density'!$A$2:$A$28,0),2))</f>
        <v>1.5451472718493483E-3</v>
      </c>
      <c r="T7" s="4">
        <f>IF(ISBLANK(H7),"",H7/100/INDEX('Human Density'!$A$2:$B$28,MATCH($A7,'Human Density'!$A$2:$A$28,0),2))</f>
        <v>1.9314340898116854E-2</v>
      </c>
      <c r="U7" s="4" t="str">
        <f>IF(ISBLANK(I7),"",I7/100/INDEX('Human Density'!$A$2:$B$28,MATCH($A7,'Human Density'!$A$2:$A$28,0),2))</f>
        <v/>
      </c>
      <c r="V7">
        <v>5.4999999999999997E-3</v>
      </c>
      <c r="X7" s="4">
        <f>T7</f>
        <v>1.9314340898116854E-2</v>
      </c>
    </row>
    <row r="8" spans="1:25" x14ac:dyDescent="0.25">
      <c r="A8" t="s">
        <v>7</v>
      </c>
      <c r="B8" s="2">
        <v>0.6</v>
      </c>
      <c r="C8" s="2"/>
      <c r="D8" s="2">
        <v>0.46</v>
      </c>
      <c r="E8" s="2">
        <v>0.06</v>
      </c>
      <c r="F8" s="2">
        <v>0.79</v>
      </c>
      <c r="G8" s="2">
        <v>0.15</v>
      </c>
      <c r="H8" s="2">
        <v>0.21</v>
      </c>
      <c r="N8" s="4">
        <f>IF(ISBLANK(B8),"",B8/100/INDEX('Human Density'!$A$2:$B$28,MATCH($A8,'Human Density'!$A$2:$A$28,0),2))</f>
        <v>5.7142857142857143E-3</v>
      </c>
      <c r="O8" s="4" t="str">
        <f>IF(ISBLANK(C8),"",C8/100/INDEX('Human Density'!$A$2:$B$28,MATCH($A8,'Human Density'!$A$2:$A$28,0),2))</f>
        <v/>
      </c>
      <c r="P8" s="4">
        <f>IF(ISBLANK(D8),"",D8/100/INDEX('Human Density'!$A$2:$B$28,MATCH($A8,'Human Density'!$A$2:$A$28,0),2))</f>
        <v>4.3809523809523803E-3</v>
      </c>
      <c r="Q8" s="4">
        <f>IF(ISBLANK(E8),"",E8/100/INDEX('Human Density'!$A$2:$B$28,MATCH($A8,'Human Density'!$A$2:$A$28,0),2))</f>
        <v>5.7142857142857136E-4</v>
      </c>
      <c r="R8" s="4">
        <f>IF(ISBLANK(F8),"",F8/100/INDEX('Human Density'!$A$2:$B$28,MATCH($A8,'Human Density'!$A$2:$A$28,0),2))</f>
        <v>7.5238095238095246E-3</v>
      </c>
      <c r="S8" s="4">
        <f>IF(ISBLANK(G8),"",G8/100/INDEX('Human Density'!$A$2:$B$28,MATCH($A8,'Human Density'!$A$2:$A$28,0),2))</f>
        <v>1.4285714285714286E-3</v>
      </c>
      <c r="T8" s="4">
        <f>IF(ISBLANK(H8),"",H8/100/INDEX('Human Density'!$A$2:$B$28,MATCH($A8,'Human Density'!$A$2:$A$28,0),2))</f>
        <v>1.9999999999999996E-3</v>
      </c>
      <c r="U8" s="4" t="str">
        <f>IF(ISBLANK(I8),"",I8/100/INDEX('Human Density'!$A$2:$B$28,MATCH($A8,'Human Density'!$A$2:$A$28,0),2))</f>
        <v/>
      </c>
      <c r="V8">
        <f>0.048/3</f>
        <v>1.6E-2</v>
      </c>
      <c r="X8">
        <f>230/3/1000/5</f>
        <v>1.5333333333333334E-2</v>
      </c>
    </row>
    <row r="9" spans="1:25" x14ac:dyDescent="0.25">
      <c r="A9" t="s">
        <v>69</v>
      </c>
      <c r="B9" s="2">
        <v>2.5299999999999998</v>
      </c>
      <c r="C9" s="2"/>
      <c r="D9" s="2">
        <v>1.4</v>
      </c>
      <c r="E9" s="2">
        <v>0.39</v>
      </c>
      <c r="F9" s="2">
        <v>2.2200000000000002</v>
      </c>
      <c r="G9" s="2">
        <v>0.68</v>
      </c>
      <c r="H9" s="2">
        <v>0.91</v>
      </c>
      <c r="N9" s="4">
        <f>IF(ISBLANK(B9),"",B9/100/INDEX('Human Density'!$A$2:$B$28,MATCH($A9,'Human Density'!$A$2:$A$28,0),2))</f>
        <v>2.4233716475095785E-2</v>
      </c>
      <c r="O9" s="4" t="str">
        <f>IF(ISBLANK(C9),"",C9/100/INDEX('Human Density'!$A$2:$B$28,MATCH($A9,'Human Density'!$A$2:$A$28,0),2))</f>
        <v/>
      </c>
      <c r="P9" s="4">
        <f>IF(ISBLANK(D9),"",D9/100/INDEX('Human Density'!$A$2:$B$28,MATCH($A9,'Human Density'!$A$2:$A$28,0),2))</f>
        <v>1.3409961685823753E-2</v>
      </c>
      <c r="Q9" s="4">
        <f>IF(ISBLANK(E9),"",E9/100/INDEX('Human Density'!$A$2:$B$28,MATCH($A9,'Human Density'!$A$2:$A$28,0),2))</f>
        <v>3.7356321839080459E-3</v>
      </c>
      <c r="R9" s="4">
        <f>IF(ISBLANK(F9),"",F9/100/INDEX('Human Density'!$A$2:$B$28,MATCH($A9,'Human Density'!$A$2:$A$28,0),2))</f>
        <v>2.1264367816091954E-2</v>
      </c>
      <c r="S9" s="4">
        <f>IF(ISBLANK(G9),"",G9/100/INDEX('Human Density'!$A$2:$B$28,MATCH($A9,'Human Density'!$A$2:$A$28,0),2))</f>
        <v>6.5134099616858242E-3</v>
      </c>
      <c r="T9" s="4">
        <f>IF(ISBLANK(H9),"",H9/100/INDEX('Human Density'!$A$2:$B$28,MATCH($A9,'Human Density'!$A$2:$A$28,0),2))</f>
        <v>8.7164750957854399E-3</v>
      </c>
      <c r="U9" s="4" t="str">
        <f>IF(ISBLANK(I9),"",I9/100/INDEX('Human Density'!$A$2:$B$28,MATCH($A9,'Human Density'!$A$2:$A$28,0),2))</f>
        <v/>
      </c>
      <c r="V9">
        <f>0.048/3</f>
        <v>1.6E-2</v>
      </c>
      <c r="X9">
        <f t="shared" ref="X9:X10" si="0">230/3/1000/5</f>
        <v>1.5333333333333334E-2</v>
      </c>
    </row>
    <row r="10" spans="1:25" x14ac:dyDescent="0.25">
      <c r="A10" t="s">
        <v>24</v>
      </c>
      <c r="B10" s="2">
        <v>1.0900000000000001</v>
      </c>
      <c r="C10" s="2"/>
      <c r="D10" s="2">
        <v>0.84</v>
      </c>
      <c r="E10" s="2">
        <v>0.04</v>
      </c>
      <c r="F10" s="2">
        <v>0.67</v>
      </c>
      <c r="G10" s="2">
        <v>0.03</v>
      </c>
      <c r="H10" s="2">
        <v>0.53</v>
      </c>
      <c r="N10" s="4">
        <f>IF(ISBLANK(B10),"",B10/100/INDEX('Human Density'!$A$2:$B$28,MATCH($A10,'Human Density'!$A$2:$A$28,0),2))</f>
        <v>1.0460652591170825E-2</v>
      </c>
      <c r="O10" s="4" t="str">
        <f>IF(ISBLANK(C10),"",C10/100/INDEX('Human Density'!$A$2:$B$28,MATCH($A10,'Human Density'!$A$2:$A$28,0),2))</f>
        <v/>
      </c>
      <c r="P10" s="4">
        <f>IF(ISBLANK(D10),"",D10/100/INDEX('Human Density'!$A$2:$B$28,MATCH($A10,'Human Density'!$A$2:$A$28,0),2))</f>
        <v>8.0614203454894423E-3</v>
      </c>
      <c r="Q10" s="4">
        <f>IF(ISBLANK(E10),"",E10/100/INDEX('Human Density'!$A$2:$B$28,MATCH($A10,'Human Density'!$A$2:$A$28,0),2))</f>
        <v>3.8387715930902113E-4</v>
      </c>
      <c r="R10" s="4">
        <f>IF(ISBLANK(F10),"",F10/100/INDEX('Human Density'!$A$2:$B$28,MATCH($A10,'Human Density'!$A$2:$A$28,0),2))</f>
        <v>6.4299424184261038E-3</v>
      </c>
      <c r="S10" s="4">
        <f>IF(ISBLANK(G10),"",G10/100/INDEX('Human Density'!$A$2:$B$28,MATCH($A10,'Human Density'!$A$2:$A$28,0),2))</f>
        <v>2.8790786948176578E-4</v>
      </c>
      <c r="T10" s="4">
        <f>IF(ISBLANK(H10),"",H10/100/INDEX('Human Density'!$A$2:$B$28,MATCH($A10,'Human Density'!$A$2:$A$28,0),2))</f>
        <v>5.0863723608445292E-3</v>
      </c>
      <c r="U10" s="4" t="str">
        <f>IF(ISBLANK(I10),"",I10/100/INDEX('Human Density'!$A$2:$B$28,MATCH($A10,'Human Density'!$A$2:$A$28,0),2))</f>
        <v/>
      </c>
      <c r="V10">
        <f>0.048/3</f>
        <v>1.6E-2</v>
      </c>
      <c r="X10">
        <f t="shared" si="0"/>
        <v>1.5333333333333334E-2</v>
      </c>
    </row>
    <row r="11" spans="1:25" x14ac:dyDescent="0.25">
      <c r="A11" t="s">
        <v>8</v>
      </c>
      <c r="B11" s="2">
        <v>0.5</v>
      </c>
      <c r="C11" s="2">
        <v>7.0000000000000007E-2</v>
      </c>
      <c r="D11" s="2">
        <v>0.33</v>
      </c>
      <c r="E11" s="2">
        <v>0.04</v>
      </c>
      <c r="F11" s="2">
        <v>0.78</v>
      </c>
      <c r="G11" s="2">
        <v>0.06</v>
      </c>
      <c r="H11" s="2">
        <v>0.47</v>
      </c>
      <c r="N11" s="4">
        <f>IF(ISBLANK(B11),"",B11/100/INDEX('Human Density'!$A$2:$B$28,MATCH($A11,'Human Density'!$A$2:$A$28,0),2))</f>
        <v>4.8543689320388345E-3</v>
      </c>
      <c r="O11" s="4">
        <f>IF(ISBLANK(C11),"",C11/100/INDEX('Human Density'!$A$2:$B$28,MATCH($A11,'Human Density'!$A$2:$A$28,0),2))</f>
        <v>6.7961165048543699E-4</v>
      </c>
      <c r="P11" s="4">
        <f>IF(ISBLANK(D11),"",D11/100/INDEX('Human Density'!$A$2:$B$28,MATCH($A11,'Human Density'!$A$2:$A$28,0),2))</f>
        <v>3.2038834951456309E-3</v>
      </c>
      <c r="Q11" s="4">
        <f>IF(ISBLANK(E11),"",E11/100/INDEX('Human Density'!$A$2:$B$28,MATCH($A11,'Human Density'!$A$2:$A$28,0),2))</f>
        <v>3.8834951456310682E-4</v>
      </c>
      <c r="R11" s="4">
        <f>IF(ISBLANK(F11),"",F11/100/INDEX('Human Density'!$A$2:$B$28,MATCH($A11,'Human Density'!$A$2:$A$28,0),2))</f>
        <v>7.5728155339805829E-3</v>
      </c>
      <c r="S11" s="4">
        <f>IF(ISBLANK(G11),"",G11/100/INDEX('Human Density'!$A$2:$B$28,MATCH($A11,'Human Density'!$A$2:$A$28,0),2))</f>
        <v>5.8252427184466013E-4</v>
      </c>
      <c r="T11" s="4">
        <f>IF(ISBLANK(H11),"",H11/100/INDEX('Human Density'!$A$2:$B$28,MATCH($A11,'Human Density'!$A$2:$A$28,0),2))</f>
        <v>4.5631067961165043E-3</v>
      </c>
      <c r="U11" s="4" t="str">
        <f>IF(ISBLANK(I11),"",I11/100/INDEX('Human Density'!$A$2:$B$28,MATCH($A11,'Human Density'!$A$2:$A$28,0),2))</f>
        <v/>
      </c>
      <c r="V11">
        <v>2.3999999999999998E-3</v>
      </c>
      <c r="X11">
        <f>17/1000/5</f>
        <v>3.4000000000000002E-3</v>
      </c>
    </row>
    <row r="12" spans="1:25" x14ac:dyDescent="0.25">
      <c r="A12" t="s">
        <v>38</v>
      </c>
      <c r="B12" s="2">
        <v>1.67</v>
      </c>
      <c r="C12" s="2">
        <v>0.17</v>
      </c>
      <c r="D12" s="2">
        <v>0.73</v>
      </c>
      <c r="E12" s="2">
        <v>0.11</v>
      </c>
      <c r="F12" s="2">
        <v>0.55000000000000004</v>
      </c>
      <c r="G12" s="2">
        <v>7.0000000000000007E-2</v>
      </c>
      <c r="H12" s="2">
        <v>0.44</v>
      </c>
      <c r="N12" s="4">
        <f>IF(ISBLANK(B12),"",B12/100/INDEX('Human Density'!$A$2:$B$28,MATCH($A12,'Human Density'!$A$2:$A$28,0),2))</f>
        <v>1.5904761904761904E-2</v>
      </c>
      <c r="O12" s="4">
        <f>IF(ISBLANK(C12),"",C12/100/INDEX('Human Density'!$A$2:$B$28,MATCH($A12,'Human Density'!$A$2:$A$28,0),2))</f>
        <v>1.6190476190476191E-3</v>
      </c>
      <c r="P12" s="4">
        <f>IF(ISBLANK(D12),"",D12/100/INDEX('Human Density'!$A$2:$B$28,MATCH($A12,'Human Density'!$A$2:$A$28,0),2))</f>
        <v>6.9523809523809521E-3</v>
      </c>
      <c r="Q12" s="4">
        <f>IF(ISBLANK(E12),"",E12/100/INDEX('Human Density'!$A$2:$B$28,MATCH($A12,'Human Density'!$A$2:$A$28,0),2))</f>
        <v>1.0476190476190477E-3</v>
      </c>
      <c r="R12" s="4">
        <f>IF(ISBLANK(F12),"",F12/100/INDEX('Human Density'!$A$2:$B$28,MATCH($A12,'Human Density'!$A$2:$A$28,0),2))</f>
        <v>5.2380952380952387E-3</v>
      </c>
      <c r="S12" s="4">
        <f>IF(ISBLANK(G12),"",G12/100/INDEX('Human Density'!$A$2:$B$28,MATCH($A12,'Human Density'!$A$2:$A$28,0),2))</f>
        <v>6.6666666666666675E-4</v>
      </c>
      <c r="T12" s="4">
        <f>IF(ISBLANK(H12),"",H12/100/INDEX('Human Density'!$A$2:$B$28,MATCH($A12,'Human Density'!$A$2:$A$28,0),2))</f>
        <v>4.1904761904761906E-3</v>
      </c>
      <c r="U12" s="4" t="str">
        <f>IF(ISBLANK(I12),"",I12/100/INDEX('Human Density'!$A$2:$B$28,MATCH($A12,'Human Density'!$A$2:$A$28,0),2))</f>
        <v/>
      </c>
      <c r="V12">
        <v>6.0000000000000001E-3</v>
      </c>
      <c r="X12">
        <f>30/1000/5</f>
        <v>6.0000000000000001E-3</v>
      </c>
    </row>
    <row r="13" spans="1:25" x14ac:dyDescent="0.25">
      <c r="A13" t="s">
        <v>10</v>
      </c>
      <c r="B13" s="2">
        <v>5.49</v>
      </c>
      <c r="C13" s="2">
        <v>1.32</v>
      </c>
      <c r="D13" s="2">
        <v>3.66</v>
      </c>
      <c r="E13" s="2">
        <v>0.65</v>
      </c>
      <c r="F13" s="2">
        <v>3.29</v>
      </c>
      <c r="G13" s="2">
        <v>0.24</v>
      </c>
      <c r="H13" s="2">
        <v>2.57</v>
      </c>
      <c r="N13" s="4">
        <f>IF(ISBLANK(B13),"",B13/100/INDEX('Human Density'!$A$2:$B$28,MATCH($A13,'Human Density'!$A$2:$A$28,0),2))</f>
        <v>5.228571428571429E-2</v>
      </c>
      <c r="O13" s="4">
        <f>IF(ISBLANK(C13),"",C13/100/INDEX('Human Density'!$A$2:$B$28,MATCH($A13,'Human Density'!$A$2:$A$28,0),2))</f>
        <v>1.257142857142857E-2</v>
      </c>
      <c r="P13" s="4">
        <f>IF(ISBLANK(D13),"",D13/100/INDEX('Human Density'!$A$2:$B$28,MATCH($A13,'Human Density'!$A$2:$A$28,0),2))</f>
        <v>3.4857142857142857E-2</v>
      </c>
      <c r="Q13" s="4">
        <f>IF(ISBLANK(E13),"",E13/100/INDEX('Human Density'!$A$2:$B$28,MATCH($A13,'Human Density'!$A$2:$A$28,0),2))</f>
        <v>6.1904761904761907E-3</v>
      </c>
      <c r="R13" s="4">
        <f>IF(ISBLANK(F13),"",F13/100/INDEX('Human Density'!$A$2:$B$28,MATCH($A13,'Human Density'!$A$2:$A$28,0),2))</f>
        <v>3.1333333333333331E-2</v>
      </c>
      <c r="S13" s="4">
        <f>IF(ISBLANK(G13),"",G13/100/INDEX('Human Density'!$A$2:$B$28,MATCH($A13,'Human Density'!$A$2:$A$28,0),2))</f>
        <v>2.2857142857142855E-3</v>
      </c>
      <c r="T13" s="4">
        <f>IF(ISBLANK(H13),"",H13/100/INDEX('Human Density'!$A$2:$B$28,MATCH($A13,'Human Density'!$A$2:$A$28,0),2))</f>
        <v>2.4476190476190471E-2</v>
      </c>
      <c r="U13" s="4" t="str">
        <f>IF(ISBLANK(I13),"",I13/100/INDEX('Human Density'!$A$2:$B$28,MATCH($A13,'Human Density'!$A$2:$A$28,0),2))</f>
        <v/>
      </c>
      <c r="V13">
        <v>0.04</v>
      </c>
      <c r="X13">
        <f>135/1000/5</f>
        <v>2.7000000000000003E-2</v>
      </c>
    </row>
    <row r="14" spans="1:25" x14ac:dyDescent="0.25">
      <c r="A14" t="s">
        <v>37</v>
      </c>
      <c r="B14" s="2">
        <v>0.73</v>
      </c>
      <c r="C14" s="2">
        <v>0.08</v>
      </c>
      <c r="D14" s="2">
        <v>0.5</v>
      </c>
      <c r="E14" s="2">
        <v>0.09</v>
      </c>
      <c r="F14" s="2">
        <v>0.82</v>
      </c>
      <c r="G14" s="2">
        <v>0.13</v>
      </c>
      <c r="H14" s="2">
        <v>0.76</v>
      </c>
      <c r="N14" s="4">
        <f>IF(ISBLANK(B14),"",B14/100/INDEX('Human Density'!$A$2:$B$28,MATCH($A14,'Human Density'!$A$2:$A$28,0),2))</f>
        <v>6.9490718705378391E-3</v>
      </c>
      <c r="O14" s="4">
        <f>IF(ISBLANK(C14),"",C14/100/INDEX('Human Density'!$A$2:$B$28,MATCH($A14,'Human Density'!$A$2:$A$28,0),2))</f>
        <v>7.6154212279866732E-4</v>
      </c>
      <c r="P14" s="4">
        <f>IF(ISBLANK(D14),"",D14/100/INDEX('Human Density'!$A$2:$B$28,MATCH($A14,'Human Density'!$A$2:$A$28,0),2))</f>
        <v>4.7596382674916704E-3</v>
      </c>
      <c r="Q14" s="4">
        <f>IF(ISBLANK(E14),"",E14/100/INDEX('Human Density'!$A$2:$B$28,MATCH($A14,'Human Density'!$A$2:$A$28,0),2))</f>
        <v>8.5673488814850065E-4</v>
      </c>
      <c r="R14" s="4">
        <f>IF(ISBLANK(F14),"",F14/100/INDEX('Human Density'!$A$2:$B$28,MATCH($A14,'Human Density'!$A$2:$A$28,0),2))</f>
        <v>7.8058067586863388E-3</v>
      </c>
      <c r="S14" s="4">
        <f>IF(ISBLANK(G14),"",G14/100/INDEX('Human Density'!$A$2:$B$28,MATCH($A14,'Human Density'!$A$2:$A$28,0),2))</f>
        <v>1.2375059495478343E-3</v>
      </c>
      <c r="T14" s="4">
        <f>IF(ISBLANK(H14),"",H14/100/INDEX('Human Density'!$A$2:$B$28,MATCH($A14,'Human Density'!$A$2:$A$28,0),2))</f>
        <v>7.234650166587339E-3</v>
      </c>
      <c r="U14" s="4" t="str">
        <f>IF(ISBLANK(I14),"",I14/100/INDEX('Human Density'!$A$2:$B$28,MATCH($A14,'Human Density'!$A$2:$A$28,0),2))</f>
        <v/>
      </c>
      <c r="V14">
        <v>6.7999999999999996E-3</v>
      </c>
      <c r="X14" s="4">
        <f>T14</f>
        <v>7.234650166587339E-3</v>
      </c>
    </row>
    <row r="15" spans="1:25" x14ac:dyDescent="0.25">
      <c r="A15" t="s">
        <v>11</v>
      </c>
      <c r="B15" s="2">
        <v>38.4</v>
      </c>
      <c r="C15" s="2">
        <v>1.81</v>
      </c>
      <c r="D15" s="2">
        <v>40.43</v>
      </c>
      <c r="E15" s="2">
        <v>7.17</v>
      </c>
      <c r="F15" s="2">
        <v>45.65</v>
      </c>
      <c r="G15" s="2">
        <v>5.54</v>
      </c>
      <c r="H15" s="2">
        <v>40</v>
      </c>
      <c r="N15" s="4">
        <f>IF(ISBLANK(B15),"",B15/100/INDEX('Human Density'!$A$2:$B$28,MATCH($A15,'Human Density'!$A$2:$A$28,0),2))</f>
        <v>0.36887608069164268</v>
      </c>
      <c r="O15" s="4">
        <f>IF(ISBLANK(C15),"",C15/100/INDEX('Human Density'!$A$2:$B$28,MATCH($A15,'Human Density'!$A$2:$A$28,0),2))</f>
        <v>1.7387127761767533E-2</v>
      </c>
      <c r="P15" s="4">
        <f>IF(ISBLANK(D15),"",D15/100/INDEX('Human Density'!$A$2:$B$28,MATCH($A15,'Human Density'!$A$2:$A$28,0),2))</f>
        <v>0.38837656099903939</v>
      </c>
      <c r="Q15" s="4">
        <f>IF(ISBLANK(E15),"",E15/100/INDEX('Human Density'!$A$2:$B$28,MATCH($A15,'Human Density'!$A$2:$A$28,0),2))</f>
        <v>6.8876080691642652E-2</v>
      </c>
      <c r="R15" s="4">
        <f>IF(ISBLANK(F15),"",F15/100/INDEX('Human Density'!$A$2:$B$28,MATCH($A15,'Human Density'!$A$2:$A$28,0),2))</f>
        <v>0.43852065321805955</v>
      </c>
      <c r="S15" s="4">
        <f>IF(ISBLANK(G15),"",G15/100/INDEX('Human Density'!$A$2:$B$28,MATCH($A15,'Human Density'!$A$2:$A$28,0),2))</f>
        <v>5.3218059558117196E-2</v>
      </c>
      <c r="T15" s="4">
        <f>IF(ISBLANK(H15),"",H15/100/INDEX('Human Density'!$A$2:$B$28,MATCH($A15,'Human Density'!$A$2:$A$28,0),2))</f>
        <v>0.38424591738712782</v>
      </c>
      <c r="U15" s="4" t="str">
        <f>IF(ISBLANK(I15),"",I15/100/INDEX('Human Density'!$A$2:$B$28,MATCH($A15,'Human Density'!$A$2:$A$28,0),2))</f>
        <v/>
      </c>
      <c r="V15">
        <v>0.54</v>
      </c>
      <c r="X15">
        <f>2500/1000/5</f>
        <v>0.5</v>
      </c>
    </row>
    <row r="16" spans="1:25" x14ac:dyDescent="0.25">
      <c r="A16" t="s">
        <v>12</v>
      </c>
      <c r="B16" s="2">
        <f>AVERAGE(D16/D$21,H16/H$21)*B$21</f>
        <v>0.1109128523403155</v>
      </c>
      <c r="C16" s="2"/>
      <c r="D16" s="2">
        <v>0.32</v>
      </c>
      <c r="E16" s="2">
        <v>7.0000000000000007E-2</v>
      </c>
      <c r="F16" s="2">
        <v>0.23</v>
      </c>
      <c r="G16" s="2">
        <v>0.06</v>
      </c>
      <c r="H16" s="2">
        <v>0.14000000000000001</v>
      </c>
      <c r="N16" s="4">
        <f>IF(ISBLANK(B16),"",B16/100/INDEX('Human Density'!$A$2:$B$28,MATCH($A16,'Human Density'!$A$2:$A$28,0),2))</f>
        <v>1.0613670080412967E-3</v>
      </c>
      <c r="O16" s="4" t="str">
        <f>IF(ISBLANK(C16),"",C16/100/INDEX('Human Density'!$A$2:$B$28,MATCH($A16,'Human Density'!$A$2:$A$28,0),2))</f>
        <v/>
      </c>
      <c r="P16" s="4">
        <f>IF(ISBLANK(D16),"",D16/100/INDEX('Human Density'!$A$2:$B$28,MATCH($A16,'Human Density'!$A$2:$A$28,0),2))</f>
        <v>3.0622009569377996E-3</v>
      </c>
      <c r="Q16" s="4">
        <f>IF(ISBLANK(E16),"",E16/100/INDEX('Human Density'!$A$2:$B$28,MATCH($A16,'Human Density'!$A$2:$A$28,0),2))</f>
        <v>6.6985645933014372E-4</v>
      </c>
      <c r="R16" s="4">
        <f>IF(ISBLANK(F16),"",F16/100/INDEX('Human Density'!$A$2:$B$28,MATCH($A16,'Human Density'!$A$2:$A$28,0),2))</f>
        <v>2.2009569377990433E-3</v>
      </c>
      <c r="S16" s="4">
        <f>IF(ISBLANK(G16),"",G16/100/INDEX('Human Density'!$A$2:$B$28,MATCH($A16,'Human Density'!$A$2:$A$28,0),2))</f>
        <v>5.7416267942583734E-4</v>
      </c>
      <c r="T16" s="4">
        <f>IF(ISBLANK(H16),"",H16/100/INDEX('Human Density'!$A$2:$B$28,MATCH($A16,'Human Density'!$A$2:$A$28,0),2))</f>
        <v>1.3397129186602874E-3</v>
      </c>
      <c r="U16" s="4" t="str">
        <f>IF(ISBLANK(I16),"",I16/100/INDEX('Human Density'!$A$2:$B$28,MATCH($A16,'Human Density'!$A$2:$A$28,0),2))</f>
        <v/>
      </c>
      <c r="V16" s="4">
        <f>P16</f>
        <v>3.0622009569377996E-3</v>
      </c>
      <c r="X16" s="4">
        <f>T16</f>
        <v>1.3397129186602874E-3</v>
      </c>
    </row>
    <row r="17" spans="1:24" x14ac:dyDescent="0.25">
      <c r="A17" t="s">
        <v>13</v>
      </c>
      <c r="B17" s="2">
        <v>16.53</v>
      </c>
      <c r="C17" s="2">
        <v>3.39</v>
      </c>
      <c r="D17" s="2">
        <v>19.03</v>
      </c>
      <c r="E17" s="2">
        <v>2.62</v>
      </c>
      <c r="F17" s="2">
        <v>19</v>
      </c>
      <c r="G17" s="2"/>
      <c r="H17" s="2">
        <v>3.71</v>
      </c>
      <c r="N17" s="4">
        <f>IF(ISBLANK(B17),"",B17/100/INDEX('Human Density'!$A$2:$B$28,MATCH($A17,'Human Density'!$A$2:$A$28,0),2))</f>
        <v>0.14794527904198049</v>
      </c>
      <c r="O17" s="4">
        <f>IF(ISBLANK(C17),"",C17/100/INDEX('Human Density'!$A$2:$B$28,MATCH($A17,'Human Density'!$A$2:$A$28,0),2))</f>
        <v>3.0340864848899807E-2</v>
      </c>
      <c r="P17" s="4">
        <f>IF(ISBLANK(D17),"",D17/100/INDEX('Human Density'!$A$2:$B$28,MATCH($A17,'Human Density'!$A$2:$A$28,0),2))</f>
        <v>0.17032054810459099</v>
      </c>
      <c r="Q17" s="4">
        <f>IF(ISBLANK(E17),"",E17/100/INDEX('Human Density'!$A$2:$B$28,MATCH($A17,'Human Density'!$A$2:$A$28,0),2))</f>
        <v>2.3449281977615782E-2</v>
      </c>
      <c r="R17" s="4">
        <f>IF(ISBLANK(F17),"",F17/100/INDEX('Human Density'!$A$2:$B$28,MATCH($A17,'Human Density'!$A$2:$A$28,0),2))</f>
        <v>0.17005204487583964</v>
      </c>
      <c r="S17" s="4" t="str">
        <f>IF(ISBLANK(G17),"",G17/100/INDEX('Human Density'!$A$2:$B$28,MATCH($A17,'Human Density'!$A$2:$A$28,0),2))</f>
        <v/>
      </c>
      <c r="T17" s="4">
        <f>IF(ISBLANK(H17),"",H17/100/INDEX('Human Density'!$A$2:$B$28,MATCH($A17,'Human Density'!$A$2:$A$28,0),2))</f>
        <v>3.3204899288913951E-2</v>
      </c>
      <c r="U17" s="4" t="str">
        <f>IF(ISBLANK(I17),"",I17/100/INDEX('Human Density'!$A$2:$B$28,MATCH($A17,'Human Density'!$A$2:$A$28,0),2))</f>
        <v/>
      </c>
      <c r="V17">
        <v>4.3999999999999997E-2</v>
      </c>
      <c r="X17">
        <f>500/1000/5</f>
        <v>0.1</v>
      </c>
    </row>
    <row r="18" spans="1:24" x14ac:dyDescent="0.25">
      <c r="A18" t="s">
        <v>14</v>
      </c>
      <c r="B18" s="2">
        <f>AVERAGE(D18/D$21,H18/H$21)*B$21</f>
        <v>0.11039196128412575</v>
      </c>
      <c r="C18" s="2">
        <v>0.16</v>
      </c>
      <c r="D18" s="2">
        <v>0.2</v>
      </c>
      <c r="E18" s="2">
        <v>0.05</v>
      </c>
      <c r="F18" s="2">
        <v>0.27</v>
      </c>
      <c r="G18" s="2">
        <v>0.06</v>
      </c>
      <c r="H18" s="2">
        <v>0.26</v>
      </c>
      <c r="N18" s="4">
        <f>IF(ISBLANK(B18),"",B18/100/INDEX('Human Density'!$A$2:$B$28,MATCH($A18,'Human Density'!$A$2:$A$28,0),2))</f>
        <v>1.0473620615192194E-3</v>
      </c>
      <c r="O18" s="4">
        <f>IF(ISBLANK(C18),"",C18/100/INDEX('Human Density'!$A$2:$B$28,MATCH($A18,'Human Density'!$A$2:$A$28,0),2))</f>
        <v>1.5180265654648956E-3</v>
      </c>
      <c r="P18" s="4">
        <f>IF(ISBLANK(D18),"",D18/100/INDEX('Human Density'!$A$2:$B$28,MATCH($A18,'Human Density'!$A$2:$A$28,0),2))</f>
        <v>1.8975332068311196E-3</v>
      </c>
      <c r="Q18" s="4">
        <f>IF(ISBLANK(E18),"",E18/100/INDEX('Human Density'!$A$2:$B$28,MATCH($A18,'Human Density'!$A$2:$A$28,0),2))</f>
        <v>4.743833017077799E-4</v>
      </c>
      <c r="R18" s="4">
        <f>IF(ISBLANK(F18),"",F18/100/INDEX('Human Density'!$A$2:$B$28,MATCH($A18,'Human Density'!$A$2:$A$28,0),2))</f>
        <v>2.5616698292220113E-3</v>
      </c>
      <c r="S18" s="4">
        <f>IF(ISBLANK(G18),"",G18/100/INDEX('Human Density'!$A$2:$B$28,MATCH($A18,'Human Density'!$A$2:$A$28,0),2))</f>
        <v>5.6925996204933583E-4</v>
      </c>
      <c r="T18" s="4">
        <f>IF(ISBLANK(H18),"",H18/100/INDEX('Human Density'!$A$2:$B$28,MATCH($A18,'Human Density'!$A$2:$A$28,0),2))</f>
        <v>2.4667931688804553E-3</v>
      </c>
      <c r="U18" s="4" t="str">
        <f>IF(ISBLANK(I18),"",I18/100/INDEX('Human Density'!$A$2:$B$28,MATCH($A18,'Human Density'!$A$2:$A$28,0),2))</f>
        <v/>
      </c>
      <c r="V18">
        <v>4.0000000000000002E-4</v>
      </c>
      <c r="X18" s="4">
        <f>T18</f>
        <v>2.4667931688804553E-3</v>
      </c>
    </row>
    <row r="19" spans="1:24" x14ac:dyDescent="0.25">
      <c r="A19" t="s">
        <v>15</v>
      </c>
      <c r="B19" s="2">
        <f>AVERAGE(D19/D$21,H19/H$21)*B$21</f>
        <v>8.3550371273412374E-3</v>
      </c>
      <c r="C19" s="2"/>
      <c r="D19" s="2">
        <v>5.0000000000000001E-3</v>
      </c>
      <c r="E19" s="2">
        <v>2E-3</v>
      </c>
      <c r="F19" s="2">
        <v>8.0000000000000002E-3</v>
      </c>
      <c r="G19" s="2">
        <v>5.0000000000000001E-4</v>
      </c>
      <c r="H19" s="2">
        <v>0.03</v>
      </c>
      <c r="N19" s="4">
        <f>IF(ISBLANK(B19),"",B19/100/INDEX('Human Density'!$A$2:$B$28,MATCH($A19,'Human Density'!$A$2:$A$28,0),2))</f>
        <v>7.949607162075391E-5</v>
      </c>
      <c r="O19" s="4" t="str">
        <f>IF(ISBLANK(C19),"",C19/100/INDEX('Human Density'!$A$2:$B$28,MATCH($A19,'Human Density'!$A$2:$A$28,0),2))</f>
        <v/>
      </c>
      <c r="P19" s="4">
        <f>IF(ISBLANK(D19),"",D19/100/INDEX('Human Density'!$A$2:$B$28,MATCH($A19,'Human Density'!$A$2:$A$28,0),2))</f>
        <v>4.7573739295908651E-5</v>
      </c>
      <c r="Q19" s="4">
        <f>IF(ISBLANK(E19),"",E19/100/INDEX('Human Density'!$A$2:$B$28,MATCH($A19,'Human Density'!$A$2:$A$28,0),2))</f>
        <v>1.9029495718363463E-5</v>
      </c>
      <c r="R19" s="4">
        <f>IF(ISBLANK(F19),"",F19/100/INDEX('Human Density'!$A$2:$B$28,MATCH($A19,'Human Density'!$A$2:$A$28,0),2))</f>
        <v>7.6117982873453852E-5</v>
      </c>
      <c r="S19" s="4">
        <f>IF(ISBLANK(G19),"",G19/100/INDEX('Human Density'!$A$2:$B$28,MATCH($A19,'Human Density'!$A$2:$A$28,0),2))</f>
        <v>4.7573739295908658E-6</v>
      </c>
      <c r="T19" s="4">
        <f>IF(ISBLANK(H19),"",H19/100/INDEX('Human Density'!$A$2:$B$28,MATCH($A19,'Human Density'!$A$2:$A$28,0),2))</f>
        <v>2.8544243577545187E-4</v>
      </c>
      <c r="U19" s="4" t="str">
        <f>IF(ISBLANK(I19),"",I19/100/INDEX('Human Density'!$A$2:$B$28,MATCH($A19,'Human Density'!$A$2:$A$28,0),2))</f>
        <v/>
      </c>
      <c r="V19" s="4">
        <f>P19</f>
        <v>4.7573739295908651E-5</v>
      </c>
      <c r="X19" s="4">
        <f t="shared" ref="X19:X23" si="1">T19</f>
        <v>2.8544243577545187E-4</v>
      </c>
    </row>
    <row r="20" spans="1:24" x14ac:dyDescent="0.25">
      <c r="A20" t="s">
        <v>29</v>
      </c>
      <c r="B20" s="2">
        <v>4.9000000000000004</v>
      </c>
      <c r="C20" s="2"/>
      <c r="D20" s="2">
        <v>7.4</v>
      </c>
      <c r="E20" s="2"/>
      <c r="F20" s="2">
        <v>8.1999999999999993</v>
      </c>
      <c r="G20" s="2"/>
      <c r="H20" s="2">
        <v>7.9</v>
      </c>
      <c r="N20" s="4">
        <f>IF(ISBLANK(B20),"",B20/100/INDEX('Human Density'!$A$2:$B$28,MATCH($A20,'Human Density'!$A$2:$A$28,0),2))</f>
        <v>4.3555555555555556E-2</v>
      </c>
      <c r="O20" s="4" t="str">
        <f>IF(ISBLANK(C20),"",C20/100/INDEX('Human Density'!$A$2:$B$28,MATCH($A20,'Human Density'!$A$2:$A$28,0),2))</f>
        <v/>
      </c>
      <c r="P20" s="4">
        <f>IF(ISBLANK(D20),"",D20/100/INDEX('Human Density'!$A$2:$B$28,MATCH($A20,'Human Density'!$A$2:$A$28,0),2))</f>
        <v>6.5777777777777782E-2</v>
      </c>
      <c r="Q20" s="4" t="str">
        <f>IF(ISBLANK(E20),"",E20/100/INDEX('Human Density'!$A$2:$B$28,MATCH($A20,'Human Density'!$A$2:$A$28,0),2)*'Basic PK'!$D$5^(1/4))</f>
        <v/>
      </c>
      <c r="R20" s="4">
        <f>IF(ISBLANK(F20),"",F20/100/INDEX('Human Density'!$A$2:$B$28,MATCH($A20,'Human Density'!$A$2:$A$28,0),2))</f>
        <v>7.2888888888888878E-2</v>
      </c>
      <c r="S20" s="4" t="str">
        <f>IF(ISBLANK(G20),"",G20/100/INDEX('Human Density'!$A$2:$B$28,MATCH($A20,'Human Density'!$A$2:$A$28,0),2))</f>
        <v/>
      </c>
      <c r="T20" s="4">
        <f>IF(ISBLANK(H20),"",H20/100/INDEX('Human Density'!$A$2:$B$28,MATCH($A20,'Human Density'!$A$2:$A$28,0),2))</f>
        <v>7.0222222222222228E-2</v>
      </c>
      <c r="U20" s="4" t="str">
        <f>IF(ISBLANK(I20),"",I20/100/INDEX('Human Density'!$A$2:$B$28,MATCH($A20,'Human Density'!$A$2:$A$28,0),2))</f>
        <v/>
      </c>
      <c r="V20" s="4">
        <f t="shared" ref="V20:V23" si="2">P20</f>
        <v>6.5777777777777782E-2</v>
      </c>
      <c r="X20" s="4">
        <f t="shared" si="1"/>
        <v>7.0222222222222228E-2</v>
      </c>
    </row>
    <row r="21" spans="1:24" x14ac:dyDescent="0.25">
      <c r="A21" t="s">
        <v>30</v>
      </c>
      <c r="B21" s="2">
        <v>2.5</v>
      </c>
      <c r="C21" s="2"/>
      <c r="D21" s="2">
        <f>5.7-D5-D18-D16-D19</f>
        <v>5.1559999999999997</v>
      </c>
      <c r="E21" s="2"/>
      <c r="F21" s="2">
        <v>0</v>
      </c>
      <c r="G21" s="2"/>
      <c r="H21" s="2">
        <f>5.7-H5-H18-H16-H19</f>
        <v>5.2500000000000009</v>
      </c>
      <c r="N21" s="4">
        <f>B21/1.05/100</f>
        <v>2.3809523809523808E-2</v>
      </c>
      <c r="O21" s="4"/>
      <c r="P21" s="4">
        <f>D21/1.05/100</f>
        <v>4.9104761904761894E-2</v>
      </c>
      <c r="Q21" s="4"/>
      <c r="R21" s="4">
        <f>F21/1.05/100</f>
        <v>0</v>
      </c>
      <c r="S21" s="4"/>
      <c r="T21" s="4">
        <f>H21/1.05/100</f>
        <v>5.000000000000001E-2</v>
      </c>
      <c r="U21" s="4"/>
      <c r="V21">
        <v>2.5399999999999999E-2</v>
      </c>
      <c r="X21" s="4">
        <f t="shared" si="1"/>
        <v>5.000000000000001E-2</v>
      </c>
    </row>
    <row r="22" spans="1:24" x14ac:dyDescent="0.25">
      <c r="A22" t="s">
        <v>31</v>
      </c>
      <c r="B22" s="2">
        <v>5.7</v>
      </c>
      <c r="C22" s="2"/>
      <c r="D22" s="2">
        <v>5</v>
      </c>
      <c r="E22" s="2"/>
      <c r="F22" s="2">
        <v>4.3</v>
      </c>
      <c r="G22" s="2"/>
      <c r="H22" s="2">
        <v>1.4</v>
      </c>
      <c r="N22" s="4">
        <f>B22/1.05/100</f>
        <v>5.4285714285714291E-2</v>
      </c>
      <c r="O22" s="4"/>
      <c r="P22" s="4">
        <f>D22/1.05/100</f>
        <v>4.7619047619047616E-2</v>
      </c>
      <c r="Q22" s="4"/>
      <c r="R22" s="4">
        <f>F22/1.05/100</f>
        <v>4.0952380952380948E-2</v>
      </c>
      <c r="S22" s="4"/>
      <c r="T22" s="4">
        <f>H22/1.05/100</f>
        <v>1.3333333333333332E-2</v>
      </c>
      <c r="U22" s="4" t="str">
        <f>IF(ISBLANK(I22),"",I22/MATCH($A22,'Human Density'!$A$2:$A$26,0))</f>
        <v/>
      </c>
      <c r="V22" s="4">
        <f t="shared" si="2"/>
        <v>4.7619047619047616E-2</v>
      </c>
      <c r="X22" s="4">
        <f t="shared" si="1"/>
        <v>1.3333333333333332E-2</v>
      </c>
    </row>
    <row r="23" spans="1:24" x14ac:dyDescent="0.25">
      <c r="A23" t="s">
        <v>39</v>
      </c>
      <c r="B23" s="2">
        <f>SUM(B4:B22)</f>
        <v>100</v>
      </c>
      <c r="D23" s="2">
        <f>SUM(D4:D22)</f>
        <v>100</v>
      </c>
      <c r="F23" s="2">
        <f>SUM(F4:F22)</f>
        <v>100.00000000000001</v>
      </c>
      <c r="H23" s="2">
        <f>SUM(H4:H22)</f>
        <v>99.999999999999986</v>
      </c>
      <c r="N23" s="2">
        <f>SUM(N4:N22)</f>
        <v>0.90493165632300643</v>
      </c>
      <c r="P23" s="2">
        <f>SUM(P4:P22)</f>
        <v>0.91705931471224367</v>
      </c>
      <c r="R23" s="2">
        <f>SUM(R4:R22)</f>
        <v>0.91033263013858334</v>
      </c>
      <c r="T23" s="2">
        <f>SUM(T4:T22)</f>
        <v>0.91181020202827034</v>
      </c>
      <c r="V23" s="4">
        <f t="shared" si="2"/>
        <v>0.91705931471224367</v>
      </c>
      <c r="X23" s="4">
        <f t="shared" si="1"/>
        <v>0.91181020202827034</v>
      </c>
    </row>
    <row r="24" spans="1:24" x14ac:dyDescent="0.25">
      <c r="A24" t="s">
        <v>312</v>
      </c>
      <c r="B24" t="s">
        <v>105</v>
      </c>
      <c r="C24" t="s">
        <v>105</v>
      </c>
      <c r="D24" t="s">
        <v>105</v>
      </c>
      <c r="E24" t="s">
        <v>105</v>
      </c>
      <c r="F24" t="s">
        <v>105</v>
      </c>
      <c r="G24" t="s">
        <v>105</v>
      </c>
      <c r="H24" t="s">
        <v>105</v>
      </c>
      <c r="I24" t="s">
        <v>105</v>
      </c>
      <c r="V24" t="s">
        <v>349</v>
      </c>
      <c r="X24" t="s">
        <v>345</v>
      </c>
    </row>
    <row r="26" spans="1:24" x14ac:dyDescent="0.25">
      <c r="A26" t="s">
        <v>105</v>
      </c>
      <c r="B26" t="s">
        <v>343</v>
      </c>
    </row>
    <row r="27" spans="1:24" x14ac:dyDescent="0.25">
      <c r="A27" t="s">
        <v>345</v>
      </c>
      <c r="B27" t="s">
        <v>346</v>
      </c>
    </row>
    <row r="28" spans="1:24" x14ac:dyDescent="0.25">
      <c r="A28" t="s">
        <v>347</v>
      </c>
      <c r="B28" t="s">
        <v>348</v>
      </c>
    </row>
  </sheetData>
  <mergeCells count="2">
    <mergeCell ref="B1:I1"/>
    <mergeCell ref="N1:U1"/>
  </mergeCells>
  <pageMargins left="0.7" right="0.7" top="0.75" bottom="0.75" header="0.3" footer="0.3"/>
  <pageSetup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10"/>
  <sheetViews>
    <sheetView workbookViewId="0">
      <selection activeCell="J20" sqref="J20"/>
    </sheetView>
  </sheetViews>
  <sheetFormatPr defaultRowHeight="15" x14ac:dyDescent="0.25"/>
  <sheetData>
    <row r="1" spans="1:8" x14ac:dyDescent="0.25">
      <c r="B1" t="s">
        <v>65</v>
      </c>
      <c r="G1" t="s">
        <v>66</v>
      </c>
      <c r="H1" t="s">
        <v>67</v>
      </c>
    </row>
    <row r="2" spans="1:8" x14ac:dyDescent="0.25">
      <c r="B2" t="s">
        <v>34</v>
      </c>
      <c r="C2" t="s">
        <v>17</v>
      </c>
      <c r="D2" t="s">
        <v>18</v>
      </c>
      <c r="E2" t="s">
        <v>35</v>
      </c>
      <c r="F2" t="s">
        <v>64</v>
      </c>
    </row>
    <row r="3" spans="1:8" x14ac:dyDescent="0.25">
      <c r="A3" t="s">
        <v>59</v>
      </c>
      <c r="B3">
        <v>11.2</v>
      </c>
      <c r="C3">
        <v>7.3</v>
      </c>
      <c r="E3">
        <v>14.3</v>
      </c>
      <c r="F3" s="2">
        <f t="shared" ref="F3:F10" si="0">AVERAGE(B3:E3)</f>
        <v>10.933333333333332</v>
      </c>
      <c r="G3" s="2">
        <f>(E4*G4+E7*G7+E8*G8+E9*G9+E10*G10)/E3</f>
        <v>1.4499370629370629</v>
      </c>
    </row>
    <row r="4" spans="1:8" x14ac:dyDescent="0.25">
      <c r="A4" t="s">
        <v>5</v>
      </c>
      <c r="B4">
        <v>5.4</v>
      </c>
      <c r="C4">
        <v>5</v>
      </c>
      <c r="E4">
        <v>7.1</v>
      </c>
      <c r="F4" s="2">
        <f t="shared" si="0"/>
        <v>5.833333333333333</v>
      </c>
      <c r="G4" s="2">
        <f>(E5*G5+E6*G6)/E4</f>
        <v>1.9761971830985914</v>
      </c>
    </row>
    <row r="5" spans="1:8" x14ac:dyDescent="0.25">
      <c r="A5" t="s">
        <v>60</v>
      </c>
      <c r="B5">
        <v>4</v>
      </c>
      <c r="C5">
        <v>4</v>
      </c>
      <c r="E5">
        <v>5.7</v>
      </c>
      <c r="F5" s="2">
        <f t="shared" si="0"/>
        <v>4.5666666666666664</v>
      </c>
      <c r="G5" s="2">
        <f>'Human Density'!B5</f>
        <v>1.99</v>
      </c>
    </row>
    <row r="6" spans="1:8" x14ac:dyDescent="0.25">
      <c r="A6" t="s">
        <v>61</v>
      </c>
      <c r="B6">
        <v>1.4</v>
      </c>
      <c r="C6">
        <v>1</v>
      </c>
      <c r="E6">
        <v>1.4</v>
      </c>
      <c r="F6" s="2">
        <f t="shared" si="0"/>
        <v>1.2666666666666666</v>
      </c>
      <c r="G6" s="2">
        <f>'Human Density'!B6</f>
        <v>1.92</v>
      </c>
    </row>
    <row r="7" spans="1:8" x14ac:dyDescent="0.25">
      <c r="A7" t="s">
        <v>22</v>
      </c>
      <c r="C7">
        <v>2.1</v>
      </c>
      <c r="E7">
        <v>2.1</v>
      </c>
      <c r="F7" s="2">
        <f t="shared" si="0"/>
        <v>2.1</v>
      </c>
      <c r="G7" s="2">
        <f>'Human Density'!B7</f>
        <v>1.028</v>
      </c>
    </row>
    <row r="8" spans="1:8" x14ac:dyDescent="0.25">
      <c r="A8" t="s">
        <v>23</v>
      </c>
      <c r="B8">
        <v>5.8</v>
      </c>
      <c r="C8">
        <v>0.2</v>
      </c>
      <c r="E8">
        <v>2.1</v>
      </c>
      <c r="F8" s="2">
        <f t="shared" si="0"/>
        <v>2.6999999999999997</v>
      </c>
      <c r="G8" s="2">
        <f>'Human Density'!B8</f>
        <v>0.78300000000000003</v>
      </c>
    </row>
    <row r="9" spans="1:8" x14ac:dyDescent="0.25">
      <c r="A9" t="s">
        <v>62</v>
      </c>
      <c r="E9">
        <v>1.6</v>
      </c>
      <c r="F9" s="2">
        <f t="shared" si="0"/>
        <v>1.6</v>
      </c>
      <c r="G9" s="2">
        <v>1</v>
      </c>
      <c r="H9" t="s">
        <v>68</v>
      </c>
    </row>
    <row r="10" spans="1:8" x14ac:dyDescent="0.25">
      <c r="A10" t="s">
        <v>63</v>
      </c>
      <c r="E10">
        <v>1.3</v>
      </c>
      <c r="F10" s="2">
        <f t="shared" si="0"/>
        <v>1.3</v>
      </c>
      <c r="G10" s="2">
        <v>1</v>
      </c>
      <c r="H10" t="s">
        <v>68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16"/>
  <sheetViews>
    <sheetView workbookViewId="0">
      <selection activeCell="R26" sqref="R26"/>
    </sheetView>
  </sheetViews>
  <sheetFormatPr defaultRowHeight="15" x14ac:dyDescent="0.25"/>
  <sheetData>
    <row r="1" spans="1:10" x14ac:dyDescent="0.25">
      <c r="B1" s="32" t="s">
        <v>88</v>
      </c>
      <c r="C1" s="32"/>
      <c r="D1" s="32"/>
      <c r="E1" s="32"/>
      <c r="F1" s="32"/>
      <c r="G1" s="32"/>
      <c r="H1" s="32"/>
      <c r="I1" s="32"/>
    </row>
    <row r="2" spans="1:10" x14ac:dyDescent="0.25">
      <c r="A2" s="1"/>
      <c r="B2" t="s">
        <v>16</v>
      </c>
      <c r="D2" t="s">
        <v>17</v>
      </c>
      <c r="F2" t="s">
        <v>18</v>
      </c>
      <c r="H2" t="s">
        <v>19</v>
      </c>
      <c r="J2" t="s">
        <v>64</v>
      </c>
    </row>
    <row r="3" spans="1:10" x14ac:dyDescent="0.25">
      <c r="A3" t="s">
        <v>0</v>
      </c>
      <c r="B3" t="s">
        <v>1</v>
      </c>
      <c r="C3" t="s">
        <v>89</v>
      </c>
      <c r="D3" t="s">
        <v>1</v>
      </c>
      <c r="E3" t="s">
        <v>89</v>
      </c>
      <c r="F3" t="s">
        <v>1</v>
      </c>
      <c r="G3" t="s">
        <v>89</v>
      </c>
      <c r="H3" t="s">
        <v>1</v>
      </c>
      <c r="I3" t="s">
        <v>89</v>
      </c>
      <c r="J3" t="s">
        <v>1</v>
      </c>
    </row>
    <row r="4" spans="1:10" x14ac:dyDescent="0.25">
      <c r="A4" t="s">
        <v>3</v>
      </c>
      <c r="B4" s="2">
        <v>0.03</v>
      </c>
      <c r="C4" s="2"/>
      <c r="D4" s="2">
        <v>0.24</v>
      </c>
      <c r="E4" s="2"/>
      <c r="F4" s="2"/>
      <c r="H4" s="2">
        <v>0.02</v>
      </c>
      <c r="I4" s="2" t="s">
        <v>101</v>
      </c>
      <c r="J4" s="2">
        <f t="shared" ref="J4:J15" si="0">AVERAGE(B4,D4,F4,H4)</f>
        <v>9.6666666666666679E-2</v>
      </c>
    </row>
    <row r="5" spans="1:10" x14ac:dyDescent="0.25">
      <c r="A5" t="s">
        <v>4</v>
      </c>
      <c r="B5" s="2"/>
      <c r="C5" s="2"/>
      <c r="D5" s="2"/>
      <c r="E5" s="2"/>
      <c r="F5" s="2"/>
      <c r="H5" s="2">
        <v>0.04</v>
      </c>
      <c r="I5" s="2"/>
      <c r="J5" s="2">
        <f t="shared" si="0"/>
        <v>0.04</v>
      </c>
    </row>
    <row r="6" spans="1:10" x14ac:dyDescent="0.25">
      <c r="A6" t="s">
        <v>5</v>
      </c>
      <c r="B6" s="2">
        <v>0.11</v>
      </c>
      <c r="C6" s="2"/>
      <c r="D6" s="2">
        <v>0.04</v>
      </c>
      <c r="E6" s="2"/>
      <c r="F6" s="2"/>
      <c r="H6" s="2">
        <v>0.04</v>
      </c>
      <c r="I6" s="2" t="s">
        <v>102</v>
      </c>
      <c r="J6" s="2">
        <f t="shared" si="0"/>
        <v>6.3333333333333339E-2</v>
      </c>
    </row>
    <row r="7" spans="1:10" x14ac:dyDescent="0.25">
      <c r="A7" t="s">
        <v>6</v>
      </c>
      <c r="B7" s="2">
        <v>0.03</v>
      </c>
      <c r="C7" s="2"/>
      <c r="D7" s="2">
        <v>0.03</v>
      </c>
      <c r="E7" s="2" t="s">
        <v>95</v>
      </c>
      <c r="F7" s="2">
        <v>0.01</v>
      </c>
      <c r="H7" s="2"/>
      <c r="I7" s="2"/>
      <c r="J7" s="2">
        <f t="shared" si="0"/>
        <v>2.3333333333333331E-2</v>
      </c>
    </row>
    <row r="8" spans="1:10" x14ac:dyDescent="0.25">
      <c r="A8" t="s">
        <v>8</v>
      </c>
      <c r="B8" s="2"/>
      <c r="C8" s="2"/>
      <c r="D8" s="2">
        <v>0.26</v>
      </c>
      <c r="E8" s="2"/>
      <c r="F8" s="2">
        <v>7.0000000000000007E-2</v>
      </c>
      <c r="H8" s="2"/>
      <c r="I8" s="2"/>
      <c r="J8" s="2">
        <f t="shared" si="0"/>
        <v>0.16500000000000001</v>
      </c>
    </row>
    <row r="9" spans="1:10" x14ac:dyDescent="0.25">
      <c r="A9" t="s">
        <v>9</v>
      </c>
      <c r="B9" s="2">
        <v>0.24</v>
      </c>
      <c r="C9" s="2" t="s">
        <v>90</v>
      </c>
      <c r="D9" s="2">
        <v>0.16</v>
      </c>
      <c r="E9" s="2" t="s">
        <v>96</v>
      </c>
      <c r="F9" s="2">
        <v>0.08</v>
      </c>
      <c r="H9" s="2">
        <v>0.36</v>
      </c>
      <c r="I9" s="2" t="s">
        <v>103</v>
      </c>
      <c r="J9" s="2">
        <f t="shared" si="0"/>
        <v>0.21000000000000002</v>
      </c>
    </row>
    <row r="10" spans="1:10" x14ac:dyDescent="0.25">
      <c r="A10" t="s">
        <v>10</v>
      </c>
      <c r="B10" s="2">
        <v>0.31</v>
      </c>
      <c r="C10" s="2" t="s">
        <v>91</v>
      </c>
      <c r="D10" s="2">
        <v>0.21</v>
      </c>
      <c r="E10" s="2" t="s">
        <v>97</v>
      </c>
      <c r="F10" s="2">
        <v>0.15</v>
      </c>
      <c r="H10" s="2">
        <v>0.11</v>
      </c>
      <c r="I10" s="2"/>
      <c r="J10" s="2">
        <f t="shared" si="0"/>
        <v>0.19500000000000001</v>
      </c>
    </row>
    <row r="11" spans="1:10" x14ac:dyDescent="0.25">
      <c r="A11" t="s">
        <v>37</v>
      </c>
      <c r="B11" s="2">
        <v>0.5</v>
      </c>
      <c r="C11" s="2" t="s">
        <v>92</v>
      </c>
      <c r="D11" s="2">
        <v>0.36</v>
      </c>
      <c r="E11" s="2" t="s">
        <v>98</v>
      </c>
      <c r="F11" s="2">
        <v>0.3</v>
      </c>
      <c r="H11" s="2"/>
      <c r="I11" s="2"/>
      <c r="J11" s="2">
        <f t="shared" si="0"/>
        <v>0.38666666666666666</v>
      </c>
    </row>
    <row r="12" spans="1:10" x14ac:dyDescent="0.25">
      <c r="A12" t="s">
        <v>11</v>
      </c>
      <c r="B12" s="2">
        <v>0.04</v>
      </c>
      <c r="C12" s="2" t="s">
        <v>93</v>
      </c>
      <c r="D12" s="2">
        <v>0.04</v>
      </c>
      <c r="E12" s="2" t="s">
        <v>99</v>
      </c>
      <c r="F12" s="2">
        <v>0.01</v>
      </c>
      <c r="H12" s="2">
        <v>0.01</v>
      </c>
      <c r="I12" s="2"/>
      <c r="J12" s="2">
        <f t="shared" si="0"/>
        <v>2.4999999999999998E-2</v>
      </c>
    </row>
    <row r="13" spans="1:10" x14ac:dyDescent="0.25">
      <c r="A13" t="s">
        <v>13</v>
      </c>
      <c r="B13" s="2">
        <v>0.03</v>
      </c>
      <c r="C13" s="2"/>
      <c r="D13" s="2">
        <v>0.02</v>
      </c>
      <c r="E13" s="2"/>
      <c r="F13" s="2"/>
      <c r="H13" s="2">
        <v>0.08</v>
      </c>
      <c r="I13" s="2"/>
      <c r="J13" s="2">
        <f t="shared" si="0"/>
        <v>4.3333333333333335E-2</v>
      </c>
    </row>
    <row r="14" spans="1:10" x14ac:dyDescent="0.25">
      <c r="A14" t="s">
        <v>14</v>
      </c>
      <c r="B14" s="2">
        <v>0.17</v>
      </c>
      <c r="C14" s="2" t="s">
        <v>94</v>
      </c>
      <c r="D14" s="2">
        <v>0.22</v>
      </c>
      <c r="E14" s="2" t="s">
        <v>100</v>
      </c>
      <c r="F14" s="2">
        <v>0.51</v>
      </c>
      <c r="G14" s="2"/>
      <c r="H14" s="2"/>
      <c r="J14" s="2">
        <f t="shared" si="0"/>
        <v>0.3</v>
      </c>
    </row>
    <row r="15" spans="1:10" x14ac:dyDescent="0.25">
      <c r="A15" t="s">
        <v>15</v>
      </c>
      <c r="B15" s="2"/>
      <c r="C15" s="2"/>
      <c r="D15" s="2">
        <v>0.18</v>
      </c>
      <c r="E15" s="2"/>
      <c r="F15" s="2"/>
      <c r="G15" s="2"/>
      <c r="H15" s="2"/>
      <c r="J15" s="2">
        <f t="shared" si="0"/>
        <v>0.18</v>
      </c>
    </row>
    <row r="16" spans="1:10" x14ac:dyDescent="0.25">
      <c r="A16" t="s">
        <v>64</v>
      </c>
      <c r="B16" s="2">
        <f>AVERAGE(B4:B15)</f>
        <v>0.16222222222222221</v>
      </c>
      <c r="C16" s="2"/>
      <c r="D16" s="2">
        <f>AVERAGE(D4:D15)</f>
        <v>0.15999999999999998</v>
      </c>
      <c r="E16" s="2"/>
      <c r="F16" s="2">
        <f>AVERAGE(F4:F15)</f>
        <v>0.16142857142857142</v>
      </c>
      <c r="G16" s="2"/>
      <c r="H16" s="2">
        <f>AVERAGE(H4:H15)</f>
        <v>9.4285714285714278E-2</v>
      </c>
    </row>
  </sheetData>
  <mergeCells count="1">
    <mergeCell ref="B1:I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2:L39"/>
  <sheetViews>
    <sheetView topLeftCell="A13" workbookViewId="0">
      <selection activeCell="Y7" sqref="Y7"/>
    </sheetView>
  </sheetViews>
  <sheetFormatPr defaultRowHeight="15" x14ac:dyDescent="0.25"/>
  <cols>
    <col min="1" max="1" width="41.28515625" bestFit="1" customWidth="1"/>
  </cols>
  <sheetData>
    <row r="2" spans="1:12" x14ac:dyDescent="0.25">
      <c r="A2" t="s">
        <v>115</v>
      </c>
    </row>
    <row r="3" spans="1:12" x14ac:dyDescent="0.25">
      <c r="A3" t="s">
        <v>116</v>
      </c>
    </row>
    <row r="4" spans="1:12" x14ac:dyDescent="0.25">
      <c r="A4" t="s">
        <v>117</v>
      </c>
    </row>
    <row r="6" spans="1:12" ht="15.75" x14ac:dyDescent="0.25">
      <c r="A6" t="s">
        <v>120</v>
      </c>
      <c r="B6" s="18" t="s">
        <v>302</v>
      </c>
    </row>
    <row r="7" spans="1:12" ht="15.75" x14ac:dyDescent="0.25">
      <c r="A7" t="s">
        <v>296</v>
      </c>
      <c r="B7" s="18" t="s">
        <v>303</v>
      </c>
    </row>
    <row r="8" spans="1:12" ht="15.75" x14ac:dyDescent="0.25">
      <c r="A8" t="s">
        <v>297</v>
      </c>
      <c r="B8" s="18" t="s">
        <v>304</v>
      </c>
    </row>
    <row r="9" spans="1:12" ht="15.75" x14ac:dyDescent="0.25">
      <c r="A9" t="s">
        <v>298</v>
      </c>
      <c r="B9" s="18" t="s">
        <v>307</v>
      </c>
    </row>
    <row r="10" spans="1:12" ht="15.75" x14ac:dyDescent="0.25">
      <c r="A10" t="s">
        <v>299</v>
      </c>
      <c r="B10" s="18" t="s">
        <v>305</v>
      </c>
    </row>
    <row r="11" spans="1:12" ht="15.75" x14ac:dyDescent="0.25">
      <c r="A11" t="s">
        <v>300</v>
      </c>
      <c r="B11" s="18" t="s">
        <v>306</v>
      </c>
    </row>
    <row r="12" spans="1:12" ht="15.75" x14ac:dyDescent="0.25">
      <c r="A12" t="s">
        <v>301</v>
      </c>
      <c r="B12" s="18" t="s">
        <v>308</v>
      </c>
    </row>
    <row r="13" spans="1:12" ht="15.75" thickBot="1" x14ac:dyDescent="0.3"/>
    <row r="14" spans="1:12" ht="36" x14ac:dyDescent="0.25">
      <c r="A14" s="13" t="s">
        <v>118</v>
      </c>
      <c r="B14" s="14" t="s">
        <v>119</v>
      </c>
      <c r="C14" s="14" t="s">
        <v>120</v>
      </c>
      <c r="D14" s="14" t="s">
        <v>121</v>
      </c>
      <c r="E14" s="14" t="s">
        <v>122</v>
      </c>
      <c r="F14" s="14" t="s">
        <v>123</v>
      </c>
      <c r="G14" s="14" t="s">
        <v>124</v>
      </c>
      <c r="H14" s="14" t="s">
        <v>125</v>
      </c>
      <c r="I14" s="14" t="s">
        <v>126</v>
      </c>
      <c r="J14" s="13"/>
      <c r="K14" s="19" t="s">
        <v>309</v>
      </c>
      <c r="L14" s="19" t="s">
        <v>310</v>
      </c>
    </row>
    <row r="15" spans="1:12" x14ac:dyDescent="0.25">
      <c r="A15" s="10" t="s">
        <v>127</v>
      </c>
      <c r="B15" s="11">
        <v>15</v>
      </c>
      <c r="C15" s="11" t="s">
        <v>128</v>
      </c>
      <c r="D15" s="11" t="s">
        <v>129</v>
      </c>
      <c r="E15" s="11" t="s">
        <v>130</v>
      </c>
      <c r="F15" s="11" t="s">
        <v>131</v>
      </c>
      <c r="G15" s="11" t="s">
        <v>132</v>
      </c>
      <c r="H15" s="11" t="s">
        <v>133</v>
      </c>
      <c r="I15" s="11" t="s">
        <v>134</v>
      </c>
      <c r="J15" s="10"/>
      <c r="K15">
        <f>(154+226)*10/1000</f>
        <v>3.8</v>
      </c>
      <c r="L15" s="2"/>
    </row>
    <row r="16" spans="1:12" ht="24" x14ac:dyDescent="0.25">
      <c r="A16" s="10" t="s">
        <v>135</v>
      </c>
      <c r="B16" s="11">
        <v>6</v>
      </c>
      <c r="C16" s="11" t="s">
        <v>128</v>
      </c>
      <c r="D16" s="11" t="s">
        <v>136</v>
      </c>
      <c r="E16" s="11" t="s">
        <v>137</v>
      </c>
      <c r="F16" s="11" t="s">
        <v>138</v>
      </c>
      <c r="G16" s="11" t="s">
        <v>139</v>
      </c>
      <c r="H16" s="11" t="s">
        <v>140</v>
      </c>
      <c r="I16" s="11" t="s">
        <v>141</v>
      </c>
      <c r="J16" s="10"/>
      <c r="L16" s="2"/>
    </row>
    <row r="17" spans="1:12" x14ac:dyDescent="0.25">
      <c r="A17" s="10" t="s">
        <v>142</v>
      </c>
      <c r="B17" s="11">
        <v>10</v>
      </c>
      <c r="C17" s="11" t="s">
        <v>128</v>
      </c>
      <c r="D17" s="11" t="s">
        <v>143</v>
      </c>
      <c r="E17" s="11" t="s">
        <v>144</v>
      </c>
      <c r="F17" s="11" t="s">
        <v>145</v>
      </c>
      <c r="G17" s="11" t="s">
        <v>146</v>
      </c>
      <c r="H17" s="11" t="s">
        <v>147</v>
      </c>
      <c r="I17" s="12" t="s">
        <v>148</v>
      </c>
      <c r="J17" s="12" t="s">
        <v>149</v>
      </c>
      <c r="L17" s="2"/>
    </row>
    <row r="18" spans="1:12" x14ac:dyDescent="0.25">
      <c r="A18" s="10" t="s">
        <v>150</v>
      </c>
      <c r="B18" s="11">
        <v>10</v>
      </c>
      <c r="C18" s="11" t="s">
        <v>128</v>
      </c>
      <c r="D18" s="11" t="s">
        <v>151</v>
      </c>
      <c r="E18" s="11" t="s">
        <v>152</v>
      </c>
      <c r="F18" s="11" t="s">
        <v>153</v>
      </c>
      <c r="G18" s="11" t="s">
        <v>154</v>
      </c>
      <c r="H18" s="11" t="s">
        <v>155</v>
      </c>
      <c r="I18" s="12" t="s">
        <v>156</v>
      </c>
      <c r="J18" s="11" t="s">
        <v>157</v>
      </c>
      <c r="K18">
        <f>(60+139)*10/1000</f>
        <v>1.99</v>
      </c>
      <c r="L18" s="2">
        <f>K18/$K$15</f>
        <v>0.52368421052631586</v>
      </c>
    </row>
    <row r="19" spans="1:12" ht="18" x14ac:dyDescent="0.25">
      <c r="A19" s="10" t="s">
        <v>158</v>
      </c>
      <c r="B19" s="11">
        <v>12</v>
      </c>
      <c r="C19" s="11" t="s">
        <v>128</v>
      </c>
      <c r="D19" s="11" t="s">
        <v>159</v>
      </c>
      <c r="E19" s="11" t="s">
        <v>160</v>
      </c>
      <c r="F19" s="11" t="s">
        <v>145</v>
      </c>
      <c r="G19" s="11" t="s">
        <v>161</v>
      </c>
      <c r="H19" s="11" t="s">
        <v>162</v>
      </c>
      <c r="I19" s="11" t="s">
        <v>163</v>
      </c>
      <c r="J19" s="10"/>
      <c r="K19">
        <f>(42+120)*10/1000</f>
        <v>1.62</v>
      </c>
      <c r="L19" s="2">
        <f>K19/$K$15</f>
        <v>0.42631578947368426</v>
      </c>
    </row>
    <row r="20" spans="1:12" ht="30" x14ac:dyDescent="0.25">
      <c r="A20" s="10" t="s">
        <v>164</v>
      </c>
      <c r="B20" s="11">
        <v>10</v>
      </c>
      <c r="C20" s="11" t="s">
        <v>128</v>
      </c>
      <c r="D20" s="11" t="s">
        <v>165</v>
      </c>
      <c r="E20" s="11" t="s">
        <v>166</v>
      </c>
      <c r="F20" s="11" t="s">
        <v>167</v>
      </c>
      <c r="G20" s="11" t="s">
        <v>168</v>
      </c>
      <c r="H20" s="11" t="s">
        <v>169</v>
      </c>
      <c r="I20" s="12" t="s">
        <v>170</v>
      </c>
      <c r="J20" s="12" t="s">
        <v>171</v>
      </c>
      <c r="L20" s="2"/>
    </row>
    <row r="21" spans="1:12" ht="30" x14ac:dyDescent="0.25">
      <c r="A21" s="10" t="s">
        <v>172</v>
      </c>
      <c r="B21" s="11">
        <v>5</v>
      </c>
      <c r="C21" s="11" t="s">
        <v>128</v>
      </c>
      <c r="D21" s="11" t="s">
        <v>173</v>
      </c>
      <c r="E21" s="11" t="s">
        <v>174</v>
      </c>
      <c r="F21" s="11" t="s">
        <v>175</v>
      </c>
      <c r="G21" s="11" t="s">
        <v>176</v>
      </c>
      <c r="H21" s="11" t="s">
        <v>177</v>
      </c>
      <c r="I21" s="12" t="s">
        <v>178</v>
      </c>
      <c r="J21" s="12" t="s">
        <v>179</v>
      </c>
      <c r="L21" s="2"/>
    </row>
    <row r="22" spans="1:12" x14ac:dyDescent="0.25">
      <c r="A22" s="10" t="s">
        <v>180</v>
      </c>
      <c r="B22" s="11">
        <v>12</v>
      </c>
      <c r="C22" s="11" t="s">
        <v>128</v>
      </c>
      <c r="D22" s="11" t="s">
        <v>181</v>
      </c>
      <c r="E22" s="11" t="s">
        <v>182</v>
      </c>
      <c r="F22" s="11" t="s">
        <v>183</v>
      </c>
      <c r="G22" s="11" t="s">
        <v>184</v>
      </c>
      <c r="H22" s="11" t="s">
        <v>185</v>
      </c>
      <c r="I22" s="12" t="s">
        <v>186</v>
      </c>
      <c r="J22" s="12" t="s">
        <v>187</v>
      </c>
      <c r="L22" s="2"/>
    </row>
    <row r="23" spans="1:12" ht="24" x14ac:dyDescent="0.25">
      <c r="A23" s="10" t="s">
        <v>188</v>
      </c>
      <c r="B23" s="11">
        <v>12</v>
      </c>
      <c r="C23" s="11" t="s">
        <v>128</v>
      </c>
      <c r="D23" s="11" t="s">
        <v>189</v>
      </c>
      <c r="E23" s="11" t="s">
        <v>190</v>
      </c>
      <c r="F23" s="11" t="s">
        <v>191</v>
      </c>
      <c r="G23" s="11" t="s">
        <v>192</v>
      </c>
      <c r="H23" s="11" t="s">
        <v>193</v>
      </c>
      <c r="I23" s="11" t="s">
        <v>194</v>
      </c>
      <c r="J23" s="10"/>
      <c r="L23" s="2"/>
    </row>
    <row r="24" spans="1:12" ht="30" x14ac:dyDescent="0.25">
      <c r="A24" s="10" t="s">
        <v>195</v>
      </c>
      <c r="B24" s="11">
        <v>20</v>
      </c>
      <c r="C24" s="11" t="s">
        <v>196</v>
      </c>
      <c r="D24" s="11" t="s">
        <v>197</v>
      </c>
      <c r="E24" s="11" t="s">
        <v>198</v>
      </c>
      <c r="F24" s="11" t="s">
        <v>199</v>
      </c>
      <c r="G24" s="11" t="s">
        <v>200</v>
      </c>
      <c r="H24" s="11" t="s">
        <v>201</v>
      </c>
      <c r="I24" s="12" t="s">
        <v>202</v>
      </c>
      <c r="J24" s="10"/>
      <c r="L24" s="2"/>
    </row>
    <row r="25" spans="1:12" x14ac:dyDescent="0.25">
      <c r="A25" s="10" t="s">
        <v>18</v>
      </c>
      <c r="B25" s="11">
        <v>10</v>
      </c>
      <c r="C25" s="11" t="s">
        <v>128</v>
      </c>
      <c r="D25" s="11" t="s">
        <v>203</v>
      </c>
      <c r="E25" s="11" t="s">
        <v>204</v>
      </c>
      <c r="F25" s="11" t="s">
        <v>205</v>
      </c>
      <c r="G25" s="11" t="s">
        <v>206</v>
      </c>
      <c r="H25" s="11" t="s">
        <v>207</v>
      </c>
      <c r="I25" s="12" t="s">
        <v>208</v>
      </c>
      <c r="J25" s="10"/>
      <c r="K25">
        <f>(98+196)*10/1000</f>
        <v>2.94</v>
      </c>
      <c r="L25" s="2">
        <f>K25/$K$15</f>
        <v>0.77368421052631586</v>
      </c>
    </row>
    <row r="26" spans="1:12" ht="30" x14ac:dyDescent="0.25">
      <c r="A26" s="10" t="s">
        <v>104</v>
      </c>
      <c r="B26" s="11">
        <v>20</v>
      </c>
      <c r="C26" s="11" t="s">
        <v>128</v>
      </c>
      <c r="D26" s="11" t="s">
        <v>209</v>
      </c>
      <c r="E26" s="11" t="s">
        <v>210</v>
      </c>
      <c r="F26" s="11" t="s">
        <v>211</v>
      </c>
      <c r="G26" s="11" t="s">
        <v>212</v>
      </c>
      <c r="H26" s="11" t="s">
        <v>213</v>
      </c>
      <c r="I26" s="12" t="s">
        <v>214</v>
      </c>
      <c r="J26" s="10"/>
      <c r="K26">
        <f>(47+29)*10/1000</f>
        <v>0.76</v>
      </c>
      <c r="L26" s="2">
        <f>K26/$K$15</f>
        <v>0.2</v>
      </c>
    </row>
    <row r="27" spans="1:12" ht="24" x14ac:dyDescent="0.25">
      <c r="A27" s="10" t="s">
        <v>215</v>
      </c>
      <c r="B27" s="11">
        <v>20</v>
      </c>
      <c r="C27" s="11" t="s">
        <v>128</v>
      </c>
      <c r="D27" s="11" t="s">
        <v>133</v>
      </c>
      <c r="E27" s="11" t="s">
        <v>216</v>
      </c>
      <c r="F27" s="11" t="s">
        <v>217</v>
      </c>
      <c r="G27" s="11" t="s">
        <v>218</v>
      </c>
      <c r="H27" s="11" t="s">
        <v>219</v>
      </c>
      <c r="I27" s="11" t="s">
        <v>194</v>
      </c>
      <c r="J27" s="10"/>
      <c r="L27" s="2"/>
    </row>
    <row r="28" spans="1:12" ht="24" x14ac:dyDescent="0.25">
      <c r="A28" s="10" t="s">
        <v>220</v>
      </c>
      <c r="B28" s="11">
        <v>10</v>
      </c>
      <c r="C28" s="11" t="s">
        <v>128</v>
      </c>
      <c r="D28" s="11" t="s">
        <v>221</v>
      </c>
      <c r="E28" s="11" t="s">
        <v>222</v>
      </c>
      <c r="F28" s="11" t="s">
        <v>223</v>
      </c>
      <c r="G28" s="11" t="s">
        <v>224</v>
      </c>
      <c r="H28" s="11" t="s">
        <v>225</v>
      </c>
      <c r="I28" s="11" t="s">
        <v>194</v>
      </c>
      <c r="J28" s="10"/>
      <c r="L28" s="2"/>
    </row>
    <row r="29" spans="1:12" ht="24" x14ac:dyDescent="0.25">
      <c r="A29" s="10" t="s">
        <v>226</v>
      </c>
      <c r="B29" s="11">
        <v>10</v>
      </c>
      <c r="C29" s="11" t="s">
        <v>128</v>
      </c>
      <c r="D29" s="11" t="s">
        <v>227</v>
      </c>
      <c r="E29" s="11" t="s">
        <v>228</v>
      </c>
      <c r="F29" s="11" t="s">
        <v>229</v>
      </c>
      <c r="G29" s="11" t="s">
        <v>230</v>
      </c>
      <c r="H29" s="11" t="s">
        <v>231</v>
      </c>
      <c r="I29" s="11" t="s">
        <v>194</v>
      </c>
      <c r="J29" s="10"/>
      <c r="L29" s="2"/>
    </row>
    <row r="30" spans="1:12" x14ac:dyDescent="0.25">
      <c r="A30" s="10" t="s">
        <v>232</v>
      </c>
      <c r="B30" s="11">
        <v>6</v>
      </c>
      <c r="C30" s="11" t="s">
        <v>196</v>
      </c>
      <c r="D30" s="11" t="s">
        <v>233</v>
      </c>
      <c r="E30" s="11" t="s">
        <v>234</v>
      </c>
      <c r="F30" s="11" t="s">
        <v>235</v>
      </c>
      <c r="G30" s="11" t="s">
        <v>236</v>
      </c>
      <c r="H30" s="11" t="s">
        <v>237</v>
      </c>
      <c r="I30" s="12" t="s">
        <v>238</v>
      </c>
      <c r="J30" s="10"/>
      <c r="L30" s="2"/>
    </row>
    <row r="31" spans="1:12" ht="30" x14ac:dyDescent="0.25">
      <c r="A31" s="10" t="s">
        <v>239</v>
      </c>
      <c r="B31" s="11">
        <v>6</v>
      </c>
      <c r="C31" s="11" t="s">
        <v>196</v>
      </c>
      <c r="D31" s="11" t="s">
        <v>240</v>
      </c>
      <c r="E31" s="11" t="s">
        <v>241</v>
      </c>
      <c r="F31" s="11" t="s">
        <v>242</v>
      </c>
      <c r="G31" s="11" t="s">
        <v>243</v>
      </c>
      <c r="H31" s="11" t="s">
        <v>244</v>
      </c>
      <c r="I31" s="12" t="s">
        <v>245</v>
      </c>
      <c r="J31" s="10"/>
      <c r="L31" s="2"/>
    </row>
    <row r="32" spans="1:12" x14ac:dyDescent="0.25">
      <c r="A32" s="10" t="s">
        <v>246</v>
      </c>
      <c r="B32" s="11">
        <v>12</v>
      </c>
      <c r="C32" s="11" t="s">
        <v>196</v>
      </c>
      <c r="D32" s="11" t="s">
        <v>247</v>
      </c>
      <c r="E32" s="11" t="s">
        <v>248</v>
      </c>
      <c r="F32" s="11" t="s">
        <v>249</v>
      </c>
      <c r="G32" s="11" t="s">
        <v>250</v>
      </c>
      <c r="H32" s="11" t="s">
        <v>251</v>
      </c>
      <c r="I32" s="12" t="s">
        <v>252</v>
      </c>
      <c r="J32" s="10"/>
      <c r="K32">
        <f>(130+127)*10/1000</f>
        <v>2.57</v>
      </c>
      <c r="L32" s="2">
        <f>K32/$K$15</f>
        <v>0.6763157894736842</v>
      </c>
    </row>
    <row r="33" spans="1:10" x14ac:dyDescent="0.25">
      <c r="A33" s="10" t="s">
        <v>253</v>
      </c>
      <c r="B33" s="11">
        <v>12</v>
      </c>
      <c r="C33" s="11" t="s">
        <v>196</v>
      </c>
      <c r="D33" s="11" t="s">
        <v>254</v>
      </c>
      <c r="E33" s="11" t="s">
        <v>255</v>
      </c>
      <c r="F33" s="11" t="s">
        <v>256</v>
      </c>
      <c r="G33" s="11" t="s">
        <v>257</v>
      </c>
      <c r="H33" s="11" t="s">
        <v>258</v>
      </c>
      <c r="I33" s="12" t="s">
        <v>259</v>
      </c>
      <c r="J33" s="10"/>
    </row>
    <row r="34" spans="1:10" x14ac:dyDescent="0.25">
      <c r="A34" s="10" t="s">
        <v>260</v>
      </c>
      <c r="B34" s="11">
        <v>10</v>
      </c>
      <c r="C34" s="11" t="s">
        <v>196</v>
      </c>
      <c r="D34" s="11" t="s">
        <v>261</v>
      </c>
      <c r="E34" s="11" t="s">
        <v>262</v>
      </c>
      <c r="F34" s="11" t="s">
        <v>263</v>
      </c>
      <c r="G34" s="11" t="s">
        <v>264</v>
      </c>
      <c r="H34" s="11" t="s">
        <v>249</v>
      </c>
      <c r="I34" s="12" t="s">
        <v>265</v>
      </c>
      <c r="J34" s="10"/>
    </row>
    <row r="35" spans="1:10" x14ac:dyDescent="0.25">
      <c r="A35" s="10" t="s">
        <v>266</v>
      </c>
      <c r="B35" s="11">
        <v>10</v>
      </c>
      <c r="C35" s="11" t="s">
        <v>196</v>
      </c>
      <c r="D35" s="11" t="s">
        <v>267</v>
      </c>
      <c r="E35" s="11">
        <v>629</v>
      </c>
      <c r="F35" s="11">
        <v>205</v>
      </c>
      <c r="G35" s="11">
        <v>402</v>
      </c>
      <c r="H35" s="11">
        <v>22</v>
      </c>
      <c r="I35" s="12" t="s">
        <v>268</v>
      </c>
      <c r="J35" s="10"/>
    </row>
    <row r="36" spans="1:10" x14ac:dyDescent="0.25">
      <c r="A36" s="10" t="s">
        <v>269</v>
      </c>
      <c r="B36" s="11">
        <v>9</v>
      </c>
      <c r="C36" s="11" t="s">
        <v>196</v>
      </c>
      <c r="D36" s="11" t="s">
        <v>270</v>
      </c>
      <c r="E36" s="11" t="s">
        <v>271</v>
      </c>
      <c r="F36" s="11" t="s">
        <v>272</v>
      </c>
      <c r="G36" s="11" t="s">
        <v>273</v>
      </c>
      <c r="H36" s="11" t="s">
        <v>274</v>
      </c>
      <c r="I36" s="12" t="s">
        <v>275</v>
      </c>
      <c r="J36" s="10"/>
    </row>
    <row r="37" spans="1:10" x14ac:dyDescent="0.25">
      <c r="A37" s="10" t="s">
        <v>276</v>
      </c>
      <c r="B37" s="11">
        <v>10</v>
      </c>
      <c r="C37" s="11" t="s">
        <v>196</v>
      </c>
      <c r="D37" s="11" t="s">
        <v>277</v>
      </c>
      <c r="E37" s="11" t="s">
        <v>278</v>
      </c>
      <c r="F37" s="11" t="s">
        <v>279</v>
      </c>
      <c r="G37" s="11" t="s">
        <v>280</v>
      </c>
      <c r="H37" s="11" t="s">
        <v>281</v>
      </c>
      <c r="I37" s="12" t="s">
        <v>282</v>
      </c>
      <c r="J37" s="10"/>
    </row>
    <row r="38" spans="1:10" x14ac:dyDescent="0.25">
      <c r="A38" s="10" t="s">
        <v>283</v>
      </c>
      <c r="B38" s="11">
        <v>10</v>
      </c>
      <c r="C38" s="11" t="s">
        <v>128</v>
      </c>
      <c r="D38" s="11" t="s">
        <v>284</v>
      </c>
      <c r="E38" s="11" t="s">
        <v>285</v>
      </c>
      <c r="F38" s="11" t="s">
        <v>286</v>
      </c>
      <c r="G38" s="11" t="s">
        <v>287</v>
      </c>
      <c r="H38" s="11" t="s">
        <v>288</v>
      </c>
      <c r="I38" s="12" t="s">
        <v>289</v>
      </c>
      <c r="J38" s="10"/>
    </row>
    <row r="39" spans="1:10" ht="15.75" thickBot="1" x14ac:dyDescent="0.3">
      <c r="A39" s="15" t="s">
        <v>290</v>
      </c>
      <c r="B39" s="16">
        <v>10</v>
      </c>
      <c r="C39" s="16" t="s">
        <v>128</v>
      </c>
      <c r="D39" s="16" t="s">
        <v>291</v>
      </c>
      <c r="E39" s="16" t="s">
        <v>292</v>
      </c>
      <c r="F39" s="16" t="s">
        <v>293</v>
      </c>
      <c r="G39" s="16" t="s">
        <v>294</v>
      </c>
      <c r="H39" s="16" t="s">
        <v>143</v>
      </c>
      <c r="I39" s="16" t="s">
        <v>295</v>
      </c>
      <c r="J39" s="17"/>
    </row>
  </sheetData>
  <hyperlinks>
    <hyperlink ref="I17" r:id="rId1" location="tblfn1" display="http://www.ncbi.nlm.nih.gov/pmc/articles/PMC3243481/table/tbl1/ - tblfn1" xr:uid="{00000000-0004-0000-0B00-000000000000}"/>
    <hyperlink ref="J17" r:id="rId2" location="tblfn2" display="http://www.ncbi.nlm.nih.gov/pmc/articles/PMC3243481/table/tbl1/ - tblfn2" xr:uid="{00000000-0004-0000-0B00-000001000000}"/>
    <hyperlink ref="I18" r:id="rId3" location="tblfn1" display="http://www.ncbi.nlm.nih.gov/pmc/articles/PMC3243481/table/tbl1/ - tblfn1" xr:uid="{00000000-0004-0000-0B00-000002000000}"/>
    <hyperlink ref="I20" r:id="rId4" location="tblfn1" display="http://www.ncbi.nlm.nih.gov/pmc/articles/PMC3243481/table/tbl1/ - tblfn1" xr:uid="{00000000-0004-0000-0B00-000003000000}"/>
    <hyperlink ref="J20" r:id="rId5" location="tblfn2" display="http://www.ncbi.nlm.nih.gov/pmc/articles/PMC3243481/table/tbl1/ - tblfn2" xr:uid="{00000000-0004-0000-0B00-000004000000}"/>
    <hyperlink ref="I21" r:id="rId6" location="tblfn1" display="http://www.ncbi.nlm.nih.gov/pmc/articles/PMC3243481/table/tbl1/ - tblfn1" xr:uid="{00000000-0004-0000-0B00-000005000000}"/>
    <hyperlink ref="J21" r:id="rId7" location="tblfn2" display="http://www.ncbi.nlm.nih.gov/pmc/articles/PMC3243481/table/tbl1/ - tblfn2" xr:uid="{00000000-0004-0000-0B00-000006000000}"/>
    <hyperlink ref="I22" r:id="rId8" location="tblfn1" display="http://www.ncbi.nlm.nih.gov/pmc/articles/PMC3243481/table/tbl1/ - tblfn1" xr:uid="{00000000-0004-0000-0B00-000007000000}"/>
    <hyperlink ref="J22" r:id="rId9" location="tblfn2" display="http://www.ncbi.nlm.nih.gov/pmc/articles/PMC3243481/table/tbl1/ - tblfn2" xr:uid="{00000000-0004-0000-0B00-000008000000}"/>
    <hyperlink ref="I24" r:id="rId10" location="tblfn1" display="http://www.ncbi.nlm.nih.gov/pmc/articles/PMC3243481/table/tbl1/ - tblfn1" xr:uid="{00000000-0004-0000-0B00-000009000000}"/>
    <hyperlink ref="I25" r:id="rId11" location="tblfn3" display="http://www.ncbi.nlm.nih.gov/pmc/articles/PMC3243481/table/tbl1/ - tblfn3" xr:uid="{00000000-0004-0000-0B00-00000A000000}"/>
    <hyperlink ref="I26" r:id="rId12" location="tblfn3" display="http://www.ncbi.nlm.nih.gov/pmc/articles/PMC3243481/table/tbl1/ - tblfn3" xr:uid="{00000000-0004-0000-0B00-00000B000000}"/>
    <hyperlink ref="I30" r:id="rId13" location="tblfn3" display="http://www.ncbi.nlm.nih.gov/pmc/articles/PMC3243481/table/tbl1/ - tblfn3" xr:uid="{00000000-0004-0000-0B00-00000C000000}"/>
    <hyperlink ref="I31" r:id="rId14" location="tblfn3" display="http://www.ncbi.nlm.nih.gov/pmc/articles/PMC3243481/table/tbl1/ - tblfn3" xr:uid="{00000000-0004-0000-0B00-00000D000000}"/>
    <hyperlink ref="I32" r:id="rId15" location="tblfn3" display="http://www.ncbi.nlm.nih.gov/pmc/articles/PMC3243481/table/tbl1/ - tblfn3" xr:uid="{00000000-0004-0000-0B00-00000E000000}"/>
    <hyperlink ref="I33" r:id="rId16" location="tblfn3" display="http://www.ncbi.nlm.nih.gov/pmc/articles/PMC3243481/table/tbl1/ - tblfn3" xr:uid="{00000000-0004-0000-0B00-00000F000000}"/>
    <hyperlink ref="I34" r:id="rId17" location="tblfn3" display="http://www.ncbi.nlm.nih.gov/pmc/articles/PMC3243481/table/tbl1/ - tblfn3" xr:uid="{00000000-0004-0000-0B00-000010000000}"/>
    <hyperlink ref="I35" r:id="rId18" location="tblfn3" display="http://www.ncbi.nlm.nih.gov/pmc/articles/PMC3243481/table/tbl1/ - tblfn3" xr:uid="{00000000-0004-0000-0B00-000011000000}"/>
    <hyperlink ref="I36" r:id="rId19" location="tblfn3" display="http://www.ncbi.nlm.nih.gov/pmc/articles/PMC3243481/table/tbl1/ - tblfn3" xr:uid="{00000000-0004-0000-0B00-000012000000}"/>
    <hyperlink ref="I37" r:id="rId20" location="tblfn3" display="http://www.ncbi.nlm.nih.gov/pmc/articles/PMC3243481/table/tbl1/ - tblfn3" xr:uid="{00000000-0004-0000-0B00-000013000000}"/>
    <hyperlink ref="I38" r:id="rId21" location="tblfn3" display="http://www.ncbi.nlm.nih.gov/pmc/articles/PMC3243481/table/tbl1/ - tblfn3" xr:uid="{00000000-0004-0000-0B00-000014000000}"/>
  </hyperlinks>
  <pageMargins left="0.7" right="0.7" top="0.75" bottom="0.75" header="0.3" footer="0.3"/>
  <pageSetup orientation="portrait" r:id="rId2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8</vt:i4>
      </vt:variant>
    </vt:vector>
  </HeadingPairs>
  <TitlesOfParts>
    <vt:vector size="19" baseType="lpstr">
      <vt:lpstr>Basic PK</vt:lpstr>
      <vt:lpstr>VolumeFlow</vt:lpstr>
      <vt:lpstr>TissueComp</vt:lpstr>
      <vt:lpstr>Flows</vt:lpstr>
      <vt:lpstr>Human Density</vt:lpstr>
      <vt:lpstr>Percent BW</vt:lpstr>
      <vt:lpstr>Composition of Bone</vt:lpstr>
      <vt:lpstr>Blood Fraction</vt:lpstr>
      <vt:lpstr>PlasmaLipid</vt:lpstr>
      <vt:lpstr>Average Properties</vt:lpstr>
      <vt:lpstr>Average Properties Calc</vt:lpstr>
      <vt:lpstr>TissueComp!bbib18</vt:lpstr>
      <vt:lpstr>TissueComp!bbib8</vt:lpstr>
      <vt:lpstr>VolumeFlow!bbib8</vt:lpstr>
      <vt:lpstr>TissueComp!tblfn10</vt:lpstr>
      <vt:lpstr>TissueComp!tblfn8</vt:lpstr>
      <vt:lpstr>VolumeFlow!tblfn8</vt:lpstr>
      <vt:lpstr>TissueComp!tblfn9</vt:lpstr>
      <vt:lpstr>VolumeFlow!tblfn9</vt:lpstr>
    </vt:vector>
  </TitlesOfParts>
  <Company>US-EPA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Wambaugh</dc:creator>
  <cp:lastModifiedBy>Wambaugh, John</cp:lastModifiedBy>
  <dcterms:created xsi:type="dcterms:W3CDTF">2011-08-29T15:21:34Z</dcterms:created>
  <dcterms:modified xsi:type="dcterms:W3CDTF">2021-11-16T20:14:49Z</dcterms:modified>
</cp:coreProperties>
</file>