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usepa-my.sharepoint.com/personal/wambaugh_john_epa_gov/Documents/Profile/Documents/Research Projects/PFASQSAR/TechReviews/"/>
    </mc:Choice>
  </mc:AlternateContent>
  <xr:revisionPtr revIDLastSave="717" documentId="8_{10B396D6-17DA-41D6-8234-B6AFAAF849B4}" xr6:coauthVersionLast="47" xr6:coauthVersionMax="47" xr10:uidLastSave="{4E686015-CCEE-4272-936D-01948D0935E1}"/>
  <bookViews>
    <workbookView xWindow="-120" yWindow="-120" windowWidth="29040" windowHeight="16440" activeTab="6" xr2:uid="{3AE89EC0-E899-4B86-9873-BFB640045260}"/>
  </bookViews>
  <sheets>
    <sheet name="S3.0_Index" sheetId="12" r:id="rId1"/>
    <sheet name="S3.1 Literature data" sheetId="5" r:id="rId2"/>
    <sheet name="S3.2 Compiled PFAS data" sheetId="9" r:id="rId3"/>
    <sheet name="Table 1" sheetId="13" r:id="rId4"/>
    <sheet name="S3.3 Chemical Structure" sheetId="11" r:id="rId5"/>
    <sheet name="S3.4 Model training set" sheetId="10" r:id="rId6"/>
    <sheet name="Table 2" sheetId="14" r:id="rId7"/>
    <sheet name="Table 3" sheetId="15" r:id="rId8"/>
    <sheet name="S3.5 Vd" sheetId="6" r:id="rId9"/>
    <sheet name="S3.6 Vd_Huang et al. 2019_Calc" sheetId="8" r:id="rId10"/>
  </sheets>
  <definedNames>
    <definedName name="_Hlk88481627" localSheetId="0">'S3.0_Index'!$A$1</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4" i="9" l="1"/>
  <c r="N24" i="9" s="1"/>
  <c r="M31" i="9"/>
  <c r="N31" i="9" s="1"/>
  <c r="M26" i="9"/>
  <c r="N26" i="9" s="1"/>
  <c r="M30" i="9"/>
  <c r="N30" i="9" s="1"/>
  <c r="M33" i="9"/>
  <c r="N33" i="9" s="1"/>
  <c r="M25" i="9"/>
  <c r="N25" i="9" s="1"/>
  <c r="M32" i="9"/>
  <c r="N32" i="9" s="1"/>
  <c r="M27" i="9"/>
  <c r="N27" i="9" s="1"/>
  <c r="M29" i="9"/>
  <c r="N29" i="9" s="1"/>
  <c r="M28" i="9"/>
  <c r="N28" i="9" s="1"/>
  <c r="M88" i="9"/>
  <c r="N88" i="9" s="1"/>
  <c r="M90" i="9"/>
  <c r="N90" i="9" s="1"/>
  <c r="M81" i="9"/>
  <c r="N81" i="9" s="1"/>
  <c r="M85" i="9"/>
  <c r="N85" i="9" s="1"/>
  <c r="M82" i="9"/>
  <c r="N82" i="9" s="1"/>
  <c r="M80" i="9"/>
  <c r="N80" i="9" s="1"/>
  <c r="M86" i="9"/>
  <c r="N86" i="9" s="1"/>
  <c r="M84" i="9"/>
  <c r="N84" i="9" s="1"/>
  <c r="M83" i="9"/>
  <c r="N83" i="9" s="1"/>
  <c r="M89" i="9"/>
  <c r="N89" i="9" s="1"/>
  <c r="M87" i="9"/>
  <c r="N87" i="9" s="1"/>
  <c r="M72" i="9"/>
  <c r="N72" i="9" s="1"/>
  <c r="M79" i="9"/>
  <c r="N79" i="9" s="1"/>
  <c r="M78" i="9"/>
  <c r="N78" i="9" s="1"/>
  <c r="M74" i="9"/>
  <c r="N74" i="9" s="1"/>
  <c r="M77" i="9"/>
  <c r="N77" i="9" s="1"/>
  <c r="M75" i="9"/>
  <c r="N75" i="9" s="1"/>
  <c r="M76" i="9"/>
  <c r="N76" i="9" s="1"/>
  <c r="M73" i="9"/>
  <c r="N73" i="9" s="1"/>
  <c r="M52" i="9"/>
  <c r="N52" i="9" s="1"/>
  <c r="M56" i="9"/>
  <c r="N56" i="9" s="1"/>
  <c r="M54" i="9"/>
  <c r="N54" i="9" s="1"/>
  <c r="M59" i="9"/>
  <c r="N59" i="9" s="1"/>
  <c r="M57" i="9"/>
  <c r="N57" i="9" s="1"/>
  <c r="M61" i="9"/>
  <c r="N61" i="9" s="1"/>
  <c r="M55" i="9"/>
  <c r="N55" i="9" s="1"/>
  <c r="M60" i="9"/>
  <c r="N60" i="9" s="1"/>
  <c r="M58" i="9"/>
  <c r="N58" i="9" s="1"/>
  <c r="M53" i="9"/>
  <c r="N53" i="9" s="1"/>
  <c r="M20" i="9"/>
  <c r="N20" i="9" s="1"/>
  <c r="M14" i="9"/>
  <c r="N14" i="9" s="1"/>
  <c r="M17" i="9"/>
  <c r="N17" i="9" s="1"/>
  <c r="M19" i="9"/>
  <c r="N19" i="9" s="1"/>
  <c r="M16" i="9"/>
  <c r="N16" i="9" s="1"/>
  <c r="M18" i="9"/>
  <c r="N18" i="9" s="1"/>
  <c r="M23" i="9"/>
  <c r="N23" i="9" s="1"/>
  <c r="M15" i="9"/>
  <c r="N15" i="9" s="1"/>
  <c r="M22" i="9"/>
  <c r="N22" i="9" s="1"/>
  <c r="M21" i="9"/>
  <c r="N21" i="9" s="1"/>
  <c r="M5" i="9"/>
  <c r="N5" i="9" s="1"/>
  <c r="M7" i="9"/>
  <c r="N7" i="9" s="1"/>
  <c r="M2" i="9"/>
  <c r="N2" i="9" s="1"/>
  <c r="M3" i="9"/>
  <c r="N3" i="9" s="1"/>
  <c r="M6" i="9"/>
  <c r="N6" i="9" s="1"/>
  <c r="M4" i="9"/>
  <c r="N4" i="9" s="1"/>
  <c r="M11" i="9"/>
  <c r="N11" i="9" s="1"/>
  <c r="M9" i="9"/>
  <c r="N9" i="9" s="1"/>
  <c r="M13" i="9"/>
  <c r="N13" i="9" s="1"/>
  <c r="M8" i="9"/>
  <c r="N8" i="9" s="1"/>
  <c r="M10" i="9"/>
  <c r="N10" i="9" s="1"/>
  <c r="M12" i="9"/>
  <c r="N12" i="9" s="1"/>
  <c r="M51" i="9"/>
  <c r="N51" i="9" s="1"/>
  <c r="M49" i="9"/>
  <c r="N49" i="9" s="1"/>
  <c r="M45" i="9"/>
  <c r="N45" i="9" s="1"/>
  <c r="M44" i="9"/>
  <c r="N44" i="9" s="1"/>
  <c r="M43" i="9"/>
  <c r="N43" i="9" s="1"/>
  <c r="M48" i="9"/>
  <c r="N48" i="9" s="1"/>
  <c r="M47" i="9"/>
  <c r="N47" i="9" s="1"/>
  <c r="M50" i="9"/>
  <c r="N50" i="9" s="1"/>
  <c r="M42" i="9"/>
  <c r="N42" i="9" s="1"/>
  <c r="M46" i="9"/>
  <c r="N46" i="9" s="1"/>
  <c r="M38" i="9"/>
  <c r="N38" i="9" s="1"/>
  <c r="M37" i="9"/>
  <c r="N37" i="9" s="1"/>
  <c r="M41" i="9"/>
  <c r="N41" i="9" s="1"/>
  <c r="M39" i="9"/>
  <c r="N39" i="9" s="1"/>
  <c r="M40" i="9"/>
  <c r="N40" i="9" s="1"/>
  <c r="M36" i="9"/>
  <c r="N36" i="9" s="1"/>
  <c r="M35" i="9"/>
  <c r="N35" i="9" s="1"/>
  <c r="M34" i="9"/>
  <c r="N34" i="9" s="1"/>
  <c r="M65" i="9"/>
  <c r="N65" i="9" s="1"/>
  <c r="M64" i="9"/>
  <c r="N64" i="9" s="1"/>
  <c r="M69" i="9"/>
  <c r="N69" i="9" s="1"/>
  <c r="M66" i="9"/>
  <c r="N66" i="9" s="1"/>
  <c r="M71" i="9"/>
  <c r="N71" i="9" s="1"/>
  <c r="M68" i="9"/>
  <c r="N68" i="9" s="1"/>
  <c r="M70" i="9"/>
  <c r="N70" i="9" s="1"/>
  <c r="M67" i="9"/>
  <c r="N67" i="9" s="1"/>
  <c r="M62" i="9"/>
  <c r="N62" i="9" s="1"/>
  <c r="M63" i="9"/>
  <c r="N63" i="9" s="1"/>
  <c r="M91" i="9"/>
  <c r="N91" i="9" s="1"/>
  <c r="M92" i="9"/>
  <c r="N92" i="9" s="1"/>
  <c r="H62" i="9"/>
  <c r="H63" i="9"/>
  <c r="U26" i="8"/>
  <c r="T26" i="8"/>
  <c r="S26" i="8"/>
  <c r="S25" i="8"/>
  <c r="T25" i="8" s="1"/>
  <c r="U25" i="8" s="1"/>
  <c r="V25" i="8" s="1"/>
  <c r="S24" i="8"/>
  <c r="T24" i="8" s="1"/>
  <c r="U24" i="8" s="1"/>
  <c r="V24" i="8" s="1"/>
  <c r="S23" i="8"/>
  <c r="T23" i="8" s="1"/>
  <c r="U23" i="8" s="1"/>
  <c r="V23" i="8" s="1"/>
  <c r="S22" i="8"/>
  <c r="T22" i="8" s="1"/>
  <c r="U22" i="8" s="1"/>
  <c r="V22" i="8" s="1"/>
  <c r="S21" i="8"/>
  <c r="T21" i="8" s="1"/>
  <c r="U21" i="8" s="1"/>
  <c r="V21" i="8" s="1"/>
  <c r="T20" i="8"/>
  <c r="U20" i="8" s="1"/>
  <c r="V20" i="8" s="1"/>
  <c r="S20" i="8"/>
  <c r="T19" i="8"/>
  <c r="U19" i="8" s="1"/>
  <c r="V19" i="8" s="1"/>
  <c r="S19" i="8"/>
  <c r="S18" i="8"/>
  <c r="T18" i="8" s="1"/>
  <c r="U18" i="8" s="1"/>
  <c r="V18" i="8" s="1"/>
  <c r="V17" i="8"/>
  <c r="U17" i="8"/>
  <c r="T17" i="8"/>
  <c r="S17" i="8"/>
  <c r="V16" i="8"/>
  <c r="U16" i="8"/>
  <c r="T16" i="8"/>
  <c r="S16" i="8"/>
  <c r="V15" i="8"/>
  <c r="U15" i="8"/>
  <c r="T15" i="8"/>
  <c r="S15" i="8"/>
  <c r="V14" i="8"/>
  <c r="U14" i="8"/>
  <c r="T14" i="8"/>
  <c r="S14" i="8"/>
  <c r="V13" i="8"/>
  <c r="U13" i="8"/>
  <c r="T13" i="8"/>
  <c r="S13" i="8"/>
  <c r="V12" i="8"/>
  <c r="U12" i="8"/>
  <c r="T12" i="8"/>
  <c r="S12" i="8"/>
  <c r="S11" i="8"/>
  <c r="T11" i="8" s="1"/>
  <c r="U11" i="8" s="1"/>
  <c r="V11" i="8" s="1"/>
  <c r="S10" i="8"/>
  <c r="T10" i="8" s="1"/>
  <c r="U10" i="8" s="1"/>
  <c r="V10" i="8" s="1"/>
  <c r="V9" i="8"/>
  <c r="U9" i="8"/>
  <c r="T9" i="8"/>
  <c r="S9" i="8"/>
  <c r="V8" i="8"/>
  <c r="U8" i="8"/>
  <c r="T8" i="8"/>
  <c r="S8" i="8"/>
  <c r="V7" i="8"/>
  <c r="U7" i="8"/>
  <c r="T7" i="8"/>
  <c r="S7" i="8"/>
  <c r="S6" i="8"/>
  <c r="T6" i="8" s="1"/>
  <c r="U6" i="8" s="1"/>
  <c r="V6" i="8" s="1"/>
  <c r="S5" i="8"/>
  <c r="T5" i="8" s="1"/>
  <c r="U5" i="8" s="1"/>
  <c r="V5" i="8" s="1"/>
  <c r="S4" i="8"/>
  <c r="T4" i="8" s="1"/>
  <c r="U4" i="8" s="1"/>
  <c r="V4" i="8" s="1"/>
  <c r="S3" i="8"/>
  <c r="T3" i="8" s="1"/>
  <c r="U3" i="8" s="1"/>
  <c r="V3" i="8" s="1"/>
  <c r="S2" i="8"/>
  <c r="T2" i="8" s="1"/>
  <c r="U2" i="8" s="1"/>
  <c r="V2" i="8" s="1"/>
  <c r="K162" i="5" l="1"/>
  <c r="J162" i="5"/>
  <c r="K161" i="5"/>
  <c r="J161" i="5"/>
  <c r="K160" i="5"/>
  <c r="J160" i="5"/>
  <c r="K159" i="5"/>
  <c r="J159" i="5"/>
  <c r="K27" i="5" l="1"/>
  <c r="K4" i="5" l="1"/>
  <c r="J4" i="5"/>
  <c r="K5" i="5"/>
  <c r="J5" i="5"/>
  <c r="K93" i="5"/>
  <c r="J93" i="5"/>
  <c r="K92" i="5"/>
  <c r="J92" i="5"/>
  <c r="K95" i="5"/>
  <c r="K94" i="5"/>
  <c r="J94" i="5"/>
  <c r="J95" i="5"/>
  <c r="K98" i="5"/>
  <c r="J98" i="5"/>
  <c r="K97" i="5"/>
  <c r="J97" i="5"/>
  <c r="K96" i="5"/>
  <c r="J96" i="5"/>
  <c r="K99" i="5"/>
  <c r="J99" i="5"/>
  <c r="K125" i="5" l="1"/>
  <c r="J125" i="5"/>
  <c r="K124" i="5"/>
  <c r="J124" i="5"/>
  <c r="K126" i="5"/>
  <c r="J126" i="5"/>
  <c r="K123" i="5"/>
  <c r="J123" i="5"/>
  <c r="K130" i="5"/>
  <c r="J130" i="5"/>
  <c r="K128" i="5"/>
  <c r="J128" i="5"/>
  <c r="K129" i="5"/>
  <c r="J129" i="5"/>
  <c r="K127" i="5"/>
  <c r="J127" i="5"/>
  <c r="K149" i="5"/>
  <c r="J149" i="5"/>
  <c r="K44" i="5"/>
  <c r="K47" i="5"/>
  <c r="J47" i="5"/>
  <c r="J44" i="5"/>
  <c r="K46" i="5"/>
  <c r="J46" i="5"/>
  <c r="K42" i="5"/>
  <c r="J42" i="5"/>
  <c r="K48" i="5"/>
  <c r="J48" i="5"/>
  <c r="K43" i="5"/>
  <c r="J43" i="5"/>
  <c r="K41" i="5"/>
  <c r="J41" i="5"/>
  <c r="K45" i="5"/>
  <c r="J45" i="5"/>
  <c r="K61" i="5"/>
  <c r="J61" i="5"/>
  <c r="K63" i="5"/>
  <c r="J63" i="5"/>
  <c r="K64" i="5"/>
  <c r="J64" i="5"/>
  <c r="K58" i="5"/>
  <c r="J58" i="5"/>
  <c r="K59" i="5"/>
  <c r="J59" i="5"/>
  <c r="K60" i="5"/>
  <c r="J60" i="5"/>
  <c r="K62" i="5"/>
  <c r="J62" i="5"/>
  <c r="K57" i="5"/>
  <c r="J57" i="5"/>
  <c r="K54" i="5"/>
  <c r="J54" i="5"/>
  <c r="K49" i="5"/>
  <c r="J49" i="5"/>
  <c r="K55" i="5"/>
  <c r="J55" i="5"/>
  <c r="K51" i="5"/>
  <c r="J51" i="5"/>
  <c r="K53" i="5"/>
  <c r="J53" i="5"/>
  <c r="K50" i="5"/>
  <c r="J50" i="5"/>
  <c r="K56" i="5"/>
  <c r="J56" i="5"/>
  <c r="K52" i="5"/>
  <c r="J52" i="5"/>
  <c r="K68" i="5"/>
  <c r="J68" i="5"/>
  <c r="K65" i="5"/>
  <c r="J65" i="5"/>
  <c r="K67" i="5"/>
  <c r="J67" i="5"/>
  <c r="K66" i="5"/>
  <c r="J66" i="5"/>
  <c r="K146" i="5"/>
  <c r="J146" i="5"/>
  <c r="K145" i="5"/>
  <c r="J145" i="5"/>
  <c r="K150" i="5"/>
  <c r="J150" i="5"/>
  <c r="K152" i="5"/>
  <c r="J152" i="5"/>
  <c r="K151" i="5"/>
  <c r="J151" i="5"/>
  <c r="J148" i="5"/>
  <c r="K148" i="5"/>
  <c r="J147" i="5"/>
  <c r="K147" i="5"/>
  <c r="K19" i="5"/>
  <c r="J19" i="5"/>
  <c r="K20" i="5"/>
  <c r="J20" i="5"/>
  <c r="J26" i="5"/>
  <c r="J27" i="5"/>
  <c r="J25" i="5"/>
  <c r="J28" i="5"/>
  <c r="K28" i="5"/>
  <c r="K25" i="5"/>
  <c r="K26" i="5"/>
  <c r="J118" i="5"/>
  <c r="K118" i="5"/>
  <c r="K117" i="5"/>
  <c r="J117" i="5"/>
  <c r="J116" i="5"/>
  <c r="K116" i="5"/>
  <c r="K115" i="5"/>
  <c r="J115" i="5"/>
  <c r="K122" i="5"/>
  <c r="J122" i="5"/>
  <c r="K121" i="5"/>
  <c r="J121" i="5"/>
  <c r="K120" i="5"/>
  <c r="J120" i="5"/>
  <c r="K119" i="5"/>
  <c r="J119" i="5"/>
  <c r="K113" i="5"/>
  <c r="J113" i="5"/>
  <c r="K111" i="5"/>
  <c r="J111" i="5"/>
  <c r="K114" i="5"/>
  <c r="J114" i="5"/>
  <c r="K112" i="5"/>
  <c r="J112" i="5"/>
  <c r="K168" i="5"/>
  <c r="J168" i="5"/>
  <c r="K167" i="5"/>
  <c r="J167" i="5"/>
  <c r="K175" i="5"/>
  <c r="J175" i="5"/>
  <c r="J77" i="5"/>
  <c r="K174" i="5"/>
  <c r="J174" i="5"/>
  <c r="K173" i="5"/>
  <c r="J173" i="5"/>
  <c r="K89" i="5" l="1"/>
  <c r="J89" i="5"/>
  <c r="K88" i="5"/>
  <c r="J88" i="5"/>
  <c r="K90" i="5"/>
  <c r="J90" i="5"/>
  <c r="K91" i="5"/>
  <c r="J91" i="5"/>
  <c r="K85" i="5"/>
  <c r="J85" i="5"/>
  <c r="K87" i="5"/>
  <c r="J87" i="5"/>
  <c r="K86" i="5"/>
  <c r="J86" i="5"/>
  <c r="K84" i="5"/>
  <c r="J84" i="5"/>
  <c r="K78" i="5"/>
  <c r="J78" i="5"/>
  <c r="K77" i="5"/>
  <c r="K81" i="5"/>
  <c r="J81" i="5"/>
  <c r="K82" i="5"/>
  <c r="J82" i="5"/>
  <c r="K83" i="5"/>
  <c r="J83" i="5"/>
  <c r="K79" i="5"/>
  <c r="J79" i="5"/>
  <c r="K80" i="5"/>
  <c r="J80" i="5"/>
  <c r="K30" i="5"/>
  <c r="J30" i="5"/>
  <c r="K29" i="5"/>
  <c r="J29" i="5"/>
  <c r="K34" i="5"/>
  <c r="J34" i="5"/>
  <c r="K33" i="5"/>
  <c r="J33" i="5"/>
  <c r="K10" i="5"/>
  <c r="J10" i="5"/>
  <c r="J9" i="5"/>
  <c r="K9" i="5"/>
  <c r="K14" i="5"/>
  <c r="J14" i="5"/>
  <c r="K16" i="5"/>
  <c r="J16" i="5"/>
  <c r="K15" i="5"/>
  <c r="J15" i="5"/>
  <c r="K18" i="5"/>
  <c r="K17" i="5"/>
  <c r="K13" i="5"/>
  <c r="K12" i="5"/>
  <c r="K11" i="5"/>
  <c r="J13" i="5"/>
  <c r="J12" i="5"/>
  <c r="J11" i="5"/>
  <c r="J17" i="5"/>
  <c r="J18" i="5"/>
</calcChain>
</file>

<file path=xl/sharedStrings.xml><?xml version="1.0" encoding="utf-8"?>
<sst xmlns="http://schemas.openxmlformats.org/spreadsheetml/2006/main" count="5989" uniqueCount="461">
  <si>
    <t>Species</t>
  </si>
  <si>
    <t>Chemical</t>
  </si>
  <si>
    <t>Sex</t>
  </si>
  <si>
    <t>PFBS (C4)</t>
  </si>
  <si>
    <t>Female</t>
  </si>
  <si>
    <t>0.6-4.0</t>
  </si>
  <si>
    <t>Hrs</t>
  </si>
  <si>
    <t>Days</t>
  </si>
  <si>
    <t>Male</t>
  </si>
  <si>
    <t>2.1-4.5</t>
  </si>
  <si>
    <t>PFHxS (C6)</t>
  </si>
  <si>
    <t>25-27</t>
  </si>
  <si>
    <t>5.3-8.5</t>
  </si>
  <si>
    <t>Yrs</t>
  </si>
  <si>
    <t>28-30</t>
  </si>
  <si>
    <t>PFOS (C8)</t>
  </si>
  <si>
    <t>62-71</t>
  </si>
  <si>
    <t>31-38</t>
  </si>
  <si>
    <t>3.4-5.0</t>
  </si>
  <si>
    <t>38-41</t>
  </si>
  <si>
    <t>36-43</t>
  </si>
  <si>
    <t>PFBA (C4)</t>
  </si>
  <si>
    <t>1.0-1.8</t>
  </si>
  <si>
    <t>6-9</t>
  </si>
  <si>
    <t>PFHxA (C6)</t>
  </si>
  <si>
    <t xml:space="preserve">0.4-0.6 </t>
  </si>
  <si>
    <t>Hours</t>
  </si>
  <si>
    <t xml:space="preserve">1.0-1.6 </t>
  </si>
  <si>
    <t>PFHpA (C7)</t>
  </si>
  <si>
    <t>PFOA (C8)</t>
  </si>
  <si>
    <t>2-4</t>
  </si>
  <si>
    <t>2.1-3.8</t>
  </si>
  <si>
    <t>4-6</t>
  </si>
  <si>
    <t>PFNA (C9)</t>
  </si>
  <si>
    <t xml:space="preserve">1.4-6.4 </t>
  </si>
  <si>
    <t>26-68</t>
  </si>
  <si>
    <t>2.5-4.3</t>
  </si>
  <si>
    <t xml:space="preserve">31-55 </t>
  </si>
  <si>
    <t>34-69</t>
  </si>
  <si>
    <t>PFDA (C10)</t>
  </si>
  <si>
    <t xml:space="preserve">59-75 </t>
  </si>
  <si>
    <t xml:space="preserve">40-80 </t>
  </si>
  <si>
    <t>F-53B</t>
  </si>
  <si>
    <t>GenX</t>
  </si>
  <si>
    <t>Rat</t>
  </si>
  <si>
    <t>Mouse</t>
  </si>
  <si>
    <t>Monkey</t>
  </si>
  <si>
    <t>Human</t>
  </si>
  <si>
    <t>OriginalValue</t>
  </si>
  <si>
    <t>Source</t>
  </si>
  <si>
    <t>Phase</t>
  </si>
  <si>
    <t>Dosing</t>
  </si>
  <si>
    <t>Beta</t>
  </si>
  <si>
    <t>Olsen et al. 2009</t>
  </si>
  <si>
    <t>Oral</t>
  </si>
  <si>
    <t>Orignal Unit</t>
  </si>
  <si>
    <t>Study Unit</t>
  </si>
  <si>
    <t>IV</t>
  </si>
  <si>
    <t>Gamma</t>
  </si>
  <si>
    <t>Occupational</t>
  </si>
  <si>
    <t>Alpha</t>
  </si>
  <si>
    <t>Notes</t>
  </si>
  <si>
    <t>Not substracted from background exposure</t>
  </si>
  <si>
    <t>Years</t>
  </si>
  <si>
    <t>Xu et al. 2020</t>
  </si>
  <si>
    <t>PFPeS(C5)</t>
  </si>
  <si>
    <t>Lower</t>
  </si>
  <si>
    <t>Upper</t>
  </si>
  <si>
    <t>Mean</t>
  </si>
  <si>
    <t>SE</t>
  </si>
  <si>
    <t>Boudary</t>
  </si>
  <si>
    <t>MeanType</t>
  </si>
  <si>
    <t>CI95</t>
  </si>
  <si>
    <t>Geometric</t>
  </si>
  <si>
    <t>Arithmetic</t>
  </si>
  <si>
    <t>Modeled</t>
  </si>
  <si>
    <t>Women: 15-50</t>
  </si>
  <si>
    <t>Men:15-50</t>
  </si>
  <si>
    <t>Li et al. 2018</t>
  </si>
  <si>
    <t>Both</t>
  </si>
  <si>
    <t>Olsen et al. 2007</t>
  </si>
  <si>
    <t>Chang et al. 2008</t>
  </si>
  <si>
    <t>10 mg/kg bw</t>
  </si>
  <si>
    <t>30 mg/kg bw</t>
  </si>
  <si>
    <t>100 mg/kg bw</t>
  </si>
  <si>
    <t>Range</t>
  </si>
  <si>
    <t>Russell et al. 2013</t>
  </si>
  <si>
    <t>Zhang et al. 2013</t>
  </si>
  <si>
    <t>Younger females(&lt;50 Yrs)</t>
  </si>
  <si>
    <t>Men and Older females (&gt;50Yrs)</t>
  </si>
  <si>
    <t>Bartell et al. 2010</t>
  </si>
  <si>
    <t>Shi et al. 2016</t>
  </si>
  <si>
    <t>Mixture of chemicals in F53B</t>
  </si>
  <si>
    <t>Worley et al. 2017</t>
  </si>
  <si>
    <t>Chengelis et al. 2009</t>
  </si>
  <si>
    <t>SD</t>
  </si>
  <si>
    <t>Did not use compartmental analysis, but were a calculated with what they are argued were terminal elimination rate constant</t>
  </si>
  <si>
    <t>50 mg/kg day oral repeated dose</t>
  </si>
  <si>
    <t>150 mg/kg day oral repeated dose</t>
  </si>
  <si>
    <t>300 mg/kg day oral repeated dose</t>
  </si>
  <si>
    <t>10 mg/kg intravenous</t>
  </si>
  <si>
    <t>Huang et al. 2019</t>
  </si>
  <si>
    <t>2 mg/kg day for 5 days</t>
  </si>
  <si>
    <t xml:space="preserve">4 mg/kg </t>
  </si>
  <si>
    <t>4 mg/kg; only IV available for female</t>
  </si>
  <si>
    <t xml:space="preserve">20 mg/kg </t>
  </si>
  <si>
    <t xml:space="preserve">100 mg/kg </t>
  </si>
  <si>
    <t xml:space="preserve">4 mg/kg; onl IV available </t>
  </si>
  <si>
    <t xml:space="preserve">2 mg/kg </t>
  </si>
  <si>
    <t>Sundstrom et al. 2012</t>
  </si>
  <si>
    <t>N=2; 24hr trial</t>
  </si>
  <si>
    <t>N=3; 24hr trial</t>
  </si>
  <si>
    <t>N=1; 24hr trial</t>
  </si>
  <si>
    <t>N=4; 10 week trial</t>
  </si>
  <si>
    <t>1 mg/kg</t>
  </si>
  <si>
    <t>20 mg/kg; 23 week trial</t>
  </si>
  <si>
    <t>1 mg/kg; 23 week trial</t>
  </si>
  <si>
    <t>N=3; 171 day trial</t>
  </si>
  <si>
    <t>Kim et al. 2016</t>
  </si>
  <si>
    <t>Chang et al. 2012</t>
  </si>
  <si>
    <t>2 mg/kg; 10 week trial</t>
  </si>
  <si>
    <t>15 mg/kg; 10 week trial</t>
  </si>
  <si>
    <t>1 mg/kg; 20 week trial</t>
  </si>
  <si>
    <t>20 mg/kg; 20 week trial</t>
  </si>
  <si>
    <t>2 mg/kg; 161 day trial</t>
  </si>
  <si>
    <t>Kabadi et al. 2018</t>
  </si>
  <si>
    <t>Metabolite</t>
  </si>
  <si>
    <t>Exposure to 5.0 ppm FTOH</t>
  </si>
  <si>
    <t>5:3A</t>
  </si>
  <si>
    <t>Ohmori et al. 2003</t>
  </si>
  <si>
    <t>Gannon et al. 2011</t>
  </si>
  <si>
    <t>100 mg/kg</t>
  </si>
  <si>
    <t>Dzierlenga et al. 2020</t>
  </si>
  <si>
    <t>40 mg/kg; best described by 2-compartment</t>
  </si>
  <si>
    <t>80 mg/kg; best described by 2-compartment</t>
  </si>
  <si>
    <t>160 mg/kg; best described by 2-compartment</t>
  </si>
  <si>
    <t>40 mg/kg; best described by 1-compartment</t>
  </si>
  <si>
    <t>160 mg/kg; best described by 1-compartment</t>
  </si>
  <si>
    <t>80 mg/kg; best described by 1-compartment</t>
  </si>
  <si>
    <t>2 mg/kg; best described by 2-compartment</t>
  </si>
  <si>
    <t>10 mg/kg; best described by 2-compartment</t>
  </si>
  <si>
    <t>20 mg/kg; best described by 2-compartment</t>
  </si>
  <si>
    <t>Kabadi et al. 2020</t>
  </si>
  <si>
    <t>Exposure to 0.5 ppm FTOH; single exposure inhalation for 6 hours</t>
  </si>
  <si>
    <t>Exposure to 5.0 ppm FTOH; single exposure inhalation for 6 hours</t>
  </si>
  <si>
    <t>Exposure to 0.5 or 5.0 ppm ppm FTOH; single exposure inhalation for 6 hours</t>
  </si>
  <si>
    <t>Vanden Heuvel et al. 1991</t>
  </si>
  <si>
    <t>Tatum-Gibbs et al. 2011</t>
  </si>
  <si>
    <t>1 mg/kg; single dose</t>
  </si>
  <si>
    <t>3 mg/kg; single dose</t>
  </si>
  <si>
    <t>10 mg/kg; single dose</t>
  </si>
  <si>
    <t>1-10 mg/kg; single dose</t>
  </si>
  <si>
    <t>1 mg/kg ; single dose</t>
  </si>
  <si>
    <t>10 mg/kg ; single dose</t>
  </si>
  <si>
    <t>Kim et al. 2019</t>
  </si>
  <si>
    <t>8:2-FTOH</t>
  </si>
  <si>
    <t>Huang et al. 2019b</t>
  </si>
  <si>
    <t>Huang et al. 2019a</t>
  </si>
  <si>
    <t>12 mg/kg</t>
  </si>
  <si>
    <t>24 mg/kg</t>
  </si>
  <si>
    <t>48 mg/kg</t>
  </si>
  <si>
    <t>40 mg/kg</t>
  </si>
  <si>
    <t>80 mg/kg</t>
  </si>
  <si>
    <t>160 mg/kg</t>
  </si>
  <si>
    <t>Gannon et al. 2016</t>
  </si>
  <si>
    <t>Lau et al. 2020</t>
  </si>
  <si>
    <t>Combined 30 and 300 mg/kg dose</t>
  </si>
  <si>
    <t>Lou et al. 2009</t>
  </si>
  <si>
    <t>1 and 10 mg/kg doses</t>
  </si>
  <si>
    <t>Butenhoff et al. 2004</t>
  </si>
  <si>
    <t>Single Dose</t>
  </si>
  <si>
    <t>Repeated oral doses of 10 and 20 mg/kg</t>
  </si>
  <si>
    <t>Vd</t>
  </si>
  <si>
    <t>10 mg/kg</t>
  </si>
  <si>
    <t>Thompson et al. 2010</t>
  </si>
  <si>
    <t>Study_N</t>
  </si>
  <si>
    <t>Exposure to 5 mg/kg/d for 90 days 6:2 FTOH; From Dupont 2012</t>
  </si>
  <si>
    <t>Exposure to 25 mg/kg/d for 90 days 6:2 FTOH;Dupont 2012</t>
  </si>
  <si>
    <t>Exposure to 5 mg/kg/d for 90 days 6:2 FTOH;Dupont 2012</t>
  </si>
  <si>
    <t>Exposure to 250 mg/kg/d for 90 days 6:2 FTOH;Dupont 2012</t>
  </si>
  <si>
    <t>Confirmed Sample Size</t>
  </si>
  <si>
    <t>Assumed sample size; not stated in source data</t>
  </si>
  <si>
    <t>Input parameters varied; not a measure of underlying variance</t>
  </si>
  <si>
    <t>Assumed value; not available in abstract</t>
  </si>
  <si>
    <t>SSConfirmed</t>
  </si>
  <si>
    <t>Note; Li et al. 2018 is estimated male/female together; splitting here for model structure</t>
  </si>
  <si>
    <t>SourceID</t>
  </si>
  <si>
    <t>Perfluorobutanoic acid</t>
  </si>
  <si>
    <t>CASRN</t>
  </si>
  <si>
    <t>DTXSID</t>
  </si>
  <si>
    <t>375-22-4</t>
  </si>
  <si>
    <t>DTXSID4059916</t>
  </si>
  <si>
    <t>375-73-5</t>
  </si>
  <si>
    <t>DTXSID5030030</t>
  </si>
  <si>
    <t>Perfluorobutanesulfonic acid</t>
  </si>
  <si>
    <t>335-76-2</t>
  </si>
  <si>
    <t>DTXSID3031860</t>
  </si>
  <si>
    <t>Perfluorodecanoic acid</t>
  </si>
  <si>
    <t>375-85-9</t>
  </si>
  <si>
    <t>DTXSID1037303</t>
  </si>
  <si>
    <t>Perfluoroheptanoic acid</t>
  </si>
  <si>
    <t>355-46-4</t>
  </si>
  <si>
    <t>DTXSID7040150</t>
  </si>
  <si>
    <t>Perfluorohexanesulfonic acid</t>
  </si>
  <si>
    <t>375-95-1</t>
  </si>
  <si>
    <t>DTXSID8031863</t>
  </si>
  <si>
    <t>Perfluorononanoic acid</t>
  </si>
  <si>
    <t>1763-23-1</t>
  </si>
  <si>
    <t>DTXSID3031864</t>
  </si>
  <si>
    <t>Perfluorooctanesulfonic acid</t>
  </si>
  <si>
    <t>PREFERRED_NAME</t>
  </si>
  <si>
    <t>DosingAdj</t>
  </si>
  <si>
    <t>Vd_Unit</t>
  </si>
  <si>
    <t>Vd_SE</t>
  </si>
  <si>
    <t>Source PMID</t>
  </si>
  <si>
    <t>NObs</t>
  </si>
  <si>
    <t>Multimodal</t>
  </si>
  <si>
    <t>FittedDist</t>
  </si>
  <si>
    <t>Dose</t>
  </si>
  <si>
    <t>Dose Unit</t>
  </si>
  <si>
    <t>335-67-1</t>
  </si>
  <si>
    <t>DTXSID8031865</t>
  </si>
  <si>
    <t>Perfluorooctanoic acid</t>
  </si>
  <si>
    <t>L/kg</t>
  </si>
  <si>
    <t>mL/kg</t>
  </si>
  <si>
    <t>Dzierlenga et al 2020</t>
  </si>
  <si>
    <t>mg/kg</t>
  </si>
  <si>
    <t>31334035</t>
  </si>
  <si>
    <t>27637925</t>
  </si>
  <si>
    <t>0.5-10</t>
  </si>
  <si>
    <t>Kim et al. 2018</t>
  </si>
  <si>
    <t>29143853</t>
  </si>
  <si>
    <t>1; 4</t>
  </si>
  <si>
    <t>20-50</t>
  </si>
  <si>
    <t>30483840</t>
  </si>
  <si>
    <t>32534104</t>
  </si>
  <si>
    <t>19005225</t>
  </si>
  <si>
    <t>12499116</t>
  </si>
  <si>
    <t>19059455</t>
  </si>
  <si>
    <t>21856411</t>
  </si>
  <si>
    <t>Other</t>
  </si>
  <si>
    <t>V1</t>
  </si>
  <si>
    <t>Ke</t>
  </si>
  <si>
    <t>k21</t>
  </si>
  <si>
    <t>k12</t>
  </si>
  <si>
    <t>k12/k21</t>
  </si>
  <si>
    <t>Vdss</t>
  </si>
  <si>
    <t>HLH</t>
  </si>
  <si>
    <t>HLH_SE</t>
  </si>
  <si>
    <t>756426-58-1</t>
  </si>
  <si>
    <t>DTXSID80892506</t>
  </si>
  <si>
    <t>F53B</t>
  </si>
  <si>
    <t>13252-13-6</t>
  </si>
  <si>
    <t>DTXSID70880215</t>
  </si>
  <si>
    <t>European Chemical Agency</t>
  </si>
  <si>
    <t>Multiple</t>
  </si>
  <si>
    <t>Yes</t>
  </si>
  <si>
    <t>norm</t>
  </si>
  <si>
    <t>No</t>
  </si>
  <si>
    <t>lnorm</t>
  </si>
  <si>
    <t>307-24-4</t>
  </si>
  <si>
    <t>DTXSID3031862</t>
  </si>
  <si>
    <t>Perfluorohexanoic acid</t>
  </si>
  <si>
    <t>HLHBin4</t>
  </si>
  <si>
    <t>TSPC_107.92.6</t>
  </si>
  <si>
    <t>TSPC_111.16.0</t>
  </si>
  <si>
    <t>TSPC_142.62.1</t>
  </si>
  <si>
    <t>Kd_hL_FABP</t>
  </si>
  <si>
    <t>Ka_perM_SerAlb_Han</t>
  </si>
  <si>
    <t>KW_BW_ratio</t>
  </si>
  <si>
    <t>GlomTotSA_KW_ratio</t>
  </si>
  <si>
    <t>ProxTubLen</t>
  </si>
  <si>
    <t>ProxTubDiam</t>
  </si>
  <si>
    <t>LogP_pred</t>
  </si>
  <si>
    <t>LogVP_pred</t>
  </si>
  <si>
    <t>LogWS_pred</t>
  </si>
  <si>
    <t>LogD74_pred</t>
  </si>
  <si>
    <t>COC_aliphatic</t>
  </si>
  <si>
    <t>Structures provided by the USEPA CompTox Chemicals Dashboard</t>
  </si>
  <si>
    <t>375-22-4 | DTXSID4059916</t>
  </si>
  <si>
    <t>307-24-4 | DTXSID3031862</t>
  </si>
  <si>
    <t>375-85-9 | DTXSID1037303</t>
  </si>
  <si>
    <t>335-67-1 | DTXSID8031865</t>
  </si>
  <si>
    <t>375-95-1 | DTXSID8031863</t>
  </si>
  <si>
    <t>335-76-2 | DTXSID3031860</t>
  </si>
  <si>
    <t>375-73-5 | DTXSID5030030</t>
  </si>
  <si>
    <t>355-46-4 | DTXSID7040150</t>
  </si>
  <si>
    <t>1763-23-1 | DTXSID3031864</t>
  </si>
  <si>
    <t>Perfluoro-2-methyl-3-oxahexanoic acid (GenX)</t>
  </si>
  <si>
    <t>Perfluoro(2-((6-chlorohexyl)oxy)ethanesulfonic acid) (F-53B)</t>
  </si>
  <si>
    <t>13252-13-6 | DTXSID70880215</t>
  </si>
  <si>
    <t>756426-58-1 | DTXSID80892506</t>
  </si>
  <si>
    <t>A Quantitative Structure-property Relationship (QSPR) model to estimate half-lives of poly- and- perfluoro-alkyl substances (PFAS) in multiple species</t>
  </si>
  <si>
    <t xml:space="preserve">Daniel Dawson1, Christopher Lau2, Prachi Pradeep3, Risa R. Sayre1, Richard Judson1, Rogelio Tornero-Velez1, and John F. Wambaugh1*, </t>
  </si>
  <si>
    <t>1U.S. Environmental Protection Agency, Office of Research and Development, Center for Computational Toxicology and Exposure, 109 T.W. Alexander Drive, Research Triangle Park, NC 27709 
2U.S. Environmental Protection Agency, Office of Research and Development, Center for Public Health and Environmental Assessment, 109 T.W. Alexander Drive, Research Triangle Park, NC 27709 
3Oak Ridge Institutes for Science and Education, Oak Ridge, TN 37830</t>
  </si>
  <si>
    <t>Index</t>
  </si>
  <si>
    <t>Description</t>
  </si>
  <si>
    <t>PFAS Half-life data from liturature sources used to derive the training set</t>
  </si>
  <si>
    <t>Chemical structures of all training set chemicals</t>
  </si>
  <si>
    <t>Training set half-life data compiled from 3.1</t>
  </si>
  <si>
    <t>Training set data data with predictor variables</t>
  </si>
  <si>
    <t>Volume of distribution data compiled from literature sources</t>
  </si>
  <si>
    <t>Volume of distribution calculations from Huang et al. 2019</t>
  </si>
  <si>
    <t>Humans</t>
  </si>
  <si>
    <r>
      <t>(</t>
    </r>
    <r>
      <rPr>
        <b/>
        <i/>
        <sz val="11"/>
        <color rgb="FF000000"/>
        <rFont val="Arial"/>
        <family val="2"/>
      </rPr>
      <t>Rattus rattus</t>
    </r>
    <r>
      <rPr>
        <b/>
        <sz val="11"/>
        <color rgb="FF000000"/>
        <rFont val="Arial"/>
        <family val="2"/>
      </rPr>
      <t>)</t>
    </r>
  </si>
  <si>
    <r>
      <t>(</t>
    </r>
    <r>
      <rPr>
        <b/>
        <i/>
        <sz val="11"/>
        <color rgb="FF000000"/>
        <rFont val="Arial"/>
        <family val="2"/>
      </rPr>
      <t>Mus musculus</t>
    </r>
    <r>
      <rPr>
        <b/>
        <sz val="11"/>
        <color rgb="FF000000"/>
        <rFont val="Arial"/>
        <family val="2"/>
      </rPr>
      <t>)</t>
    </r>
    <r>
      <rPr>
        <sz val="11"/>
        <color theme="1"/>
        <rFont val="Times New Roman"/>
        <family val="1"/>
      </rPr>
      <t> </t>
    </r>
  </si>
  <si>
    <r>
      <t>(</t>
    </r>
    <r>
      <rPr>
        <b/>
        <i/>
        <sz val="11"/>
        <color rgb="FF000000"/>
        <rFont val="Arial"/>
        <family val="2"/>
      </rPr>
      <t>Macaca fascicularis</t>
    </r>
    <r>
      <rPr>
        <b/>
        <sz val="11"/>
        <color rgb="FF000000"/>
        <rFont val="Arial"/>
        <family val="2"/>
      </rPr>
      <t>)</t>
    </r>
  </si>
  <si>
    <r>
      <t>(</t>
    </r>
    <r>
      <rPr>
        <b/>
        <i/>
        <sz val="11"/>
        <color rgb="FF000000"/>
        <rFont val="Arial"/>
        <family val="2"/>
      </rPr>
      <t>Homo sapiens</t>
    </r>
    <r>
      <rPr>
        <b/>
        <sz val="11"/>
        <color rgb="FF000000"/>
        <rFont val="Arial"/>
        <family val="2"/>
      </rPr>
      <t>)</t>
    </r>
  </si>
  <si>
    <t>Value</t>
  </si>
  <si>
    <t>Unit</t>
  </si>
  <si>
    <t>F</t>
  </si>
  <si>
    <t>{Lau, 2020}</t>
  </si>
  <si>
    <t>M</t>
  </si>
  <si>
    <t>HLD</t>
  </si>
  <si>
    <t>HLY</t>
  </si>
  <si>
    <t>{Shi, 2016}</t>
  </si>
  <si>
    <t>3.4</t>
  </si>
  <si>
    <t>2.7</t>
  </si>
  <si>
    <t>3.7</t>
  </si>
  <si>
    <t>1.0</t>
  </si>
  <si>
    <t>1.5</t>
  </si>
  <si>
    <t>0.9-2.8</t>
  </si>
  <si>
    <t>3.0-3.7</t>
  </si>
  <si>
    <t>18</t>
  </si>
  <si>
    <t>{Gannon, 2016}</t>
  </si>
  <si>
    <t>{Echa, 2021}</t>
  </si>
  <si>
    <t>4</t>
  </si>
  <si>
    <t>7.1</t>
  </si>
  <si>
    <t>{Zhang, 2013}</t>
  </si>
  <si>
    <t>45-59</t>
  </si>
  <si>
    <t>55-83</t>
  </si>
  <si>
    <t>{Ohmori, 2003; Kim, 2019; Dzierlenga, 2020}</t>
  </si>
  <si>
    <t>6.4</t>
  </si>
  <si>
    <t>3.3-5.5</t>
  </si>
  <si>
    <t>{Kim, 2019; Tatum, 2011; Ohmori, 2003}</t>
  </si>
  <si>
    <t>42</t>
  </si>
  <si>
    <t>87</t>
  </si>
  <si>
    <t>{Tatum, 2011}</t>
  </si>
  <si>
    <t>1.7</t>
  </si>
  <si>
    <t>3.2</t>
  </si>
  <si>
    <t>1.7-4.8</t>
  </si>
  <si>
    <t>8.1-8.5</t>
  </si>
  <si>
    <t>{Lou, 2009}</t>
  </si>
  <si>
    <t>20-21</t>
  </si>
  <si>
    <t>33</t>
  </si>
  <si>
    <t>{Butenhoff, 2004}</t>
  </si>
  <si>
    <t>3.5</t>
  </si>
  <si>
    <t>1.2-2.1</t>
  </si>
  <si>
    <t>1.5-.24</t>
  </si>
  <si>
    <t>{Ohmori, 2003; Kabadi, 2018}</t>
  </si>
  <si>
    <t>140</t>
  </si>
  <si>
    <t>130</t>
  </si>
  <si>
    <t>{Zhang, 2013; Xu, 2020}</t>
  </si>
  <si>
    <t>0.5-7.3</t>
  </si>
  <si>
    <t>1.3-11</t>
  </si>
  <si>
    <t>{kabadi, 2018; Dzierlenga, 2020; Gannon, 2011; Chengelis, 2009}</t>
  </si>
  <si>
    <t>{Chengelis, 2009}</t>
  </si>
  <si>
    <t>{Russell, 2013}</t>
  </si>
  <si>
    <t>1.8</t>
  </si>
  <si>
    <t>9.2</t>
  </si>
  <si>
    <t>{Chang, 2008}</t>
  </si>
  <si>
    <t>6.2</t>
  </si>
  <si>
    <t>12</t>
  </si>
  <si>
    <t>28-43</t>
  </si>
  <si>
    <t>34-36</t>
  </si>
  <si>
    <t>{Kim, 2016; Huang, 2019; Chang, 2012}</t>
  </si>
  <si>
    <t>38</t>
  </si>
  <si>
    <t>43</t>
  </si>
  <si>
    <t>{Chang, 2012}</t>
  </si>
  <si>
    <t>{Zhang, 2013; Xu, 2020; Worley, 2017; Olsen, 2007; Li, 2018}</t>
  </si>
  <si>
    <t>1.3-1.4</t>
  </si>
  <si>
    <t>26-27</t>
  </si>
  <si>
    <t>{Sundstrom, 2012; Kim, 2016; Huang, 2019}</t>
  </si>
  <si>
    <t>27</t>
  </si>
  <si>
    <t>28</t>
  </si>
  <si>
    <t>{Sundstrom, 2012}</t>
  </si>
  <si>
    <t>13</t>
  </si>
  <si>
    <t>14</t>
  </si>
  <si>
    <t>{Zhang, 2013; Worley, 2017; Li, 2018; Xu, 2020}</t>
  </si>
  <si>
    <t>1.5-7.4</t>
  </si>
  <si>
    <t>3.6-5.0</t>
  </si>
  <si>
    <t>{Olsen, 2009; Chengelis, 2009; Huang, 2019}</t>
  </si>
  <si>
    <t>1.1</t>
  </si>
  <si>
    <t>1.6</t>
  </si>
  <si>
    <t>{Olsen, 2009; Chengelis, 2009}</t>
  </si>
  <si>
    <t>35</t>
  </si>
  <si>
    <t>36</t>
  </si>
  <si>
    <t>{Olsen, 2009; Xu, 2020}</t>
  </si>
  <si>
    <t>DTXSID20874028</t>
  </si>
  <si>
    <t>2H,2H,3H,3H-Perfluorooctanoic acid</t>
  </si>
  <si>
    <t>DTXSID7029904</t>
  </si>
  <si>
    <t>2-(Perfluorooctyl)ethanol</t>
  </si>
  <si>
    <t>DTXSID60881236</t>
  </si>
  <si>
    <t>Potassium 9-chlorohexadecafluoro-3-oxanonane-1-sulfonate</t>
  </si>
  <si>
    <t>Perfluoro-2-methyl-3-oxahexanoic acid</t>
  </si>
  <si>
    <t>DTXSID8062600</t>
  </si>
  <si>
    <t>Perfluoropentanesulfonic acid</t>
  </si>
  <si>
    <t>Ref.</t>
  </si>
  <si>
    <t xml:space="preserve">{Vanden Heuvel, 1991; Ohmori, 2003; Kim, 2016; Dzierlenga, 2020} </t>
  </si>
  <si>
    <t>{Zhang, 2013; Xu, 2020; Worley, 2017; Bartell, 2010}</t>
  </si>
  <si>
    <t>Parameter Type</t>
  </si>
  <si>
    <t>Parameter</t>
  </si>
  <si>
    <t>Training Set Median*</t>
  </si>
  <si>
    <t>Training Set Min</t>
  </si>
  <si>
    <t>Training Set Max</t>
  </si>
  <si>
    <t>Protein binding</t>
  </si>
  <si>
    <t>Physico-chemical</t>
  </si>
  <si>
    <t>Average Mass (g/mol)</t>
  </si>
  <si>
    <t>Log Vapor Pressure (mmHg)</t>
  </si>
  <si>
    <t>Log Water Solubility (Mol/L at 25C°)</t>
  </si>
  <si>
    <t>Ether bond present</t>
  </si>
  <si>
    <t>0.13*</t>
  </si>
  <si>
    <t>0.18*</t>
  </si>
  <si>
    <t>0.088*</t>
  </si>
  <si>
    <t>0.066*</t>
  </si>
  <si>
    <t>A - Chemical Structure Descriptors</t>
  </si>
  <si>
    <t>Endogenous Ligand Similarity</t>
  </si>
  <si>
    <t>CAS 107-92-6</t>
  </si>
  <si>
    <t>CAS 142-62-1</t>
  </si>
  <si>
    <t>CAS 111-16-0</t>
  </si>
  <si>
    <t>B - Physiological Descriptors</t>
  </si>
  <si>
    <t>C - Categorical Descriptors</t>
  </si>
  <si>
    <t>Female / Male</t>
  </si>
  <si>
    <t>intravenous, oral, other (epidemiological, via metabolite extrapolation)</t>
  </si>
  <si>
    <t>Kidney Weight / Body Weight (g/kg)</t>
  </si>
  <si>
    <t>Proximal tubule diameter (mm)</t>
  </si>
  <si>
    <t>Proximal tubule length (mm)</t>
  </si>
  <si>
    <t>Table 3</t>
  </si>
  <si>
    <t>Raw Accuracy Change</t>
  </si>
  <si>
    <t>Scaled Accuracy Change</t>
  </si>
  <si>
    <t>Average mass</t>
  </si>
  <si>
    <t>Proximal Tubule Length</t>
  </si>
  <si>
    <t>Log Vapor Pressure (OPERA)</t>
  </si>
  <si>
    <r>
      <t>FABP Binding Affinity</t>
    </r>
    <r>
      <rPr>
        <sz val="8"/>
        <color theme="1"/>
        <rFont val="Times New Roman"/>
        <family val="1"/>
      </rPr>
      <t> </t>
    </r>
  </si>
  <si>
    <t>Kidney Weight/Body weight ratio</t>
  </si>
  <si>
    <t>Log Water Solubility (OPERA)</t>
  </si>
  <si>
    <t>Albumin binding affinity</t>
  </si>
  <si>
    <t>Dosing Form</t>
  </si>
  <si>
    <t>Glomerular SA/Kidney Weight</t>
  </si>
  <si>
    <t>Table 2</t>
  </si>
  <si>
    <t>Importance values (in percent reduction in accuracy) of all model predictors in optimal model</t>
  </si>
  <si>
    <t>Table 1</t>
  </si>
  <si>
    <t>Half-Life Summary</t>
  </si>
  <si>
    <t>Summary of descriptors</t>
  </si>
  <si>
    <t>Similarity to CAS 142-62-1</t>
  </si>
  <si>
    <t>Similarity to CAS 107-92-6</t>
  </si>
  <si>
    <t>Similarity to CAS 111-16-0</t>
  </si>
  <si>
    <t>Proximal Tubule Surface Area (SA)</t>
  </si>
  <si>
    <r>
      <t>Ether Bond (COC)</t>
    </r>
    <r>
      <rPr>
        <sz val="8"/>
        <color theme="1"/>
        <rFont val="Times New Roman"/>
        <family val="1"/>
      </rPr>
      <t> </t>
    </r>
  </si>
  <si>
    <t>Chemical Coverage (%)</t>
  </si>
  <si>
    <r>
      <t>Glomerular          Surface Area</t>
    </r>
    <r>
      <rPr>
        <sz val="12"/>
        <color theme="1"/>
        <rFont val="Arial"/>
        <family val="2"/>
      </rPr>
      <t xml:space="preserve"> </t>
    </r>
    <r>
      <rPr>
        <b/>
        <sz val="12"/>
        <color rgb="FF000000"/>
        <rFont val="Arial"/>
        <family val="2"/>
      </rPr>
      <t>/ Kidney Weight</t>
    </r>
  </si>
  <si>
    <t>Descriptor</t>
  </si>
  <si>
    <r>
      <t>Albumin binding affinity constant (Mol</t>
    </r>
    <r>
      <rPr>
        <vertAlign val="superscript"/>
        <sz val="11"/>
        <color rgb="FF000000"/>
        <rFont val="Arial"/>
        <family val="2"/>
      </rPr>
      <t>-1</t>
    </r>
    <r>
      <rPr>
        <sz val="11"/>
        <color rgb="FF000000"/>
        <rFont val="Arial"/>
        <family val="2"/>
      </rPr>
      <t>)</t>
    </r>
  </si>
  <si>
    <t>Overall</t>
  </si>
  <si>
    <t>AVERAGE_MASS</t>
  </si>
  <si>
    <t>LogKOA_pred</t>
  </si>
  <si>
    <t>ProxTubSA</t>
  </si>
  <si>
    <t>Log Octanol:Water (OPERA)</t>
  </si>
  <si>
    <t>Log Octanol:Air (OPERA)</t>
  </si>
  <si>
    <t xml:space="preserve">Log Octanol:Water </t>
  </si>
  <si>
    <t>Log Octanol:Air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</si>
</sst>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1"/>
      <color theme="1"/>
      <name val="Calibri"/>
      <family val="2"/>
      <scheme val="minor"/>
    </font>
    <font>
      <sz val="12"/>
      <color rgb="FF000000"/>
      <name val="Times New Roman"/>
      <family val="1"/>
    </font>
    <font>
      <sz val="12"/>
      <color theme="1"/>
      <name val="Times New Roman"/>
      <family val="1"/>
    </font>
    <font>
      <b/>
      <sz val="11"/>
      <color theme="1"/>
      <name val="Calibri"/>
      <family val="2"/>
      <scheme val="minor"/>
    </font>
    <font>
      <sz val="11"/>
      <color indexed="12"/>
      <name val="Calibri"/>
      <family val="2"/>
      <scheme val="minor"/>
    </font>
    <font>
      <sz val="10"/>
      <color indexed="12"/>
      <name val="Arial"/>
      <family val="2"/>
      <charset val="1"/>
    </font>
    <font>
      <sz val="10"/>
      <color indexed="12"/>
      <name val="Arial"/>
      <family val="2"/>
    </font>
    <font>
      <b/>
      <sz val="11"/>
      <color indexed="8"/>
      <name val="Calibri"/>
      <family val="2"/>
      <scheme val="minor"/>
    </font>
    <font>
      <sz val="11"/>
      <color rgb="FF212121"/>
      <name val="Calibri"/>
      <family val="2"/>
      <scheme val="minor"/>
    </font>
    <font>
      <sz val="12.1"/>
      <color rgb="FF003F65"/>
      <name val="Roboto"/>
    </font>
    <font>
      <sz val="11"/>
      <color rgb="FF003F65"/>
      <name val="Roboto"/>
    </font>
    <font>
      <i/>
      <sz val="12"/>
      <color theme="1"/>
      <name val="Arial"/>
      <family val="2"/>
    </font>
    <font>
      <vertAlign val="superscript"/>
      <sz val="12"/>
      <color theme="1"/>
      <name val="Arial"/>
      <family val="2"/>
    </font>
    <font>
      <b/>
      <sz val="12"/>
      <color theme="1"/>
      <name val="Arial"/>
      <family val="2"/>
    </font>
    <font>
      <sz val="24"/>
      <color theme="1"/>
      <name val="Arial"/>
      <family val="2"/>
    </font>
    <font>
      <sz val="11"/>
      <color theme="1"/>
      <name val="Arial"/>
      <family val="2"/>
    </font>
    <font>
      <sz val="11"/>
      <color rgb="FF000000"/>
      <name val="Arial"/>
      <family val="2"/>
    </font>
    <font>
      <b/>
      <sz val="11"/>
      <color rgb="FF000000"/>
      <name val="Arial"/>
      <family val="2"/>
    </font>
    <font>
      <b/>
      <i/>
      <sz val="11"/>
      <color rgb="FF000000"/>
      <name val="Arial"/>
      <family val="2"/>
    </font>
    <font>
      <sz val="11"/>
      <color theme="1"/>
      <name val="Times New Roman"/>
      <family val="1"/>
    </font>
    <font>
      <b/>
      <sz val="11"/>
      <color theme="1"/>
      <name val="Arial"/>
      <family val="2"/>
    </font>
    <font>
      <b/>
      <vertAlign val="superscript"/>
      <sz val="11"/>
      <color theme="1"/>
      <name val="Arial"/>
      <family val="2"/>
    </font>
    <font>
      <vertAlign val="superscript"/>
      <sz val="11"/>
      <color rgb="FF000000"/>
      <name val="Arial"/>
      <family val="2"/>
    </font>
    <font>
      <vertAlign val="superscript"/>
      <sz val="11"/>
      <color theme="1"/>
      <name val="Arial"/>
      <family val="2"/>
    </font>
    <font>
      <sz val="11"/>
      <color rgb="FF000000"/>
      <name val="Calibri"/>
      <family val="2"/>
      <scheme val="minor"/>
    </font>
    <font>
      <sz val="11"/>
      <name val="Calibri"/>
      <family val="2"/>
      <scheme val="minor"/>
    </font>
    <font>
      <sz val="10"/>
      <color indexed="12"/>
      <name val="Arial"/>
    </font>
    <font>
      <sz val="10"/>
      <color rgb="FF000000"/>
      <name val="Arial"/>
      <family val="2"/>
    </font>
    <font>
      <sz val="8"/>
      <color theme="1"/>
      <name val="Times New Roman"/>
      <family val="1"/>
    </font>
    <font>
      <sz val="12"/>
      <color rgb="FF000000"/>
      <name val="Arial"/>
      <family val="2"/>
    </font>
    <font>
      <sz val="12"/>
      <color theme="1"/>
      <name val="Arial"/>
      <family val="2"/>
    </font>
    <font>
      <b/>
      <sz val="12"/>
      <color rgb="FF000000"/>
      <name val="Arial"/>
      <family val="2"/>
    </font>
    <font>
      <sz val="12"/>
      <color rgb="FFF2F2F2"/>
      <name val="Arial"/>
      <family val="2"/>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FF"/>
        <bgColor indexed="64"/>
      </patternFill>
    </fill>
  </fills>
  <borders count="19">
    <border>
      <left/>
      <right/>
      <top/>
      <bottom/>
      <diagonal/>
    </border>
    <border>
      <left/>
      <right/>
      <top style="thin">
        <color theme="4" tint="0.39997558519241921"/>
      </top>
      <bottom style="thin">
        <color theme="4" tint="0.39997558519241921"/>
      </bottom>
      <diagonal/>
    </border>
    <border>
      <left/>
      <right/>
      <top style="thin">
        <color indexed="64"/>
      </top>
      <bottom/>
      <diagonal/>
    </border>
    <border>
      <left/>
      <right/>
      <top/>
      <bottom style="thin">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hair">
        <color indexed="64"/>
      </bottom>
      <diagonal/>
    </border>
    <border>
      <left/>
      <right/>
      <top/>
      <bottom style="hair">
        <color indexed="64"/>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style="thin">
        <color indexed="64"/>
      </left>
      <right/>
      <top style="hair">
        <color indexed="64"/>
      </top>
      <bottom/>
      <diagonal/>
    </border>
    <border>
      <left/>
      <right/>
      <top/>
      <bottom style="medium">
        <color rgb="FF000000"/>
      </bottom>
      <diagonal/>
    </border>
  </borders>
  <cellStyleXfs count="1">
    <xf numFmtId="0" fontId="0" fillId="0" borderId="0"/>
  </cellStyleXfs>
  <cellXfs count="160">
    <xf numFmtId="0" fontId="0" fillId="0" borderId="0" xfId="0"/>
    <xf numFmtId="0" fontId="0" fillId="0" borderId="0" xfId="0" applyBorder="1"/>
    <xf numFmtId="0" fontId="2" fillId="0" borderId="0" xfId="0" applyFont="1" applyFill="1" applyBorder="1" applyAlignment="1"/>
    <xf numFmtId="0" fontId="0" fillId="0" borderId="0" xfId="0" applyFill="1" applyBorder="1"/>
    <xf numFmtId="0" fontId="0" fillId="0" borderId="0" xfId="0" applyBorder="1" applyAlignment="1"/>
    <xf numFmtId="0" fontId="1" fillId="0" borderId="0" xfId="0" applyFont="1" applyFill="1" applyBorder="1" applyAlignment="1">
      <alignment vertical="center" wrapText="1"/>
    </xf>
    <xf numFmtId="0" fontId="0" fillId="0" borderId="0" xfId="0" applyFill="1" applyBorder="1" applyAlignment="1"/>
    <xf numFmtId="49" fontId="0" fillId="0" borderId="0" xfId="0" applyNumberFormat="1" applyProtection="1">
      <protection locked="0"/>
    </xf>
    <xf numFmtId="0" fontId="0" fillId="0" borderId="0" xfId="0" applyProtection="1">
      <protection locked="0"/>
    </xf>
    <xf numFmtId="0" fontId="5" fillId="0" borderId="0" xfId="0" applyFont="1" applyProtection="1">
      <protection locked="0"/>
    </xf>
    <xf numFmtId="0" fontId="7" fillId="0" borderId="0" xfId="0" applyFont="1" applyProtection="1">
      <protection locked="0"/>
    </xf>
    <xf numFmtId="49" fontId="0" fillId="0" borderId="0" xfId="0" applyNumberFormat="1"/>
    <xf numFmtId="2" fontId="0" fillId="0" borderId="0" xfId="0" applyNumberFormat="1"/>
    <xf numFmtId="0" fontId="0" fillId="2" borderId="1" xfId="0" applyFill="1" applyBorder="1"/>
    <xf numFmtId="49" fontId="8" fillId="0" borderId="0" xfId="0" applyNumberFormat="1" applyFont="1" applyAlignment="1">
      <alignment horizontal="left" vertical="center" wrapText="1" indent="1"/>
    </xf>
    <xf numFmtId="0" fontId="0" fillId="0" borderId="1" xfId="0" applyBorder="1"/>
    <xf numFmtId="0" fontId="0" fillId="0" borderId="1" xfId="0" applyBorder="1" applyAlignment="1">
      <alignment vertical="center" wrapText="1"/>
    </xf>
    <xf numFmtId="0" fontId="0" fillId="2" borderId="1" xfId="0" applyFill="1" applyBorder="1" applyAlignment="1">
      <alignment vertical="center" wrapText="1"/>
    </xf>
    <xf numFmtId="0" fontId="7" fillId="0" borderId="0" xfId="0" applyFont="1" applyFill="1" applyProtection="1">
      <protection locked="0"/>
    </xf>
    <xf numFmtId="0" fontId="0" fillId="0" borderId="0" xfId="0" applyFill="1"/>
    <xf numFmtId="49" fontId="0" fillId="0" borderId="0" xfId="0" applyNumberFormat="1" applyFill="1"/>
    <xf numFmtId="49" fontId="0" fillId="0" borderId="0" xfId="0" applyNumberFormat="1" applyFill="1" applyProtection="1">
      <protection locked="0"/>
    </xf>
    <xf numFmtId="0" fontId="4" fillId="0" borderId="0" xfId="0" applyFont="1" applyFill="1" applyProtection="1">
      <protection locked="0"/>
    </xf>
    <xf numFmtId="0" fontId="0" fillId="0" borderId="0" xfId="0" applyFill="1" applyProtection="1">
      <protection locked="0"/>
    </xf>
    <xf numFmtId="2" fontId="0" fillId="0" borderId="0" xfId="0" applyNumberFormat="1" applyFill="1"/>
    <xf numFmtId="0" fontId="8" fillId="0" borderId="0" xfId="0" applyFont="1" applyFill="1" applyAlignment="1">
      <alignment horizontal="left" vertical="center" wrapText="1" indent="1"/>
    </xf>
    <xf numFmtId="0" fontId="0" fillId="0" borderId="1" xfId="0" applyFill="1" applyBorder="1"/>
    <xf numFmtId="2" fontId="0" fillId="0" borderId="1" xfId="0" applyNumberFormat="1" applyFill="1" applyBorder="1"/>
    <xf numFmtId="49" fontId="8" fillId="0" borderId="0" xfId="0" applyNumberFormat="1" applyFont="1" applyFill="1" applyAlignment="1">
      <alignment horizontal="left" vertical="center" wrapText="1" indent="1"/>
    </xf>
    <xf numFmtId="0" fontId="5" fillId="0" borderId="0" xfId="0" applyFont="1" applyFill="1" applyProtection="1">
      <protection locked="0"/>
    </xf>
    <xf numFmtId="0" fontId="0" fillId="0" borderId="1" xfId="0" applyFill="1" applyBorder="1" applyAlignment="1">
      <alignment vertical="center" wrapText="1"/>
    </xf>
    <xf numFmtId="0" fontId="1" fillId="0" borderId="1" xfId="0" applyFont="1" applyFill="1" applyBorder="1" applyAlignment="1">
      <alignment vertical="center" wrapText="1"/>
    </xf>
    <xf numFmtId="0" fontId="6" fillId="0" borderId="0" xfId="0" applyFont="1" applyFill="1"/>
    <xf numFmtId="0" fontId="3" fillId="0" borderId="0" xfId="0" applyFont="1"/>
    <xf numFmtId="0" fontId="9" fillId="0" borderId="0" xfId="0" applyFont="1" applyAlignment="1">
      <alignment horizontal="left" vertical="center"/>
    </xf>
    <xf numFmtId="0" fontId="10" fillId="0" borderId="0" xfId="0" applyFont="1" applyAlignment="1">
      <alignment horizontal="left" vertical="center" wrapText="1"/>
    </xf>
    <xf numFmtId="0" fontId="12" fillId="0" borderId="0" xfId="0" applyFont="1" applyAlignment="1">
      <alignment horizontal="justify" vertical="center"/>
    </xf>
    <xf numFmtId="0" fontId="11" fillId="0" borderId="0" xfId="0" applyFont="1" applyAlignment="1">
      <alignment vertical="center" wrapText="1"/>
    </xf>
    <xf numFmtId="0" fontId="14" fillId="0" borderId="0" xfId="0" applyFont="1" applyAlignment="1">
      <alignment vertical="center" wrapText="1"/>
    </xf>
    <xf numFmtId="0" fontId="0" fillId="0" borderId="2" xfId="0" applyBorder="1"/>
    <xf numFmtId="0" fontId="13" fillId="0" borderId="2" xfId="0" applyFont="1" applyBorder="1" applyAlignment="1">
      <alignment horizontal="center" vertical="center"/>
    </xf>
    <xf numFmtId="0" fontId="3" fillId="0" borderId="2" xfId="0" applyFont="1" applyBorder="1" applyAlignment="1">
      <alignment horizontal="center"/>
    </xf>
    <xf numFmtId="0" fontId="0" fillId="0" borderId="0" xfId="0" applyFont="1" applyBorder="1" applyAlignment="1">
      <alignment horizontal="left"/>
    </xf>
    <xf numFmtId="0" fontId="0" fillId="0" borderId="0" xfId="0" applyFont="1" applyBorder="1" applyAlignment="1">
      <alignment horizontal="center"/>
    </xf>
    <xf numFmtId="0" fontId="0" fillId="0" borderId="3" xfId="0" applyFont="1" applyBorder="1" applyAlignment="1">
      <alignment horizontal="center"/>
    </xf>
    <xf numFmtId="0" fontId="0" fillId="0" borderId="0" xfId="0" applyFont="1" applyBorder="1" applyAlignment="1">
      <alignment horizontal="center" vertical="center"/>
    </xf>
    <xf numFmtId="0" fontId="16" fillId="0" borderId="5" xfId="0" applyFont="1" applyBorder="1" applyAlignment="1">
      <alignment horizontal="center"/>
    </xf>
    <xf numFmtId="0" fontId="16" fillId="0" borderId="6" xfId="0" applyFont="1" applyBorder="1" applyAlignment="1">
      <alignment horizontal="center"/>
    </xf>
    <xf numFmtId="0" fontId="16" fillId="0" borderId="7" xfId="0" applyFont="1" applyBorder="1" applyAlignment="1">
      <alignment horizontal="center"/>
    </xf>
    <xf numFmtId="0" fontId="17" fillId="0" borderId="10"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3" xfId="0" applyFont="1" applyBorder="1" applyAlignment="1">
      <alignment horizontal="center" vertical="center" wrapText="1"/>
    </xf>
    <xf numFmtId="0" fontId="20" fillId="0" borderId="3" xfId="0" applyFont="1" applyBorder="1" applyAlignment="1">
      <alignment horizontal="center" vertical="center" wrapText="1"/>
    </xf>
    <xf numFmtId="0" fontId="21" fillId="0" borderId="11" xfId="0" applyFont="1" applyBorder="1" applyAlignment="1">
      <alignment horizontal="center" vertical="center" wrapText="1"/>
    </xf>
    <xf numFmtId="49" fontId="20" fillId="0" borderId="3" xfId="0" applyNumberFormat="1" applyFont="1" applyBorder="1" applyAlignment="1">
      <alignment horizontal="center" vertical="center" wrapText="1"/>
    </xf>
    <xf numFmtId="0" fontId="1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0" fontId="16" fillId="0" borderId="13" xfId="0" applyFont="1" applyBorder="1" applyAlignment="1">
      <alignment horizontal="center" vertical="center" wrapText="1"/>
    </xf>
    <xf numFmtId="11" fontId="0" fillId="0" borderId="0" xfId="0" applyNumberFormat="1"/>
    <xf numFmtId="0" fontId="15" fillId="0" borderId="10" xfId="0" applyFont="1" applyBorder="1" applyAlignment="1">
      <alignment horizontal="center" vertical="center" wrapText="1"/>
    </xf>
    <xf numFmtId="49" fontId="15" fillId="0" borderId="4" xfId="0" applyNumberFormat="1" applyFont="1" applyBorder="1" applyAlignment="1">
      <alignment horizontal="center" vertical="center" wrapText="1"/>
    </xf>
    <xf numFmtId="49" fontId="15" fillId="0" borderId="0" xfId="0" applyNumberFormat="1" applyFont="1" applyBorder="1" applyAlignment="1">
      <alignment horizontal="center" vertical="center" wrapText="1"/>
    </xf>
    <xf numFmtId="0" fontId="22" fillId="0" borderId="12" xfId="0" applyFont="1" applyBorder="1" applyAlignment="1">
      <alignment horizontal="center" vertical="center" wrapText="1"/>
    </xf>
    <xf numFmtId="0" fontId="15" fillId="0" borderId="0" xfId="0" applyFont="1" applyBorder="1" applyAlignment="1">
      <alignment horizontal="center" vertical="center" wrapText="1"/>
    </xf>
    <xf numFmtId="0" fontId="23" fillId="0" borderId="10" xfId="0" applyFont="1" applyBorder="1" applyAlignment="1">
      <alignment horizontal="center" vertical="center" wrapText="1"/>
    </xf>
    <xf numFmtId="49" fontId="15" fillId="0" borderId="13" xfId="0" applyNumberFormat="1" applyFont="1" applyBorder="1" applyAlignment="1">
      <alignment horizontal="center" vertical="center" wrapText="1"/>
    </xf>
    <xf numFmtId="0" fontId="0" fillId="0" borderId="0" xfId="0" applyFont="1" applyFill="1" applyBorder="1" applyAlignment="1">
      <alignment horizontal="left"/>
    </xf>
    <xf numFmtId="0" fontId="24" fillId="0" borderId="0" xfId="0" applyFont="1" applyBorder="1" applyAlignment="1">
      <alignment horizontal="left" wrapText="1"/>
    </xf>
    <xf numFmtId="0" fontId="25" fillId="0" borderId="0" xfId="0" applyFont="1" applyBorder="1" applyAlignment="1">
      <alignment horizontal="left" wrapText="1"/>
    </xf>
    <xf numFmtId="0" fontId="24" fillId="0" borderId="0" xfId="0" applyFont="1" applyFill="1" applyBorder="1" applyAlignment="1">
      <alignment horizontal="left" wrapText="1"/>
    </xf>
    <xf numFmtId="0" fontId="25" fillId="0" borderId="0" xfId="0" applyFont="1" applyFill="1" applyBorder="1" applyAlignment="1">
      <alignment horizontal="left" wrapText="1"/>
    </xf>
    <xf numFmtId="49" fontId="25" fillId="0" borderId="0" xfId="0" applyNumberFormat="1" applyFont="1" applyFill="1" applyBorder="1" applyAlignment="1">
      <alignment horizontal="left" wrapText="1"/>
    </xf>
    <xf numFmtId="0" fontId="25" fillId="0" borderId="0" xfId="0" applyFont="1" applyFill="1" applyBorder="1" applyAlignment="1">
      <alignment horizontal="left"/>
    </xf>
    <xf numFmtId="49" fontId="25" fillId="0" borderId="0" xfId="0" applyNumberFormat="1" applyFont="1" applyBorder="1" applyAlignment="1">
      <alignment horizontal="left" wrapText="1"/>
    </xf>
    <xf numFmtId="0" fontId="24" fillId="0" borderId="0" xfId="0" applyNumberFormat="1" applyFont="1" applyFill="1" applyBorder="1" applyAlignment="1">
      <alignment horizontal="left" wrapText="1"/>
    </xf>
    <xf numFmtId="0" fontId="24" fillId="0" borderId="0" xfId="0" applyNumberFormat="1" applyFont="1" applyBorder="1" applyAlignment="1">
      <alignment horizontal="left" wrapText="1"/>
    </xf>
    <xf numFmtId="49" fontId="15" fillId="0" borderId="0" xfId="0" applyNumberFormat="1" applyFont="1" applyBorder="1" applyAlignment="1">
      <alignment vertical="center" wrapText="1"/>
    </xf>
    <xf numFmtId="0" fontId="15" fillId="0" borderId="13" xfId="0" applyFont="1" applyBorder="1" applyAlignment="1">
      <alignment horizontal="center" vertical="center" wrapText="1"/>
    </xf>
    <xf numFmtId="0" fontId="15" fillId="0" borderId="12" xfId="0" applyFont="1" applyBorder="1" applyAlignment="1">
      <alignment horizontal="center" vertical="center" wrapText="1"/>
    </xf>
    <xf numFmtId="49" fontId="16" fillId="0" borderId="0" xfId="0" applyNumberFormat="1" applyFont="1" applyBorder="1" applyAlignment="1">
      <alignment horizontal="center" vertical="center" wrapText="1"/>
    </xf>
    <xf numFmtId="0" fontId="22" fillId="0" borderId="10" xfId="0" applyFont="1" applyBorder="1" applyAlignment="1">
      <alignment horizontal="center" vertical="center" wrapText="1"/>
    </xf>
    <xf numFmtId="0" fontId="15" fillId="0" borderId="13" xfId="0" applyFont="1" applyBorder="1" applyAlignment="1">
      <alignment horizontal="center" wrapText="1"/>
    </xf>
    <xf numFmtId="49" fontId="15" fillId="0" borderId="13" xfId="0" applyNumberFormat="1" applyFont="1" applyBorder="1" applyAlignment="1">
      <alignment horizontal="center" wrapText="1"/>
    </xf>
    <xf numFmtId="0" fontId="15" fillId="0" borderId="12" xfId="0" applyFont="1" applyBorder="1" applyAlignment="1">
      <alignment horizontal="center" wrapText="1"/>
    </xf>
    <xf numFmtId="0" fontId="15" fillId="0" borderId="16" xfId="0" applyFont="1" applyBorder="1" applyAlignment="1">
      <alignment horizontal="center" wrapText="1"/>
    </xf>
    <xf numFmtId="49" fontId="16" fillId="0" borderId="13" xfId="0" applyNumberFormat="1" applyFont="1" applyBorder="1" applyAlignment="1">
      <alignment horizontal="center" vertical="center" wrapText="1"/>
    </xf>
    <xf numFmtId="49" fontId="16" fillId="0" borderId="16" xfId="0" applyNumberFormat="1" applyFont="1" applyBorder="1" applyAlignment="1">
      <alignment horizontal="center" vertical="center" wrapText="1"/>
    </xf>
    <xf numFmtId="49" fontId="17" fillId="0" borderId="3" xfId="0" applyNumberFormat="1" applyFont="1" applyBorder="1" applyAlignment="1">
      <alignment horizontal="center" vertical="center" wrapText="1"/>
    </xf>
    <xf numFmtId="0" fontId="17" fillId="0" borderId="3" xfId="0" applyFont="1" applyBorder="1" applyAlignment="1">
      <alignment horizontal="center" vertical="center" wrapText="1"/>
    </xf>
    <xf numFmtId="0" fontId="17" fillId="0" borderId="11" xfId="0" applyFont="1" applyBorder="1" applyAlignment="1">
      <alignment vertical="center" wrapText="1"/>
    </xf>
    <xf numFmtId="0" fontId="21" fillId="0" borderId="11" xfId="0" applyFont="1" applyBorder="1" applyAlignment="1">
      <alignment vertical="center" wrapText="1"/>
    </xf>
    <xf numFmtId="49" fontId="15" fillId="0" borderId="3" xfId="0" applyNumberFormat="1" applyFont="1" applyBorder="1" applyAlignment="1">
      <alignment horizontal="center" vertical="center" wrapText="1"/>
    </xf>
    <xf numFmtId="0" fontId="15" fillId="0" borderId="3" xfId="0" applyFont="1" applyBorder="1" applyAlignment="1">
      <alignment horizontal="center" vertical="center" wrapText="1"/>
    </xf>
    <xf numFmtId="0" fontId="22" fillId="0" borderId="11" xfId="0" applyFont="1" applyBorder="1" applyAlignment="1">
      <alignment horizontal="center" vertical="center" wrapText="1"/>
    </xf>
    <xf numFmtId="0" fontId="23" fillId="0" borderId="12" xfId="0" applyFont="1" applyBorder="1" applyAlignment="1">
      <alignment horizontal="center" wrapText="1"/>
    </xf>
    <xf numFmtId="0" fontId="23" fillId="0" borderId="12" xfId="0" applyFont="1" applyBorder="1" applyAlignment="1">
      <alignment horizontal="center" vertical="center" wrapText="1"/>
    </xf>
    <xf numFmtId="49" fontId="16" fillId="0" borderId="4" xfId="0" applyNumberFormat="1" applyFont="1" applyBorder="1" applyAlignment="1">
      <alignment vertical="center" wrapText="1"/>
    </xf>
    <xf numFmtId="49" fontId="16" fillId="0" borderId="0" xfId="0" applyNumberFormat="1" applyFont="1" applyBorder="1" applyAlignment="1">
      <alignment vertical="center" wrapText="1"/>
    </xf>
    <xf numFmtId="0" fontId="26" fillId="0" borderId="0" xfId="0" applyFont="1"/>
    <xf numFmtId="0" fontId="27" fillId="0" borderId="12" xfId="0" applyFont="1" applyBorder="1" applyAlignment="1">
      <alignment horizontal="center" vertical="center" wrapText="1"/>
    </xf>
    <xf numFmtId="0" fontId="27" fillId="0" borderId="11" xfId="0" applyFont="1" applyBorder="1" applyAlignment="1">
      <alignment horizontal="center" vertical="center" wrapText="1"/>
    </xf>
    <xf numFmtId="0" fontId="29" fillId="0" borderId="7" xfId="0" applyFont="1" applyBorder="1" applyAlignment="1">
      <alignment horizontal="center" vertical="center"/>
    </xf>
    <xf numFmtId="0" fontId="29" fillId="0" borderId="7" xfId="0" applyFont="1" applyBorder="1" applyAlignment="1">
      <alignment horizontal="center" vertical="center" wrapText="1"/>
    </xf>
    <xf numFmtId="0" fontId="16" fillId="0" borderId="0" xfId="0" applyFont="1" applyAlignment="1">
      <alignment vertical="center"/>
    </xf>
    <xf numFmtId="0" fontId="16" fillId="0" borderId="0" xfId="0" applyFont="1" applyAlignment="1">
      <alignment vertical="center" wrapText="1"/>
    </xf>
    <xf numFmtId="0" fontId="16" fillId="0" borderId="5" xfId="0" applyFont="1" applyBorder="1" applyAlignment="1">
      <alignment vertical="center" wrapText="1"/>
    </xf>
    <xf numFmtId="0" fontId="28" fillId="0" borderId="0" xfId="0" applyFont="1" applyAlignment="1">
      <alignment vertical="center"/>
    </xf>
    <xf numFmtId="0" fontId="0" fillId="0" borderId="0" xfId="0" applyFont="1"/>
    <xf numFmtId="0" fontId="31" fillId="0" borderId="7" xfId="0" applyFont="1" applyBorder="1" applyAlignment="1">
      <alignment horizontal="center" vertical="center" wrapText="1"/>
    </xf>
    <xf numFmtId="0" fontId="29" fillId="0" borderId="4" xfId="0" applyFont="1" applyBorder="1" applyAlignment="1">
      <alignment horizontal="center" vertical="center" wrapText="1"/>
    </xf>
    <xf numFmtId="0" fontId="29" fillId="0" borderId="13" xfId="0" applyFont="1" applyBorder="1" applyAlignment="1">
      <alignment horizontal="center" vertical="center" wrapText="1"/>
    </xf>
    <xf numFmtId="11" fontId="29" fillId="0" borderId="13" xfId="0" applyNumberFormat="1" applyFont="1" applyBorder="1" applyAlignment="1">
      <alignment horizontal="center" vertical="center" wrapText="1"/>
    </xf>
    <xf numFmtId="0" fontId="29" fillId="0" borderId="14" xfId="0" applyFont="1" applyBorder="1" applyAlignment="1">
      <alignment horizontal="center" vertical="center" wrapText="1"/>
    </xf>
    <xf numFmtId="0" fontId="29" fillId="0" borderId="0" xfId="0" applyFont="1" applyBorder="1" applyAlignment="1">
      <alignment horizontal="center" vertical="center" wrapText="1"/>
    </xf>
    <xf numFmtId="0" fontId="29" fillId="0" borderId="0" xfId="0" applyFont="1" applyAlignment="1">
      <alignment horizontal="center" vertical="center" wrapText="1"/>
    </xf>
    <xf numFmtId="0" fontId="29" fillId="0" borderId="5" xfId="0" applyFont="1" applyBorder="1" applyAlignment="1">
      <alignment horizontal="center" vertical="center" wrapText="1"/>
    </xf>
    <xf numFmtId="0" fontId="31" fillId="0" borderId="5" xfId="0" applyFont="1" applyBorder="1" applyAlignment="1">
      <alignment horizontal="center" vertical="center" wrapText="1"/>
    </xf>
    <xf numFmtId="0" fontId="32" fillId="3" borderId="0" xfId="0" applyFont="1" applyFill="1" applyAlignment="1">
      <alignment horizontal="center" vertical="center" wrapText="1"/>
    </xf>
    <xf numFmtId="0" fontId="32" fillId="3" borderId="5" xfId="0" applyFont="1" applyFill="1" applyBorder="1" applyAlignment="1">
      <alignment horizontal="center" vertical="center" wrapText="1"/>
    </xf>
    <xf numFmtId="0" fontId="31" fillId="0" borderId="0" xfId="0" applyFont="1" applyBorder="1" applyAlignment="1">
      <alignment horizontal="center" vertical="center" wrapText="1"/>
    </xf>
    <xf numFmtId="0" fontId="30" fillId="0" borderId="0" xfId="0" applyFont="1" applyAlignment="1">
      <alignment horizontal="center" wrapText="1"/>
    </xf>
    <xf numFmtId="0" fontId="30" fillId="0" borderId="5" xfId="0" applyFont="1" applyBorder="1" applyAlignment="1">
      <alignment horizontal="center" wrapText="1"/>
    </xf>
    <xf numFmtId="0" fontId="29" fillId="0" borderId="0" xfId="0" applyFont="1" applyBorder="1" applyAlignment="1">
      <alignment horizontal="center" vertical="center" wrapText="1"/>
    </xf>
    <xf numFmtId="0" fontId="0" fillId="0" borderId="0" xfId="0" applyFont="1" applyBorder="1" applyAlignment="1">
      <alignment horizontal="left"/>
    </xf>
    <xf numFmtId="0" fontId="0" fillId="0" borderId="3" xfId="0" applyFont="1" applyBorder="1" applyAlignment="1">
      <alignment horizontal="left"/>
    </xf>
    <xf numFmtId="0" fontId="14" fillId="0" borderId="0" xfId="0" applyFont="1" applyAlignment="1">
      <alignment horizontal="center" vertical="center" wrapText="1"/>
    </xf>
    <xf numFmtId="0" fontId="11" fillId="0" borderId="0" xfId="0" applyFont="1" applyAlignment="1">
      <alignment horizontal="center" vertical="center" wrapText="1"/>
    </xf>
    <xf numFmtId="0" fontId="22" fillId="0" borderId="15" xfId="0" applyFont="1" applyBorder="1" applyAlignment="1">
      <alignment horizontal="center" vertical="center" wrapText="1"/>
    </xf>
    <xf numFmtId="0" fontId="22" fillId="0" borderId="10" xfId="0" applyFont="1" applyBorder="1" applyAlignment="1">
      <alignment horizontal="center" vertical="center" wrapText="1"/>
    </xf>
    <xf numFmtId="0" fontId="23" fillId="0" borderId="15" xfId="0" applyFont="1" applyBorder="1" applyAlignment="1">
      <alignment horizontal="center" vertical="center" wrapText="1"/>
    </xf>
    <xf numFmtId="0" fontId="23" fillId="0" borderId="10"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0"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0" xfId="0" applyFont="1" applyBorder="1" applyAlignment="1">
      <alignment horizontal="center" vertical="center" wrapText="1"/>
    </xf>
    <xf numFmtId="49" fontId="15" fillId="0" borderId="17" xfId="0" applyNumberFormat="1" applyFont="1" applyBorder="1" applyAlignment="1">
      <alignment horizontal="center" vertical="center" wrapText="1"/>
    </xf>
    <xf numFmtId="49" fontId="15" fillId="0" borderId="9" xfId="0" applyNumberFormat="1" applyFont="1" applyBorder="1" applyAlignment="1">
      <alignment horizontal="center" vertical="center" wrapText="1"/>
    </xf>
    <xf numFmtId="49" fontId="15" fillId="0" borderId="0" xfId="0" applyNumberFormat="1" applyFont="1" applyBorder="1" applyAlignment="1">
      <alignment horizontal="center" vertical="center" wrapText="1"/>
    </xf>
    <xf numFmtId="0" fontId="16" fillId="0" borderId="4" xfId="0" applyFont="1" applyBorder="1" applyAlignment="1">
      <alignment horizontal="center" vertical="center" wrapText="1"/>
    </xf>
    <xf numFmtId="0" fontId="23" fillId="0" borderId="8" xfId="0" applyFont="1" applyBorder="1" applyAlignment="1">
      <alignment horizontal="center" vertical="center" wrapText="1"/>
    </xf>
    <xf numFmtId="0" fontId="15" fillId="0" borderId="4" xfId="0" applyFont="1" applyBorder="1" applyAlignment="1">
      <alignment horizontal="center" vertical="center" wrapText="1"/>
    </xf>
    <xf numFmtId="0" fontId="16" fillId="0" borderId="4" xfId="0" applyFont="1" applyBorder="1" applyAlignment="1">
      <alignment horizontal="justify" vertical="center"/>
    </xf>
    <xf numFmtId="0" fontId="16" fillId="0" borderId="5" xfId="0" applyFont="1" applyBorder="1" applyAlignment="1">
      <alignment horizontal="justify" vertical="center"/>
    </xf>
    <xf numFmtId="0" fontId="0" fillId="0" borderId="4" xfId="0" applyBorder="1"/>
    <xf numFmtId="0" fontId="0" fillId="0" borderId="5" xfId="0" applyBorder="1"/>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30" fillId="0" borderId="5" xfId="0" applyFont="1" applyBorder="1" applyAlignment="1">
      <alignment horizontal="center" wrapText="1"/>
    </xf>
    <xf numFmtId="0" fontId="29" fillId="0" borderId="4" xfId="0" applyFont="1" applyBorder="1" applyAlignment="1">
      <alignment horizontal="center" vertical="center" wrapText="1"/>
    </xf>
    <xf numFmtId="0" fontId="31" fillId="0" borderId="5" xfId="0" applyFont="1" applyBorder="1" applyAlignment="1">
      <alignment horizontal="left" vertical="center" wrapText="1"/>
    </xf>
    <xf numFmtId="0" fontId="31" fillId="0" borderId="7" xfId="0" applyFont="1" applyBorder="1" applyAlignment="1">
      <alignment horizontal="left" vertical="center" wrapText="1"/>
    </xf>
    <xf numFmtId="0" fontId="29" fillId="0" borderId="0" xfId="0" applyFont="1" applyBorder="1" applyAlignment="1">
      <alignment horizontal="center" vertical="center" wrapText="1"/>
    </xf>
    <xf numFmtId="0" fontId="29" fillId="0" borderId="13" xfId="0" applyFont="1" applyBorder="1" applyAlignment="1">
      <alignment horizontal="center" vertical="center" wrapText="1"/>
    </xf>
    <xf numFmtId="0" fontId="29" fillId="0" borderId="14" xfId="0" applyFont="1" applyBorder="1" applyAlignment="1">
      <alignment horizontal="center" vertical="center" wrapText="1"/>
    </xf>
    <xf numFmtId="0" fontId="29" fillId="0" borderId="0" xfId="0" applyFont="1" applyAlignment="1">
      <alignment horizontal="center" vertical="center" wrapText="1"/>
    </xf>
    <xf numFmtId="0" fontId="29" fillId="0" borderId="18" xfId="0" applyFont="1" applyBorder="1" applyAlignment="1">
      <alignment horizontal="center" vertical="center" wrapText="1"/>
    </xf>
    <xf numFmtId="2" fontId="0" fillId="0" borderId="5" xfId="0" applyNumberFormat="1" applyBorder="1"/>
    <xf numFmtId="0" fontId="29" fillId="0" borderId="0" xfId="0" applyFont="1" applyAlignment="1">
      <alignment horizontal="center" vertical="center"/>
    </xf>
  </cellXfs>
  <cellStyles count="1">
    <cellStyle name="Normal" xfId="0" builtinId="0"/>
  </cellStyles>
  <dxfs count="27">
    <dxf>
      <numFmt numFmtId="2" formatCode="0.00"/>
    </dxf>
    <dxf>
      <numFmt numFmtId="15" formatCode="0.00E+00"/>
    </dxf>
    <dxf>
      <numFmt numFmtId="15" formatCode="0.00E+00"/>
    </dxf>
    <dxf>
      <numFmt numFmtId="15" formatCode="0.00E+00"/>
    </dxf>
    <dxf>
      <font>
        <b val="0"/>
        <i val="0"/>
        <strike val="0"/>
        <condense val="0"/>
        <extend val="0"/>
        <outline val="0"/>
        <shadow val="0"/>
        <u val="none"/>
        <vertAlign val="baseline"/>
        <sz val="10"/>
        <color indexed="12"/>
        <name val="Arial"/>
        <scheme val="none"/>
      </font>
    </dxf>
    <dxf>
      <font>
        <strike val="0"/>
        <outline val="0"/>
        <shadow val="0"/>
        <u val="none"/>
        <vertAlign val="baseline"/>
        <sz val="11"/>
        <name val="Calibri"/>
        <family val="2"/>
        <scheme val="minor"/>
      </font>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fgColor indexed="64"/>
          <bgColor indexed="65"/>
        </patternFill>
      </fill>
      <alignment horizontal="left" vertical="bottom"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left" vertical="bottom" textRotation="0" wrapText="1" indent="0" justifyLastLine="0" shrinkToFit="0" readingOrder="0"/>
    </dxf>
    <dxf>
      <font>
        <b val="0"/>
        <i val="0"/>
        <strike val="0"/>
        <condense val="0"/>
        <extend val="0"/>
        <outline val="0"/>
        <shadow val="0"/>
        <u val="none"/>
        <vertAlign val="baseline"/>
        <sz val="10"/>
        <color indexed="12"/>
        <name val="Arial"/>
        <scheme val="none"/>
      </font>
      <alignment horizontal="left"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6</xdr:col>
      <xdr:colOff>40373</xdr:colOff>
      <xdr:row>5</xdr:row>
      <xdr:rowOff>73433</xdr:rowOff>
    </xdr:from>
    <xdr:to>
      <xdr:col>8</xdr:col>
      <xdr:colOff>17917</xdr:colOff>
      <xdr:row>36</xdr:row>
      <xdr:rowOff>97339</xdr:rowOff>
    </xdr:to>
    <xdr:pic>
      <xdr:nvPicPr>
        <xdr:cNvPr id="2" name="Picture 1">
          <a:extLst>
            <a:ext uri="{FF2B5EF4-FFF2-40B4-BE49-F238E27FC236}">
              <a16:creationId xmlns:a16="http://schemas.microsoft.com/office/drawing/2014/main" id="{2B10B6C9-61EC-4E91-8ED9-F41E181AE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08798" y="997358"/>
          <a:ext cx="5753504" cy="563413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581517</xdr:colOff>
      <xdr:row>42</xdr:row>
      <xdr:rowOff>30602</xdr:rowOff>
    </xdr:from>
    <xdr:to>
      <xdr:col>7</xdr:col>
      <xdr:colOff>552344</xdr:colOff>
      <xdr:row>73</xdr:row>
      <xdr:rowOff>55367</xdr:rowOff>
    </xdr:to>
    <xdr:pic>
      <xdr:nvPicPr>
        <xdr:cNvPr id="3" name="Picture 2">
          <a:extLst>
            <a:ext uri="{FF2B5EF4-FFF2-40B4-BE49-F238E27FC236}">
              <a16:creationId xmlns:a16="http://schemas.microsoft.com/office/drawing/2014/main" id="{1CA476E6-1A86-47BB-8F69-3B9FC369035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42247" y="7667747"/>
          <a:ext cx="5744882" cy="56368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32632</xdr:colOff>
      <xdr:row>5</xdr:row>
      <xdr:rowOff>34834</xdr:rowOff>
    </xdr:from>
    <xdr:to>
      <xdr:col>4</xdr:col>
      <xdr:colOff>21429</xdr:colOff>
      <xdr:row>36</xdr:row>
      <xdr:rowOff>59599</xdr:rowOff>
    </xdr:to>
    <xdr:pic>
      <xdr:nvPicPr>
        <xdr:cNvPr id="4" name="Picture 3">
          <a:extLst>
            <a:ext uri="{FF2B5EF4-FFF2-40B4-BE49-F238E27FC236}">
              <a16:creationId xmlns:a16="http://schemas.microsoft.com/office/drawing/2014/main" id="{616A72A0-FB8B-41F2-9087-C80B53901A1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98277" y="958759"/>
          <a:ext cx="5772377" cy="56349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28821</xdr:colOff>
      <xdr:row>79</xdr:row>
      <xdr:rowOff>103141</xdr:rowOff>
    </xdr:from>
    <xdr:to>
      <xdr:col>8</xdr:col>
      <xdr:colOff>16978</xdr:colOff>
      <xdr:row>110</xdr:row>
      <xdr:rowOff>173626</xdr:rowOff>
    </xdr:to>
    <xdr:pic>
      <xdr:nvPicPr>
        <xdr:cNvPr id="5" name="Picture 4">
          <a:extLst>
            <a:ext uri="{FF2B5EF4-FFF2-40B4-BE49-F238E27FC236}">
              <a16:creationId xmlns:a16="http://schemas.microsoft.com/office/drawing/2014/main" id="{035740ED-18CA-49A7-9135-8F83ADD9828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095341" y="14455411"/>
          <a:ext cx="5766022" cy="56826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11700</xdr:colOff>
      <xdr:row>5</xdr:row>
      <xdr:rowOff>34537</xdr:rowOff>
    </xdr:from>
    <xdr:to>
      <xdr:col>1</xdr:col>
      <xdr:colOff>5773403</xdr:colOff>
      <xdr:row>36</xdr:row>
      <xdr:rowOff>91687</xdr:rowOff>
    </xdr:to>
    <xdr:pic>
      <xdr:nvPicPr>
        <xdr:cNvPr id="6" name="Picture 5">
          <a:extLst>
            <a:ext uri="{FF2B5EF4-FFF2-40B4-BE49-F238E27FC236}">
              <a16:creationId xmlns:a16="http://schemas.microsoft.com/office/drawing/2014/main" id="{A3D7C50A-1AE2-41E2-8C76-6E33102F2AF4}"/>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25110" y="958462"/>
          <a:ext cx="5757893"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16828</xdr:colOff>
      <xdr:row>79</xdr:row>
      <xdr:rowOff>181142</xdr:rowOff>
    </xdr:from>
    <xdr:to>
      <xdr:col>1</xdr:col>
      <xdr:colOff>5769849</xdr:colOff>
      <xdr:row>111</xdr:row>
      <xdr:rowOff>21552</xdr:rowOff>
    </xdr:to>
    <xdr:pic>
      <xdr:nvPicPr>
        <xdr:cNvPr id="7" name="Picture 6">
          <a:extLst>
            <a:ext uri="{FF2B5EF4-FFF2-40B4-BE49-F238E27FC236}">
              <a16:creationId xmlns:a16="http://schemas.microsoft.com/office/drawing/2014/main" id="{3674B4E1-B107-4615-AA1F-11140C6119EB}"/>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30238" y="14533412"/>
          <a:ext cx="5749211" cy="56335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30725</xdr:colOff>
      <xdr:row>79</xdr:row>
      <xdr:rowOff>15662</xdr:rowOff>
    </xdr:from>
    <xdr:to>
      <xdr:col>4</xdr:col>
      <xdr:colOff>27591</xdr:colOff>
      <xdr:row>110</xdr:row>
      <xdr:rowOff>74717</xdr:rowOff>
    </xdr:to>
    <xdr:pic>
      <xdr:nvPicPr>
        <xdr:cNvPr id="8" name="Picture 7">
          <a:extLst>
            <a:ext uri="{FF2B5EF4-FFF2-40B4-BE49-F238E27FC236}">
              <a16:creationId xmlns:a16="http://schemas.microsoft.com/office/drawing/2014/main" id="{B7862E40-6D4A-444A-8839-5339568E1B1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7096370" y="14373647"/>
          <a:ext cx="5772826" cy="566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70659</xdr:colOff>
      <xdr:row>116</xdr:row>
      <xdr:rowOff>29119</xdr:rowOff>
    </xdr:from>
    <xdr:to>
      <xdr:col>1</xdr:col>
      <xdr:colOff>5809792</xdr:colOff>
      <xdr:row>147</xdr:row>
      <xdr:rowOff>55789</xdr:rowOff>
    </xdr:to>
    <xdr:pic>
      <xdr:nvPicPr>
        <xdr:cNvPr id="9" name="Picture 8">
          <a:extLst>
            <a:ext uri="{FF2B5EF4-FFF2-40B4-BE49-F238E27FC236}">
              <a16:creationId xmlns:a16="http://schemas.microsoft.com/office/drawing/2014/main" id="{D9F6FE94-FA56-4005-89F5-1354BB4B919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78354" y="21096514"/>
          <a:ext cx="5741038" cy="5638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40823</xdr:colOff>
      <xdr:row>42</xdr:row>
      <xdr:rowOff>46090</xdr:rowOff>
    </xdr:from>
    <xdr:to>
      <xdr:col>4</xdr:col>
      <xdr:colOff>28532</xdr:colOff>
      <xdr:row>73</xdr:row>
      <xdr:rowOff>93715</xdr:rowOff>
    </xdr:to>
    <xdr:pic>
      <xdr:nvPicPr>
        <xdr:cNvPr id="10" name="Picture 9">
          <a:extLst>
            <a:ext uri="{FF2B5EF4-FFF2-40B4-BE49-F238E27FC236}">
              <a16:creationId xmlns:a16="http://schemas.microsoft.com/office/drawing/2014/main" id="{54AB78E4-B3F6-4C77-9D44-1AE892F3BA27}"/>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108373" y="7687045"/>
          <a:ext cx="5757954" cy="5655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51928</xdr:colOff>
      <xdr:row>43</xdr:row>
      <xdr:rowOff>1904</xdr:rowOff>
    </xdr:from>
    <xdr:to>
      <xdr:col>1</xdr:col>
      <xdr:colOff>5790956</xdr:colOff>
      <xdr:row>74</xdr:row>
      <xdr:rowOff>57149</xdr:rowOff>
    </xdr:to>
    <xdr:pic>
      <xdr:nvPicPr>
        <xdr:cNvPr id="11" name="Picture 10">
          <a:extLst>
            <a:ext uri="{FF2B5EF4-FFF2-40B4-BE49-F238E27FC236}">
              <a16:creationId xmlns:a16="http://schemas.microsoft.com/office/drawing/2014/main" id="{2D836275-F96B-4AC4-81E6-3DCE23FD2A1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665338" y="7821929"/>
          <a:ext cx="5735218" cy="56654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61452</xdr:colOff>
      <xdr:row>116</xdr:row>
      <xdr:rowOff>15362</xdr:rowOff>
    </xdr:from>
    <xdr:to>
      <xdr:col>4</xdr:col>
      <xdr:colOff>27653</xdr:colOff>
      <xdr:row>147</xdr:row>
      <xdr:rowOff>76322</xdr:rowOff>
    </xdr:to>
    <xdr:pic>
      <xdr:nvPicPr>
        <xdr:cNvPr id="12" name="Picture 11">
          <a:extLst>
            <a:ext uri="{FF2B5EF4-FFF2-40B4-BE49-F238E27FC236}">
              <a16:creationId xmlns:a16="http://schemas.microsoft.com/office/drawing/2014/main" id="{BCEAF6D2-D51F-44D0-8DC2-A0693103D70E}"/>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7125192" y="21088472"/>
          <a:ext cx="5740256" cy="5667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A6259A-6424-494C-B77B-9E6D828F2E5C}" name="Table3" displayName="Table3" ref="A1:T216" totalsRowShown="0" headerRowDxfId="26" dataDxfId="25">
  <autoFilter ref="A1:T216" xr:uid="{9BA6259A-6424-494C-B77B-9E6D828F2E5C}"/>
  <sortState xmlns:xlrd2="http://schemas.microsoft.com/office/spreadsheetml/2017/richdata2" ref="A2:T216">
    <sortCondition ref="P1:P216"/>
  </sortState>
  <tableColumns count="20">
    <tableColumn id="1" xr3:uid="{E85F83E3-890C-4DD1-85E4-6BAED72B0D4D}" name="Chemical" dataDxfId="24"/>
    <tableColumn id="21" xr3:uid="{A85033B6-9903-451A-B659-93781FEFDE10}" name="DTXSID" dataDxfId="23"/>
    <tableColumn id="20" xr3:uid="{319E079B-E821-4BBB-8179-00AB84DBE86C}" name="PREFERRED_NAME" dataDxfId="22"/>
    <tableColumn id="2" xr3:uid="{DC0E92D9-BF2A-4D04-B8CB-CA78973A5871}" name="Sex" dataDxfId="21"/>
    <tableColumn id="3" xr3:uid="{C91167E4-538D-4730-8D15-4F3386BCB643}" name="Species" dataDxfId="20"/>
    <tableColumn id="4" xr3:uid="{39C04F13-76C9-4A1C-9FC8-0F2E9F181A7F}" name="OriginalValue" dataDxfId="19"/>
    <tableColumn id="5" xr3:uid="{F746088A-E8B4-4963-AFCD-7C35761C9B54}" name="Orignal Unit" dataDxfId="18"/>
    <tableColumn id="6" xr3:uid="{10214A70-178E-4EE5-B04E-6E52257404BF}" name="Mean" dataDxfId="17"/>
    <tableColumn id="7" xr3:uid="{6AB8F622-AB3A-445F-86AA-447B84B83952}" name="MeanType" dataDxfId="16"/>
    <tableColumn id="8" xr3:uid="{82D7D607-876F-46ED-93F7-061D9256A9D2}" name="Lower" dataDxfId="15"/>
    <tableColumn id="9" xr3:uid="{D4F962D9-02A4-4C2D-8B02-70C46E2433FC}" name="Upper" dataDxfId="14"/>
    <tableColumn id="10" xr3:uid="{497356B2-009F-4409-99C5-23E3193105B0}" name="Boudary" dataDxfId="13"/>
    <tableColumn id="11" xr3:uid="{B6A31B80-61AE-422E-B9E8-3F0568D372AF}" name="Study Unit" dataDxfId="12"/>
    <tableColumn id="12" xr3:uid="{663370F1-7458-4D4C-8E74-9C19488F15A9}" name="Phase" dataDxfId="11"/>
    <tableColumn id="13" xr3:uid="{A5D938D4-4309-41C7-B212-A93CA8E365A9}" name="Dosing" dataDxfId="10"/>
    <tableColumn id="14" xr3:uid="{32C212A4-936E-443C-8F2A-C69EEB30BBE5}" name="Source" dataDxfId="9"/>
    <tableColumn id="15" xr3:uid="{30514B3C-1128-4E2F-9755-189D1C0F3C3D}" name="SourceID" dataDxfId="8"/>
    <tableColumn id="16" xr3:uid="{6AACF526-58AB-4825-A317-56D27835C576}" name="Study_N" dataDxfId="7"/>
    <tableColumn id="17" xr3:uid="{D05BBD78-FE5E-4D35-B791-D0990A3DD294}" name="Notes" dataDxfId="6"/>
    <tableColumn id="18" xr3:uid="{D679EB69-51B4-485C-855F-0F7BDA3B98A3}" name="SSConfirmed" dataDxfId="5"/>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2FCDA70-D8F5-46F8-A71A-0E7545404B56}" name="Table1" displayName="Table1" ref="A1:N92" totalsRowShown="0">
  <autoFilter ref="A1:N92" xr:uid="{82FCDA70-D8F5-46F8-A71A-0E7545404B56}"/>
  <sortState xmlns:xlrd2="http://schemas.microsoft.com/office/spreadsheetml/2017/richdata2" ref="A2:N92">
    <sortCondition ref="B1:B92"/>
  </sortState>
  <tableColumns count="14">
    <tableColumn id="1" xr3:uid="{7A94F44D-D772-42D6-B886-359C93DE45A7}" name="CASRN"/>
    <tableColumn id="2" xr3:uid="{2E8FBBB8-3262-4DE9-BA83-E6A310BA624F}" name="DTXSID" dataDxfId="4"/>
    <tableColumn id="3" xr3:uid="{E4775846-3B4F-499F-BC4D-060DB40A9D61}" name="PREFERRED_NAME"/>
    <tableColumn id="4" xr3:uid="{20B52159-3CB0-4DBB-A78F-765ED054FFE4}" name="Species"/>
    <tableColumn id="5" xr3:uid="{F79C0633-5368-45A6-9541-1C02FC4CF9B6}" name="Sex"/>
    <tableColumn id="6" xr3:uid="{4FCA433C-3058-4331-B3B1-702FC67805BC}" name="DosingAdj"/>
    <tableColumn id="7" xr3:uid="{34BAC089-5839-40D5-8FA5-035E64B3213B}" name="HLH" dataDxfId="3"/>
    <tableColumn id="8" xr3:uid="{969A0353-F75C-406E-9191-092B35F243EC}" name="HLH_SE" dataDxfId="2"/>
    <tableColumn id="9" xr3:uid="{BDDD77E2-B96D-4873-A773-DC021F82840F}" name="Source"/>
    <tableColumn id="10" xr3:uid="{92DFBDAE-F650-405A-B4DF-80635A5F4855}" name="NObs"/>
    <tableColumn id="11" xr3:uid="{AA7AB601-060D-4587-974D-1D6CA5D99DB6}" name="Multimodal"/>
    <tableColumn id="12" xr3:uid="{53D45382-4199-4909-B745-6A1191EC5C26}" name="FittedDist"/>
    <tableColumn id="13" xr3:uid="{AE82E614-38F2-4699-BFAB-E30D84B0F0FE}" name="HLD" dataDxfId="1">
      <calculatedColumnFormula>G2/24</calculatedColumnFormula>
    </tableColumn>
    <tableColumn id="14" xr3:uid="{4D94D8C6-E20B-40A7-96E9-1EEB42E682F4}" name="HLY" dataDxfId="0">
      <calculatedColumnFormula>M2/365.25</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s://comptox.epa.gov/dashboard/dsstoxdb/results?search=DTXSID5030030" TargetMode="External"/><Relationship Id="rId13" Type="http://schemas.openxmlformats.org/officeDocument/2006/relationships/hyperlink" Target="https://comptox.epa.gov/dashboard/dsstoxdb/results?search=DTXSID7040150" TargetMode="External"/><Relationship Id="rId18" Type="http://schemas.openxmlformats.org/officeDocument/2006/relationships/hyperlink" Target="https://comptox.epa.gov/dashboard/dsstoxdb/results?search=DTXSID3031864" TargetMode="External"/><Relationship Id="rId3" Type="http://schemas.openxmlformats.org/officeDocument/2006/relationships/hyperlink" Target="https://comptox.epa.gov/dashboard/dsstoxdb/results?search=DTXSID5030030" TargetMode="External"/><Relationship Id="rId21" Type="http://schemas.openxmlformats.org/officeDocument/2006/relationships/hyperlink" Target="https://comptox.epa.gov/dashboard/dsstoxdb/results?search=DTXSID3031864" TargetMode="External"/><Relationship Id="rId7" Type="http://schemas.openxmlformats.org/officeDocument/2006/relationships/hyperlink" Target="https://comptox.epa.gov/dashboard/dsstoxdb/results?search=DTXSID5030030" TargetMode="External"/><Relationship Id="rId12" Type="http://schemas.openxmlformats.org/officeDocument/2006/relationships/hyperlink" Target="https://comptox.epa.gov/dashboard/dsstoxdb/results?search=DTXSID7040150" TargetMode="External"/><Relationship Id="rId17" Type="http://schemas.openxmlformats.org/officeDocument/2006/relationships/hyperlink" Target="https://comptox.epa.gov/dashboard/dsstoxdb/results?search=DTXSID3031864" TargetMode="External"/><Relationship Id="rId2" Type="http://schemas.openxmlformats.org/officeDocument/2006/relationships/hyperlink" Target="https://comptox.epa.gov/dashboard/dsstoxdb/results?search=DTXSID5030030" TargetMode="External"/><Relationship Id="rId16" Type="http://schemas.openxmlformats.org/officeDocument/2006/relationships/hyperlink" Target="https://comptox.epa.gov/dashboard/dsstoxdb/results?search=DTXSID7040150" TargetMode="External"/><Relationship Id="rId20" Type="http://schemas.openxmlformats.org/officeDocument/2006/relationships/hyperlink" Target="https://comptox.epa.gov/dashboard/dsstoxdb/results?search=DTXSID3031864" TargetMode="External"/><Relationship Id="rId1" Type="http://schemas.openxmlformats.org/officeDocument/2006/relationships/hyperlink" Target="https://comptox.epa.gov/dashboard/dsstoxdb/results?search=DTXSID5030030" TargetMode="External"/><Relationship Id="rId6" Type="http://schemas.openxmlformats.org/officeDocument/2006/relationships/hyperlink" Target="https://comptox.epa.gov/dashboard/dsstoxdb/results?search=DTXSID5030030" TargetMode="External"/><Relationship Id="rId11" Type="http://schemas.openxmlformats.org/officeDocument/2006/relationships/hyperlink" Target="https://comptox.epa.gov/dashboard/dsstoxdb/results?search=DTXSID7040150" TargetMode="External"/><Relationship Id="rId24" Type="http://schemas.openxmlformats.org/officeDocument/2006/relationships/hyperlink" Target="https://comptox.epa.gov/dashboard/dsstoxdb/results?search=DTXSID3031864" TargetMode="External"/><Relationship Id="rId5" Type="http://schemas.openxmlformats.org/officeDocument/2006/relationships/hyperlink" Target="https://comptox.epa.gov/dashboard/dsstoxdb/results?search=DTXSID5030030" TargetMode="External"/><Relationship Id="rId15" Type="http://schemas.openxmlformats.org/officeDocument/2006/relationships/hyperlink" Target="https://comptox.epa.gov/dashboard/dsstoxdb/results?search=DTXSID7040150" TargetMode="External"/><Relationship Id="rId23" Type="http://schemas.openxmlformats.org/officeDocument/2006/relationships/hyperlink" Target="https://comptox.epa.gov/dashboard/dsstoxdb/results?search=DTXSID3031864" TargetMode="External"/><Relationship Id="rId10" Type="http://schemas.openxmlformats.org/officeDocument/2006/relationships/hyperlink" Target="https://comptox.epa.gov/dashboard/dsstoxdb/results?search=DTXSID7040150" TargetMode="External"/><Relationship Id="rId19" Type="http://schemas.openxmlformats.org/officeDocument/2006/relationships/hyperlink" Target="https://comptox.epa.gov/dashboard/dsstoxdb/results?search=DTXSID3031864" TargetMode="External"/><Relationship Id="rId4" Type="http://schemas.openxmlformats.org/officeDocument/2006/relationships/hyperlink" Target="https://comptox.epa.gov/dashboard/dsstoxdb/results?search=DTXSID5030030" TargetMode="External"/><Relationship Id="rId9" Type="http://schemas.openxmlformats.org/officeDocument/2006/relationships/hyperlink" Target="https://comptox.epa.gov/dashboard/dsstoxdb/results?search=DTXSID7040150" TargetMode="External"/><Relationship Id="rId14" Type="http://schemas.openxmlformats.org/officeDocument/2006/relationships/hyperlink" Target="https://comptox.epa.gov/dashboard/dsstoxdb/results?search=DTXSID7040150" TargetMode="External"/><Relationship Id="rId22" Type="http://schemas.openxmlformats.org/officeDocument/2006/relationships/hyperlink" Target="https://comptox.epa.gov/dashboard/dsstoxdb/results?search=DTXSID3031864"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comptox.epa.gov/dashboard/chemical/details/DTXSID7040150" TargetMode="External"/><Relationship Id="rId21" Type="http://schemas.openxmlformats.org/officeDocument/2006/relationships/hyperlink" Target="http://comptox.epa.gov/dashboard/chemical/details/DTXSID70880215" TargetMode="External"/><Relationship Id="rId42" Type="http://schemas.openxmlformats.org/officeDocument/2006/relationships/hyperlink" Target="http://comptox.epa.gov/dashboard/chemical/details/DTXSID5030030" TargetMode="External"/><Relationship Id="rId63" Type="http://schemas.openxmlformats.org/officeDocument/2006/relationships/hyperlink" Target="http://comptox.epa.gov/dashboard/chemical/details/DTXSID3031860" TargetMode="External"/><Relationship Id="rId84" Type="http://schemas.openxmlformats.org/officeDocument/2006/relationships/hyperlink" Target="http://comptox.epa.gov/dashboard/chemical/details/DTXSID3031862" TargetMode="External"/><Relationship Id="rId138" Type="http://schemas.openxmlformats.org/officeDocument/2006/relationships/hyperlink" Target="http://comptox.epa.gov/dashboard/chemical/details/DTXSID8031863" TargetMode="External"/><Relationship Id="rId159" Type="http://schemas.openxmlformats.org/officeDocument/2006/relationships/hyperlink" Target="http://comptox.epa.gov/dashboard/chemical/details/DTXSID8031865" TargetMode="External"/><Relationship Id="rId170" Type="http://schemas.openxmlformats.org/officeDocument/2006/relationships/hyperlink" Target="http://comptox.epa.gov/dashboard/chemical/details/DTXSID8031865" TargetMode="External"/><Relationship Id="rId191" Type="http://schemas.openxmlformats.org/officeDocument/2006/relationships/hyperlink" Target="http://comptox.epa.gov/dashboard/chemical/details/DTXSID3031864" TargetMode="External"/><Relationship Id="rId205" Type="http://schemas.openxmlformats.org/officeDocument/2006/relationships/hyperlink" Target="http://comptox.epa.gov/dashboard/chemical/details/DTXSID3031864" TargetMode="External"/><Relationship Id="rId107" Type="http://schemas.openxmlformats.org/officeDocument/2006/relationships/hyperlink" Target="http://comptox.epa.gov/dashboard/chemical/details/DTXSID7040150" TargetMode="External"/><Relationship Id="rId11" Type="http://schemas.openxmlformats.org/officeDocument/2006/relationships/hyperlink" Target="http://comptox.epa.gov/dashboard/chemical/details/DTXSID7029904" TargetMode="External"/><Relationship Id="rId32" Type="http://schemas.openxmlformats.org/officeDocument/2006/relationships/hyperlink" Target="http://comptox.epa.gov/dashboard/chemical/details/DTXSID4059916" TargetMode="External"/><Relationship Id="rId53" Type="http://schemas.openxmlformats.org/officeDocument/2006/relationships/hyperlink" Target="http://comptox.epa.gov/dashboard/chemical/details/DTXSID5030030" TargetMode="External"/><Relationship Id="rId74" Type="http://schemas.openxmlformats.org/officeDocument/2006/relationships/hyperlink" Target="http://comptox.epa.gov/dashboard/chemical/details/DTXSID1037303" TargetMode="External"/><Relationship Id="rId128" Type="http://schemas.openxmlformats.org/officeDocument/2006/relationships/hyperlink" Target="http://comptox.epa.gov/dashboard/chemical/details/DTXSID7040150" TargetMode="External"/><Relationship Id="rId149" Type="http://schemas.openxmlformats.org/officeDocument/2006/relationships/hyperlink" Target="http://comptox.epa.gov/dashboard/chemical/details/DTXSID8031865" TargetMode="External"/><Relationship Id="rId5" Type="http://schemas.openxmlformats.org/officeDocument/2006/relationships/hyperlink" Target="http://comptox.epa.gov/dashboard/chemical/details/DTXSID20874028" TargetMode="External"/><Relationship Id="rId90" Type="http://schemas.openxmlformats.org/officeDocument/2006/relationships/hyperlink" Target="http://comptox.epa.gov/dashboard/chemical/details/DTXSID3031862" TargetMode="External"/><Relationship Id="rId95" Type="http://schemas.openxmlformats.org/officeDocument/2006/relationships/hyperlink" Target="http://comptox.epa.gov/dashboard/chemical/details/DTXSID3031862" TargetMode="External"/><Relationship Id="rId160" Type="http://schemas.openxmlformats.org/officeDocument/2006/relationships/hyperlink" Target="http://comptox.epa.gov/dashboard/chemical/details/DTXSID8031865" TargetMode="External"/><Relationship Id="rId165" Type="http://schemas.openxmlformats.org/officeDocument/2006/relationships/hyperlink" Target="http://comptox.epa.gov/dashboard/chemical/details/DTXSID8031865" TargetMode="External"/><Relationship Id="rId181" Type="http://schemas.openxmlformats.org/officeDocument/2006/relationships/hyperlink" Target="http://comptox.epa.gov/dashboard/chemical/details/DTXSID3031864" TargetMode="External"/><Relationship Id="rId186" Type="http://schemas.openxmlformats.org/officeDocument/2006/relationships/hyperlink" Target="http://comptox.epa.gov/dashboard/chemical/details/DTXSID3031864" TargetMode="External"/><Relationship Id="rId216" Type="http://schemas.openxmlformats.org/officeDocument/2006/relationships/printerSettings" Target="../printerSettings/printerSettings2.bin"/><Relationship Id="rId211" Type="http://schemas.openxmlformats.org/officeDocument/2006/relationships/hyperlink" Target="http://comptox.epa.gov/dashboard/chemical/details/DTXSID3031864" TargetMode="External"/><Relationship Id="rId22" Type="http://schemas.openxmlformats.org/officeDocument/2006/relationships/hyperlink" Target="http://comptox.epa.gov/dashboard/chemical/details/DTXSID70880215" TargetMode="External"/><Relationship Id="rId27" Type="http://schemas.openxmlformats.org/officeDocument/2006/relationships/hyperlink" Target="http://comptox.epa.gov/dashboard/chemical/details/DTXSID4059916" TargetMode="External"/><Relationship Id="rId43" Type="http://schemas.openxmlformats.org/officeDocument/2006/relationships/hyperlink" Target="http://comptox.epa.gov/dashboard/chemical/details/DTXSID5030030" TargetMode="External"/><Relationship Id="rId48" Type="http://schemas.openxmlformats.org/officeDocument/2006/relationships/hyperlink" Target="http://comptox.epa.gov/dashboard/chemical/details/DTXSID5030030" TargetMode="External"/><Relationship Id="rId64" Type="http://schemas.openxmlformats.org/officeDocument/2006/relationships/hyperlink" Target="http://comptox.epa.gov/dashboard/chemical/details/DTXSID3031860" TargetMode="External"/><Relationship Id="rId69" Type="http://schemas.openxmlformats.org/officeDocument/2006/relationships/hyperlink" Target="http://comptox.epa.gov/dashboard/chemical/details/DTXSID3031860" TargetMode="External"/><Relationship Id="rId113" Type="http://schemas.openxmlformats.org/officeDocument/2006/relationships/hyperlink" Target="http://comptox.epa.gov/dashboard/chemical/details/DTXSID7040150" TargetMode="External"/><Relationship Id="rId118" Type="http://schemas.openxmlformats.org/officeDocument/2006/relationships/hyperlink" Target="http://comptox.epa.gov/dashboard/chemical/details/DTXSID7040150" TargetMode="External"/><Relationship Id="rId134" Type="http://schemas.openxmlformats.org/officeDocument/2006/relationships/hyperlink" Target="http://comptox.epa.gov/dashboard/chemical/details/DTXSID8031863" TargetMode="External"/><Relationship Id="rId139" Type="http://schemas.openxmlformats.org/officeDocument/2006/relationships/hyperlink" Target="http://comptox.epa.gov/dashboard/chemical/details/DTXSID8031863" TargetMode="External"/><Relationship Id="rId80" Type="http://schemas.openxmlformats.org/officeDocument/2006/relationships/hyperlink" Target="http://comptox.epa.gov/dashboard/chemical/details/DTXSID1037303" TargetMode="External"/><Relationship Id="rId85" Type="http://schemas.openxmlformats.org/officeDocument/2006/relationships/hyperlink" Target="http://comptox.epa.gov/dashboard/chemical/details/DTXSID3031862" TargetMode="External"/><Relationship Id="rId150" Type="http://schemas.openxmlformats.org/officeDocument/2006/relationships/hyperlink" Target="http://comptox.epa.gov/dashboard/chemical/details/DTXSID8031865" TargetMode="External"/><Relationship Id="rId155" Type="http://schemas.openxmlformats.org/officeDocument/2006/relationships/hyperlink" Target="http://comptox.epa.gov/dashboard/chemical/details/DTXSID8031865" TargetMode="External"/><Relationship Id="rId171" Type="http://schemas.openxmlformats.org/officeDocument/2006/relationships/hyperlink" Target="http://comptox.epa.gov/dashboard/chemical/details/DTXSID8031865" TargetMode="External"/><Relationship Id="rId176" Type="http://schemas.openxmlformats.org/officeDocument/2006/relationships/hyperlink" Target="http://comptox.epa.gov/dashboard/chemical/details/DTXSID8031865" TargetMode="External"/><Relationship Id="rId192" Type="http://schemas.openxmlformats.org/officeDocument/2006/relationships/hyperlink" Target="http://comptox.epa.gov/dashboard/chemical/details/DTXSID3031864" TargetMode="External"/><Relationship Id="rId197" Type="http://schemas.openxmlformats.org/officeDocument/2006/relationships/hyperlink" Target="http://comptox.epa.gov/dashboard/chemical/details/DTXSID3031864" TargetMode="External"/><Relationship Id="rId206" Type="http://schemas.openxmlformats.org/officeDocument/2006/relationships/hyperlink" Target="http://comptox.epa.gov/dashboard/chemical/details/DTXSID3031864" TargetMode="External"/><Relationship Id="rId201" Type="http://schemas.openxmlformats.org/officeDocument/2006/relationships/hyperlink" Target="http://comptox.epa.gov/dashboard/chemical/details/DTXSID3031864" TargetMode="External"/><Relationship Id="rId12" Type="http://schemas.openxmlformats.org/officeDocument/2006/relationships/hyperlink" Target="http://comptox.epa.gov/dashboard/chemical/details/DTXSID7029904" TargetMode="External"/><Relationship Id="rId17" Type="http://schemas.openxmlformats.org/officeDocument/2006/relationships/hyperlink" Target="http://comptox.epa.gov/dashboard/chemical/details/DTXSID70880215" TargetMode="External"/><Relationship Id="rId33" Type="http://schemas.openxmlformats.org/officeDocument/2006/relationships/hyperlink" Target="http://comptox.epa.gov/dashboard/chemical/details/DTXSID4059916" TargetMode="External"/><Relationship Id="rId38" Type="http://schemas.openxmlformats.org/officeDocument/2006/relationships/hyperlink" Target="http://comptox.epa.gov/dashboard/chemical/details/DTXSID5030030" TargetMode="External"/><Relationship Id="rId59" Type="http://schemas.openxmlformats.org/officeDocument/2006/relationships/hyperlink" Target="http://comptox.epa.gov/dashboard/chemical/details/DTXSID3031860" TargetMode="External"/><Relationship Id="rId103" Type="http://schemas.openxmlformats.org/officeDocument/2006/relationships/hyperlink" Target="http://comptox.epa.gov/dashboard/chemical/details/DTXSID3031862" TargetMode="External"/><Relationship Id="rId108" Type="http://schemas.openxmlformats.org/officeDocument/2006/relationships/hyperlink" Target="http://comptox.epa.gov/dashboard/chemical/details/DTXSID7040150" TargetMode="External"/><Relationship Id="rId124" Type="http://schemas.openxmlformats.org/officeDocument/2006/relationships/hyperlink" Target="http://comptox.epa.gov/dashboard/chemical/details/DTXSID7040150" TargetMode="External"/><Relationship Id="rId129" Type="http://schemas.openxmlformats.org/officeDocument/2006/relationships/hyperlink" Target="http://comptox.epa.gov/dashboard/chemical/details/DTXSID7040150" TargetMode="External"/><Relationship Id="rId54" Type="http://schemas.openxmlformats.org/officeDocument/2006/relationships/hyperlink" Target="http://comptox.epa.gov/dashboard/chemical/details/DTXSID5030030" TargetMode="External"/><Relationship Id="rId70" Type="http://schemas.openxmlformats.org/officeDocument/2006/relationships/hyperlink" Target="http://comptox.epa.gov/dashboard/chemical/details/DTXSID3031860" TargetMode="External"/><Relationship Id="rId75" Type="http://schemas.openxmlformats.org/officeDocument/2006/relationships/hyperlink" Target="http://comptox.epa.gov/dashboard/chemical/details/DTXSID1037303" TargetMode="External"/><Relationship Id="rId91" Type="http://schemas.openxmlformats.org/officeDocument/2006/relationships/hyperlink" Target="http://comptox.epa.gov/dashboard/chemical/details/DTXSID3031862" TargetMode="External"/><Relationship Id="rId96" Type="http://schemas.openxmlformats.org/officeDocument/2006/relationships/hyperlink" Target="http://comptox.epa.gov/dashboard/chemical/details/DTXSID3031862" TargetMode="External"/><Relationship Id="rId140" Type="http://schemas.openxmlformats.org/officeDocument/2006/relationships/hyperlink" Target="http://comptox.epa.gov/dashboard/chemical/details/DTXSID8031863" TargetMode="External"/><Relationship Id="rId145" Type="http://schemas.openxmlformats.org/officeDocument/2006/relationships/hyperlink" Target="http://comptox.epa.gov/dashboard/chemical/details/DTXSID8031863" TargetMode="External"/><Relationship Id="rId161" Type="http://schemas.openxmlformats.org/officeDocument/2006/relationships/hyperlink" Target="http://comptox.epa.gov/dashboard/chemical/details/DTXSID8031865" TargetMode="External"/><Relationship Id="rId166" Type="http://schemas.openxmlformats.org/officeDocument/2006/relationships/hyperlink" Target="http://comptox.epa.gov/dashboard/chemical/details/DTXSID8031865" TargetMode="External"/><Relationship Id="rId182" Type="http://schemas.openxmlformats.org/officeDocument/2006/relationships/hyperlink" Target="http://comptox.epa.gov/dashboard/chemical/details/DTXSID3031864" TargetMode="External"/><Relationship Id="rId187" Type="http://schemas.openxmlformats.org/officeDocument/2006/relationships/hyperlink" Target="http://comptox.epa.gov/dashboard/chemical/details/DTXSID3031864" TargetMode="External"/><Relationship Id="rId217" Type="http://schemas.openxmlformats.org/officeDocument/2006/relationships/table" Target="../tables/table1.xml"/><Relationship Id="rId1" Type="http://schemas.openxmlformats.org/officeDocument/2006/relationships/hyperlink" Target="http://comptox.epa.gov/dashboard/chemical/details/DTXSID20874028" TargetMode="External"/><Relationship Id="rId6" Type="http://schemas.openxmlformats.org/officeDocument/2006/relationships/hyperlink" Target="http://comptox.epa.gov/dashboard/chemical/details/DTXSID7029904" TargetMode="External"/><Relationship Id="rId212" Type="http://schemas.openxmlformats.org/officeDocument/2006/relationships/hyperlink" Target="http://comptox.epa.gov/dashboard/chemical/details/DTXSID3031864" TargetMode="External"/><Relationship Id="rId23" Type="http://schemas.openxmlformats.org/officeDocument/2006/relationships/hyperlink" Target="http://comptox.epa.gov/dashboard/chemical/details/DTXSID70880215" TargetMode="External"/><Relationship Id="rId28" Type="http://schemas.openxmlformats.org/officeDocument/2006/relationships/hyperlink" Target="http://comptox.epa.gov/dashboard/chemical/details/DTXSID4059916" TargetMode="External"/><Relationship Id="rId49" Type="http://schemas.openxmlformats.org/officeDocument/2006/relationships/hyperlink" Target="http://comptox.epa.gov/dashboard/chemical/details/DTXSID5030030" TargetMode="External"/><Relationship Id="rId114" Type="http://schemas.openxmlformats.org/officeDocument/2006/relationships/hyperlink" Target="http://comptox.epa.gov/dashboard/chemical/details/DTXSID7040150" TargetMode="External"/><Relationship Id="rId119" Type="http://schemas.openxmlformats.org/officeDocument/2006/relationships/hyperlink" Target="http://comptox.epa.gov/dashboard/chemical/details/DTXSID7040150" TargetMode="External"/><Relationship Id="rId44" Type="http://schemas.openxmlformats.org/officeDocument/2006/relationships/hyperlink" Target="http://comptox.epa.gov/dashboard/chemical/details/DTXSID5030030" TargetMode="External"/><Relationship Id="rId60" Type="http://schemas.openxmlformats.org/officeDocument/2006/relationships/hyperlink" Target="http://comptox.epa.gov/dashboard/chemical/details/DTXSID3031860" TargetMode="External"/><Relationship Id="rId65" Type="http://schemas.openxmlformats.org/officeDocument/2006/relationships/hyperlink" Target="http://comptox.epa.gov/dashboard/chemical/details/DTXSID3031860" TargetMode="External"/><Relationship Id="rId81" Type="http://schemas.openxmlformats.org/officeDocument/2006/relationships/hyperlink" Target="http://comptox.epa.gov/dashboard/chemical/details/DTXSID3031862" TargetMode="External"/><Relationship Id="rId86" Type="http://schemas.openxmlformats.org/officeDocument/2006/relationships/hyperlink" Target="http://comptox.epa.gov/dashboard/chemical/details/DTXSID3031862" TargetMode="External"/><Relationship Id="rId130" Type="http://schemas.openxmlformats.org/officeDocument/2006/relationships/hyperlink" Target="http://comptox.epa.gov/dashboard/chemical/details/DTXSID7040150" TargetMode="External"/><Relationship Id="rId135" Type="http://schemas.openxmlformats.org/officeDocument/2006/relationships/hyperlink" Target="http://comptox.epa.gov/dashboard/chemical/details/DTXSID8031863" TargetMode="External"/><Relationship Id="rId151" Type="http://schemas.openxmlformats.org/officeDocument/2006/relationships/hyperlink" Target="http://comptox.epa.gov/dashboard/chemical/details/DTXSID8031865" TargetMode="External"/><Relationship Id="rId156" Type="http://schemas.openxmlformats.org/officeDocument/2006/relationships/hyperlink" Target="http://comptox.epa.gov/dashboard/chemical/details/DTXSID8031865" TargetMode="External"/><Relationship Id="rId177" Type="http://schemas.openxmlformats.org/officeDocument/2006/relationships/hyperlink" Target="http://comptox.epa.gov/dashboard/chemical/details/DTXSID8031865" TargetMode="External"/><Relationship Id="rId198" Type="http://schemas.openxmlformats.org/officeDocument/2006/relationships/hyperlink" Target="http://comptox.epa.gov/dashboard/chemical/details/DTXSID3031864" TargetMode="External"/><Relationship Id="rId172" Type="http://schemas.openxmlformats.org/officeDocument/2006/relationships/hyperlink" Target="http://comptox.epa.gov/dashboard/chemical/details/DTXSID8031865" TargetMode="External"/><Relationship Id="rId193" Type="http://schemas.openxmlformats.org/officeDocument/2006/relationships/hyperlink" Target="http://comptox.epa.gov/dashboard/chemical/details/DTXSID3031864" TargetMode="External"/><Relationship Id="rId202" Type="http://schemas.openxmlformats.org/officeDocument/2006/relationships/hyperlink" Target="http://comptox.epa.gov/dashboard/chemical/details/DTXSID3031864" TargetMode="External"/><Relationship Id="rId207" Type="http://schemas.openxmlformats.org/officeDocument/2006/relationships/hyperlink" Target="http://comptox.epa.gov/dashboard/chemical/details/DTXSID3031864" TargetMode="External"/><Relationship Id="rId13" Type="http://schemas.openxmlformats.org/officeDocument/2006/relationships/hyperlink" Target="http://comptox.epa.gov/dashboard/chemical/details/DTXSID7029904" TargetMode="External"/><Relationship Id="rId18" Type="http://schemas.openxmlformats.org/officeDocument/2006/relationships/hyperlink" Target="http://comptox.epa.gov/dashboard/chemical/details/DTXSID70880215" TargetMode="External"/><Relationship Id="rId39" Type="http://schemas.openxmlformats.org/officeDocument/2006/relationships/hyperlink" Target="http://comptox.epa.gov/dashboard/chemical/details/DTXSID5030030" TargetMode="External"/><Relationship Id="rId109" Type="http://schemas.openxmlformats.org/officeDocument/2006/relationships/hyperlink" Target="http://comptox.epa.gov/dashboard/chemical/details/DTXSID7040150" TargetMode="External"/><Relationship Id="rId34" Type="http://schemas.openxmlformats.org/officeDocument/2006/relationships/hyperlink" Target="http://comptox.epa.gov/dashboard/chemical/details/DTXSID4059916" TargetMode="External"/><Relationship Id="rId50" Type="http://schemas.openxmlformats.org/officeDocument/2006/relationships/hyperlink" Target="http://comptox.epa.gov/dashboard/chemical/details/DTXSID5030030" TargetMode="External"/><Relationship Id="rId55" Type="http://schemas.openxmlformats.org/officeDocument/2006/relationships/hyperlink" Target="http://comptox.epa.gov/dashboard/chemical/details/DTXSID3031860" TargetMode="External"/><Relationship Id="rId76" Type="http://schemas.openxmlformats.org/officeDocument/2006/relationships/hyperlink" Target="http://comptox.epa.gov/dashboard/chemical/details/DTXSID1037303" TargetMode="External"/><Relationship Id="rId97" Type="http://schemas.openxmlformats.org/officeDocument/2006/relationships/hyperlink" Target="http://comptox.epa.gov/dashboard/chemical/details/DTXSID3031862" TargetMode="External"/><Relationship Id="rId104" Type="http://schemas.openxmlformats.org/officeDocument/2006/relationships/hyperlink" Target="http://comptox.epa.gov/dashboard/chemical/details/DTXSID3031862" TargetMode="External"/><Relationship Id="rId120" Type="http://schemas.openxmlformats.org/officeDocument/2006/relationships/hyperlink" Target="http://comptox.epa.gov/dashboard/chemical/details/DTXSID7040150" TargetMode="External"/><Relationship Id="rId125" Type="http://schemas.openxmlformats.org/officeDocument/2006/relationships/hyperlink" Target="http://comptox.epa.gov/dashboard/chemical/details/DTXSID7040150" TargetMode="External"/><Relationship Id="rId141" Type="http://schemas.openxmlformats.org/officeDocument/2006/relationships/hyperlink" Target="http://comptox.epa.gov/dashboard/chemical/details/DTXSID8031863" TargetMode="External"/><Relationship Id="rId146" Type="http://schemas.openxmlformats.org/officeDocument/2006/relationships/hyperlink" Target="http://comptox.epa.gov/dashboard/chemical/details/DTXSID8031863" TargetMode="External"/><Relationship Id="rId167" Type="http://schemas.openxmlformats.org/officeDocument/2006/relationships/hyperlink" Target="http://comptox.epa.gov/dashboard/chemical/details/DTXSID8031865" TargetMode="External"/><Relationship Id="rId188" Type="http://schemas.openxmlformats.org/officeDocument/2006/relationships/hyperlink" Target="http://comptox.epa.gov/dashboard/chemical/details/DTXSID3031864" TargetMode="External"/><Relationship Id="rId7" Type="http://schemas.openxmlformats.org/officeDocument/2006/relationships/hyperlink" Target="http://comptox.epa.gov/dashboard/chemical/details/DTXSID7029904" TargetMode="External"/><Relationship Id="rId71" Type="http://schemas.openxmlformats.org/officeDocument/2006/relationships/hyperlink" Target="http://comptox.epa.gov/dashboard/chemical/details/DTXSID1037303" TargetMode="External"/><Relationship Id="rId92" Type="http://schemas.openxmlformats.org/officeDocument/2006/relationships/hyperlink" Target="http://comptox.epa.gov/dashboard/chemical/details/DTXSID3031862" TargetMode="External"/><Relationship Id="rId162" Type="http://schemas.openxmlformats.org/officeDocument/2006/relationships/hyperlink" Target="http://comptox.epa.gov/dashboard/chemical/details/DTXSID8031865" TargetMode="External"/><Relationship Id="rId183" Type="http://schemas.openxmlformats.org/officeDocument/2006/relationships/hyperlink" Target="http://comptox.epa.gov/dashboard/chemical/details/DTXSID3031864" TargetMode="External"/><Relationship Id="rId213" Type="http://schemas.openxmlformats.org/officeDocument/2006/relationships/hyperlink" Target="http://comptox.epa.gov/dashboard/chemical/details/DTXSID3031864" TargetMode="External"/><Relationship Id="rId2" Type="http://schemas.openxmlformats.org/officeDocument/2006/relationships/hyperlink" Target="http://comptox.epa.gov/dashboard/chemical/details/DTXSID20874028" TargetMode="External"/><Relationship Id="rId29" Type="http://schemas.openxmlformats.org/officeDocument/2006/relationships/hyperlink" Target="http://comptox.epa.gov/dashboard/chemical/details/DTXSID4059916" TargetMode="External"/><Relationship Id="rId24" Type="http://schemas.openxmlformats.org/officeDocument/2006/relationships/hyperlink" Target="http://comptox.epa.gov/dashboard/chemical/details/DTXSID4059916" TargetMode="External"/><Relationship Id="rId40" Type="http://schemas.openxmlformats.org/officeDocument/2006/relationships/hyperlink" Target="http://comptox.epa.gov/dashboard/chemical/details/DTXSID5030030" TargetMode="External"/><Relationship Id="rId45" Type="http://schemas.openxmlformats.org/officeDocument/2006/relationships/hyperlink" Target="http://comptox.epa.gov/dashboard/chemical/details/DTXSID5030030" TargetMode="External"/><Relationship Id="rId66" Type="http://schemas.openxmlformats.org/officeDocument/2006/relationships/hyperlink" Target="http://comptox.epa.gov/dashboard/chemical/details/DTXSID3031860" TargetMode="External"/><Relationship Id="rId87" Type="http://schemas.openxmlformats.org/officeDocument/2006/relationships/hyperlink" Target="http://comptox.epa.gov/dashboard/chemical/details/DTXSID3031862" TargetMode="External"/><Relationship Id="rId110" Type="http://schemas.openxmlformats.org/officeDocument/2006/relationships/hyperlink" Target="http://comptox.epa.gov/dashboard/chemical/details/DTXSID7040150" TargetMode="External"/><Relationship Id="rId115" Type="http://schemas.openxmlformats.org/officeDocument/2006/relationships/hyperlink" Target="http://comptox.epa.gov/dashboard/chemical/details/DTXSID7040150" TargetMode="External"/><Relationship Id="rId131" Type="http://schemas.openxmlformats.org/officeDocument/2006/relationships/hyperlink" Target="http://comptox.epa.gov/dashboard/chemical/details/DTXSID8031863" TargetMode="External"/><Relationship Id="rId136" Type="http://schemas.openxmlformats.org/officeDocument/2006/relationships/hyperlink" Target="http://comptox.epa.gov/dashboard/chemical/details/DTXSID8031863" TargetMode="External"/><Relationship Id="rId157" Type="http://schemas.openxmlformats.org/officeDocument/2006/relationships/hyperlink" Target="http://comptox.epa.gov/dashboard/chemical/details/DTXSID8031865" TargetMode="External"/><Relationship Id="rId178" Type="http://schemas.openxmlformats.org/officeDocument/2006/relationships/hyperlink" Target="http://comptox.epa.gov/dashboard/chemical/details/DTXSID8031865" TargetMode="External"/><Relationship Id="rId61" Type="http://schemas.openxmlformats.org/officeDocument/2006/relationships/hyperlink" Target="http://comptox.epa.gov/dashboard/chemical/details/DTXSID3031860" TargetMode="External"/><Relationship Id="rId82" Type="http://schemas.openxmlformats.org/officeDocument/2006/relationships/hyperlink" Target="http://comptox.epa.gov/dashboard/chemical/details/DTXSID3031862" TargetMode="External"/><Relationship Id="rId152" Type="http://schemas.openxmlformats.org/officeDocument/2006/relationships/hyperlink" Target="http://comptox.epa.gov/dashboard/chemical/details/DTXSID8031865" TargetMode="External"/><Relationship Id="rId173" Type="http://schemas.openxmlformats.org/officeDocument/2006/relationships/hyperlink" Target="http://comptox.epa.gov/dashboard/chemical/details/DTXSID8031865" TargetMode="External"/><Relationship Id="rId194" Type="http://schemas.openxmlformats.org/officeDocument/2006/relationships/hyperlink" Target="http://comptox.epa.gov/dashboard/chemical/details/DTXSID3031864" TargetMode="External"/><Relationship Id="rId199" Type="http://schemas.openxmlformats.org/officeDocument/2006/relationships/hyperlink" Target="http://comptox.epa.gov/dashboard/chemical/details/DTXSID3031864" TargetMode="External"/><Relationship Id="rId203" Type="http://schemas.openxmlformats.org/officeDocument/2006/relationships/hyperlink" Target="http://comptox.epa.gov/dashboard/chemical/details/DTXSID3031864" TargetMode="External"/><Relationship Id="rId208" Type="http://schemas.openxmlformats.org/officeDocument/2006/relationships/hyperlink" Target="http://comptox.epa.gov/dashboard/chemical/details/DTXSID3031864" TargetMode="External"/><Relationship Id="rId19" Type="http://schemas.openxmlformats.org/officeDocument/2006/relationships/hyperlink" Target="http://comptox.epa.gov/dashboard/chemical/details/DTXSID70880215" TargetMode="External"/><Relationship Id="rId14" Type="http://schemas.openxmlformats.org/officeDocument/2006/relationships/hyperlink" Target="http://comptox.epa.gov/dashboard/chemical/details/DTXSID60881236" TargetMode="External"/><Relationship Id="rId30" Type="http://schemas.openxmlformats.org/officeDocument/2006/relationships/hyperlink" Target="http://comptox.epa.gov/dashboard/chemical/details/DTXSID4059916" TargetMode="External"/><Relationship Id="rId35" Type="http://schemas.openxmlformats.org/officeDocument/2006/relationships/hyperlink" Target="http://comptox.epa.gov/dashboard/chemical/details/DTXSID4059916" TargetMode="External"/><Relationship Id="rId56" Type="http://schemas.openxmlformats.org/officeDocument/2006/relationships/hyperlink" Target="http://comptox.epa.gov/dashboard/chemical/details/DTXSID3031860" TargetMode="External"/><Relationship Id="rId77" Type="http://schemas.openxmlformats.org/officeDocument/2006/relationships/hyperlink" Target="http://comptox.epa.gov/dashboard/chemical/details/DTXSID1037303" TargetMode="External"/><Relationship Id="rId100" Type="http://schemas.openxmlformats.org/officeDocument/2006/relationships/hyperlink" Target="http://comptox.epa.gov/dashboard/chemical/details/DTXSID3031862" TargetMode="External"/><Relationship Id="rId105" Type="http://schemas.openxmlformats.org/officeDocument/2006/relationships/hyperlink" Target="http://comptox.epa.gov/dashboard/chemical/details/DTXSID7040150" TargetMode="External"/><Relationship Id="rId126" Type="http://schemas.openxmlformats.org/officeDocument/2006/relationships/hyperlink" Target="http://comptox.epa.gov/dashboard/chemical/details/DTXSID7040150" TargetMode="External"/><Relationship Id="rId147" Type="http://schemas.openxmlformats.org/officeDocument/2006/relationships/hyperlink" Target="http://comptox.epa.gov/dashboard/chemical/details/DTXSID8031865" TargetMode="External"/><Relationship Id="rId168" Type="http://schemas.openxmlformats.org/officeDocument/2006/relationships/hyperlink" Target="http://comptox.epa.gov/dashboard/chemical/details/DTXSID8031865" TargetMode="External"/><Relationship Id="rId8" Type="http://schemas.openxmlformats.org/officeDocument/2006/relationships/hyperlink" Target="http://comptox.epa.gov/dashboard/chemical/details/DTXSID7029904" TargetMode="External"/><Relationship Id="rId51" Type="http://schemas.openxmlformats.org/officeDocument/2006/relationships/hyperlink" Target="http://comptox.epa.gov/dashboard/chemical/details/DTXSID5030030" TargetMode="External"/><Relationship Id="rId72" Type="http://schemas.openxmlformats.org/officeDocument/2006/relationships/hyperlink" Target="http://comptox.epa.gov/dashboard/chemical/details/DTXSID1037303" TargetMode="External"/><Relationship Id="rId93" Type="http://schemas.openxmlformats.org/officeDocument/2006/relationships/hyperlink" Target="http://comptox.epa.gov/dashboard/chemical/details/DTXSID3031862" TargetMode="External"/><Relationship Id="rId98" Type="http://schemas.openxmlformats.org/officeDocument/2006/relationships/hyperlink" Target="http://comptox.epa.gov/dashboard/chemical/details/DTXSID3031862" TargetMode="External"/><Relationship Id="rId121" Type="http://schemas.openxmlformats.org/officeDocument/2006/relationships/hyperlink" Target="http://comptox.epa.gov/dashboard/chemical/details/DTXSID7040150" TargetMode="External"/><Relationship Id="rId142" Type="http://schemas.openxmlformats.org/officeDocument/2006/relationships/hyperlink" Target="http://comptox.epa.gov/dashboard/chemical/details/DTXSID8031863" TargetMode="External"/><Relationship Id="rId163" Type="http://schemas.openxmlformats.org/officeDocument/2006/relationships/hyperlink" Target="http://comptox.epa.gov/dashboard/chemical/details/DTXSID8031865" TargetMode="External"/><Relationship Id="rId184" Type="http://schemas.openxmlformats.org/officeDocument/2006/relationships/hyperlink" Target="http://comptox.epa.gov/dashboard/chemical/details/DTXSID3031864" TargetMode="External"/><Relationship Id="rId189" Type="http://schemas.openxmlformats.org/officeDocument/2006/relationships/hyperlink" Target="http://comptox.epa.gov/dashboard/chemical/details/DTXSID3031864" TargetMode="External"/><Relationship Id="rId3" Type="http://schemas.openxmlformats.org/officeDocument/2006/relationships/hyperlink" Target="http://comptox.epa.gov/dashboard/chemical/details/DTXSID20874028" TargetMode="External"/><Relationship Id="rId214" Type="http://schemas.openxmlformats.org/officeDocument/2006/relationships/hyperlink" Target="http://comptox.epa.gov/dashboard/chemical/details/DTXSID8062600" TargetMode="External"/><Relationship Id="rId25" Type="http://schemas.openxmlformats.org/officeDocument/2006/relationships/hyperlink" Target="http://comptox.epa.gov/dashboard/chemical/details/DTXSID4059916" TargetMode="External"/><Relationship Id="rId46" Type="http://schemas.openxmlformats.org/officeDocument/2006/relationships/hyperlink" Target="http://comptox.epa.gov/dashboard/chemical/details/DTXSID5030030" TargetMode="External"/><Relationship Id="rId67" Type="http://schemas.openxmlformats.org/officeDocument/2006/relationships/hyperlink" Target="http://comptox.epa.gov/dashboard/chemical/details/DTXSID3031860" TargetMode="External"/><Relationship Id="rId116" Type="http://schemas.openxmlformats.org/officeDocument/2006/relationships/hyperlink" Target="http://comptox.epa.gov/dashboard/chemical/details/DTXSID7040150" TargetMode="External"/><Relationship Id="rId137" Type="http://schemas.openxmlformats.org/officeDocument/2006/relationships/hyperlink" Target="http://comptox.epa.gov/dashboard/chemical/details/DTXSID8031863" TargetMode="External"/><Relationship Id="rId158" Type="http://schemas.openxmlformats.org/officeDocument/2006/relationships/hyperlink" Target="http://comptox.epa.gov/dashboard/chemical/details/DTXSID8031865" TargetMode="External"/><Relationship Id="rId20" Type="http://schemas.openxmlformats.org/officeDocument/2006/relationships/hyperlink" Target="http://comptox.epa.gov/dashboard/chemical/details/DTXSID70880215" TargetMode="External"/><Relationship Id="rId41" Type="http://schemas.openxmlformats.org/officeDocument/2006/relationships/hyperlink" Target="http://comptox.epa.gov/dashboard/chemical/details/DTXSID5030030" TargetMode="External"/><Relationship Id="rId62" Type="http://schemas.openxmlformats.org/officeDocument/2006/relationships/hyperlink" Target="http://comptox.epa.gov/dashboard/chemical/details/DTXSID3031860" TargetMode="External"/><Relationship Id="rId83" Type="http://schemas.openxmlformats.org/officeDocument/2006/relationships/hyperlink" Target="http://comptox.epa.gov/dashboard/chemical/details/DTXSID3031862" TargetMode="External"/><Relationship Id="rId88" Type="http://schemas.openxmlformats.org/officeDocument/2006/relationships/hyperlink" Target="http://comptox.epa.gov/dashboard/chemical/details/DTXSID3031862" TargetMode="External"/><Relationship Id="rId111" Type="http://schemas.openxmlformats.org/officeDocument/2006/relationships/hyperlink" Target="http://comptox.epa.gov/dashboard/chemical/details/DTXSID7040150" TargetMode="External"/><Relationship Id="rId132" Type="http://schemas.openxmlformats.org/officeDocument/2006/relationships/hyperlink" Target="http://comptox.epa.gov/dashboard/chemical/details/DTXSID8031863" TargetMode="External"/><Relationship Id="rId153" Type="http://schemas.openxmlformats.org/officeDocument/2006/relationships/hyperlink" Target="http://comptox.epa.gov/dashboard/chemical/details/DTXSID8031865" TargetMode="External"/><Relationship Id="rId174" Type="http://schemas.openxmlformats.org/officeDocument/2006/relationships/hyperlink" Target="http://comptox.epa.gov/dashboard/chemical/details/DTXSID8031865" TargetMode="External"/><Relationship Id="rId179" Type="http://schemas.openxmlformats.org/officeDocument/2006/relationships/hyperlink" Target="http://comptox.epa.gov/dashboard/chemical/details/DTXSID8031865" TargetMode="External"/><Relationship Id="rId195" Type="http://schemas.openxmlformats.org/officeDocument/2006/relationships/hyperlink" Target="http://comptox.epa.gov/dashboard/chemical/details/DTXSID3031864" TargetMode="External"/><Relationship Id="rId209" Type="http://schemas.openxmlformats.org/officeDocument/2006/relationships/hyperlink" Target="http://comptox.epa.gov/dashboard/chemical/details/DTXSID3031864" TargetMode="External"/><Relationship Id="rId190" Type="http://schemas.openxmlformats.org/officeDocument/2006/relationships/hyperlink" Target="http://comptox.epa.gov/dashboard/chemical/details/DTXSID3031864" TargetMode="External"/><Relationship Id="rId204" Type="http://schemas.openxmlformats.org/officeDocument/2006/relationships/hyperlink" Target="http://comptox.epa.gov/dashboard/chemical/details/DTXSID3031864" TargetMode="External"/><Relationship Id="rId15" Type="http://schemas.openxmlformats.org/officeDocument/2006/relationships/hyperlink" Target="http://comptox.epa.gov/dashboard/chemical/details/DTXSID60881236" TargetMode="External"/><Relationship Id="rId36" Type="http://schemas.openxmlformats.org/officeDocument/2006/relationships/hyperlink" Target="http://comptox.epa.gov/dashboard/chemical/details/DTXSID5030030" TargetMode="External"/><Relationship Id="rId57" Type="http://schemas.openxmlformats.org/officeDocument/2006/relationships/hyperlink" Target="http://comptox.epa.gov/dashboard/chemical/details/DTXSID3031860" TargetMode="External"/><Relationship Id="rId106" Type="http://schemas.openxmlformats.org/officeDocument/2006/relationships/hyperlink" Target="http://comptox.epa.gov/dashboard/chemical/details/DTXSID7040150" TargetMode="External"/><Relationship Id="rId127" Type="http://schemas.openxmlformats.org/officeDocument/2006/relationships/hyperlink" Target="http://comptox.epa.gov/dashboard/chemical/details/DTXSID7040150" TargetMode="External"/><Relationship Id="rId10" Type="http://schemas.openxmlformats.org/officeDocument/2006/relationships/hyperlink" Target="http://comptox.epa.gov/dashboard/chemical/details/DTXSID7029904" TargetMode="External"/><Relationship Id="rId31" Type="http://schemas.openxmlformats.org/officeDocument/2006/relationships/hyperlink" Target="http://comptox.epa.gov/dashboard/chemical/details/DTXSID4059916" TargetMode="External"/><Relationship Id="rId52" Type="http://schemas.openxmlformats.org/officeDocument/2006/relationships/hyperlink" Target="http://comptox.epa.gov/dashboard/chemical/details/DTXSID5030030" TargetMode="External"/><Relationship Id="rId73" Type="http://schemas.openxmlformats.org/officeDocument/2006/relationships/hyperlink" Target="http://comptox.epa.gov/dashboard/chemical/details/DTXSID1037303" TargetMode="External"/><Relationship Id="rId78" Type="http://schemas.openxmlformats.org/officeDocument/2006/relationships/hyperlink" Target="http://comptox.epa.gov/dashboard/chemical/details/DTXSID1037303" TargetMode="External"/><Relationship Id="rId94" Type="http://schemas.openxmlformats.org/officeDocument/2006/relationships/hyperlink" Target="http://comptox.epa.gov/dashboard/chemical/details/DTXSID3031862" TargetMode="External"/><Relationship Id="rId99" Type="http://schemas.openxmlformats.org/officeDocument/2006/relationships/hyperlink" Target="http://comptox.epa.gov/dashboard/chemical/details/DTXSID3031862" TargetMode="External"/><Relationship Id="rId101" Type="http://schemas.openxmlformats.org/officeDocument/2006/relationships/hyperlink" Target="http://comptox.epa.gov/dashboard/chemical/details/DTXSID3031862" TargetMode="External"/><Relationship Id="rId122" Type="http://schemas.openxmlformats.org/officeDocument/2006/relationships/hyperlink" Target="http://comptox.epa.gov/dashboard/chemical/details/DTXSID7040150" TargetMode="External"/><Relationship Id="rId143" Type="http://schemas.openxmlformats.org/officeDocument/2006/relationships/hyperlink" Target="http://comptox.epa.gov/dashboard/chemical/details/DTXSID8031863" TargetMode="External"/><Relationship Id="rId148" Type="http://schemas.openxmlformats.org/officeDocument/2006/relationships/hyperlink" Target="http://comptox.epa.gov/dashboard/chemical/details/DTXSID8031865" TargetMode="External"/><Relationship Id="rId164" Type="http://schemas.openxmlformats.org/officeDocument/2006/relationships/hyperlink" Target="http://comptox.epa.gov/dashboard/chemical/details/DTXSID8031865" TargetMode="External"/><Relationship Id="rId169" Type="http://schemas.openxmlformats.org/officeDocument/2006/relationships/hyperlink" Target="http://comptox.epa.gov/dashboard/chemical/details/DTXSID8031865" TargetMode="External"/><Relationship Id="rId185" Type="http://schemas.openxmlformats.org/officeDocument/2006/relationships/hyperlink" Target="http://comptox.epa.gov/dashboard/chemical/details/DTXSID3031864" TargetMode="External"/><Relationship Id="rId4" Type="http://schemas.openxmlformats.org/officeDocument/2006/relationships/hyperlink" Target="http://comptox.epa.gov/dashboard/chemical/details/DTXSID20874028" TargetMode="External"/><Relationship Id="rId9" Type="http://schemas.openxmlformats.org/officeDocument/2006/relationships/hyperlink" Target="http://comptox.epa.gov/dashboard/chemical/details/DTXSID7029904" TargetMode="External"/><Relationship Id="rId180" Type="http://schemas.openxmlformats.org/officeDocument/2006/relationships/hyperlink" Target="http://comptox.epa.gov/dashboard/chemical/details/DTXSID8031865" TargetMode="External"/><Relationship Id="rId210" Type="http://schemas.openxmlformats.org/officeDocument/2006/relationships/hyperlink" Target="http://comptox.epa.gov/dashboard/chemical/details/DTXSID3031864" TargetMode="External"/><Relationship Id="rId215" Type="http://schemas.openxmlformats.org/officeDocument/2006/relationships/hyperlink" Target="http://comptox.epa.gov/dashboard/chemical/details/DTXSID8062600" TargetMode="External"/><Relationship Id="rId26" Type="http://schemas.openxmlformats.org/officeDocument/2006/relationships/hyperlink" Target="http://comptox.epa.gov/dashboard/chemical/details/DTXSID4059916" TargetMode="External"/><Relationship Id="rId47" Type="http://schemas.openxmlformats.org/officeDocument/2006/relationships/hyperlink" Target="http://comptox.epa.gov/dashboard/chemical/details/DTXSID5030030" TargetMode="External"/><Relationship Id="rId68" Type="http://schemas.openxmlformats.org/officeDocument/2006/relationships/hyperlink" Target="http://comptox.epa.gov/dashboard/chemical/details/DTXSID3031860" TargetMode="External"/><Relationship Id="rId89" Type="http://schemas.openxmlformats.org/officeDocument/2006/relationships/hyperlink" Target="http://comptox.epa.gov/dashboard/chemical/details/DTXSID3031862" TargetMode="External"/><Relationship Id="rId112" Type="http://schemas.openxmlformats.org/officeDocument/2006/relationships/hyperlink" Target="http://comptox.epa.gov/dashboard/chemical/details/DTXSID7040150" TargetMode="External"/><Relationship Id="rId133" Type="http://schemas.openxmlformats.org/officeDocument/2006/relationships/hyperlink" Target="http://comptox.epa.gov/dashboard/chemical/details/DTXSID8031863" TargetMode="External"/><Relationship Id="rId154" Type="http://schemas.openxmlformats.org/officeDocument/2006/relationships/hyperlink" Target="http://comptox.epa.gov/dashboard/chemical/details/DTXSID8031865" TargetMode="External"/><Relationship Id="rId175" Type="http://schemas.openxmlformats.org/officeDocument/2006/relationships/hyperlink" Target="http://comptox.epa.gov/dashboard/chemical/details/DTXSID8031865" TargetMode="External"/><Relationship Id="rId196" Type="http://schemas.openxmlformats.org/officeDocument/2006/relationships/hyperlink" Target="http://comptox.epa.gov/dashboard/chemical/details/DTXSID3031864" TargetMode="External"/><Relationship Id="rId200" Type="http://schemas.openxmlformats.org/officeDocument/2006/relationships/hyperlink" Target="http://comptox.epa.gov/dashboard/chemical/details/DTXSID3031864" TargetMode="External"/><Relationship Id="rId16" Type="http://schemas.openxmlformats.org/officeDocument/2006/relationships/hyperlink" Target="http://comptox.epa.gov/dashboard/chemical/details/DTXSID70880215" TargetMode="External"/><Relationship Id="rId37" Type="http://schemas.openxmlformats.org/officeDocument/2006/relationships/hyperlink" Target="http://comptox.epa.gov/dashboard/chemical/details/DTXSID5030030" TargetMode="External"/><Relationship Id="rId58" Type="http://schemas.openxmlformats.org/officeDocument/2006/relationships/hyperlink" Target="http://comptox.epa.gov/dashboard/chemical/details/DTXSID3031860" TargetMode="External"/><Relationship Id="rId79" Type="http://schemas.openxmlformats.org/officeDocument/2006/relationships/hyperlink" Target="http://comptox.epa.gov/dashboard/chemical/details/DTXSID1037303" TargetMode="External"/><Relationship Id="rId102" Type="http://schemas.openxmlformats.org/officeDocument/2006/relationships/hyperlink" Target="http://comptox.epa.gov/dashboard/chemical/details/DTXSID3031862" TargetMode="External"/><Relationship Id="rId123" Type="http://schemas.openxmlformats.org/officeDocument/2006/relationships/hyperlink" Target="http://comptox.epa.gov/dashboard/chemical/details/DTXSID7040150" TargetMode="External"/><Relationship Id="rId144" Type="http://schemas.openxmlformats.org/officeDocument/2006/relationships/hyperlink" Target="http://comptox.epa.gov/dashboard/chemical/details/DTXSID8031863"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comptox.epa.gov/dashboard/chemical/details/DTXSID3031862" TargetMode="External"/><Relationship Id="rId18" Type="http://schemas.openxmlformats.org/officeDocument/2006/relationships/hyperlink" Target="http://comptox.epa.gov/dashboard/chemical/details/DTXSID3031862" TargetMode="External"/><Relationship Id="rId26" Type="http://schemas.openxmlformats.org/officeDocument/2006/relationships/hyperlink" Target="http://comptox.epa.gov/dashboard/chemical/details/DTXSID3031864" TargetMode="External"/><Relationship Id="rId39" Type="http://schemas.openxmlformats.org/officeDocument/2006/relationships/hyperlink" Target="http://comptox.epa.gov/dashboard/chemical/details/DTXSID4059916" TargetMode="External"/><Relationship Id="rId21" Type="http://schemas.openxmlformats.org/officeDocument/2006/relationships/hyperlink" Target="http://comptox.epa.gov/dashboard/chemical/details/DTXSID3031862" TargetMode="External"/><Relationship Id="rId34" Type="http://schemas.openxmlformats.org/officeDocument/2006/relationships/hyperlink" Target="http://comptox.epa.gov/dashboard/chemical/details/DTXSID4059916" TargetMode="External"/><Relationship Id="rId42" Type="http://schemas.openxmlformats.org/officeDocument/2006/relationships/hyperlink" Target="http://comptox.epa.gov/dashboard/chemical/details/DTXSID5030030" TargetMode="External"/><Relationship Id="rId47" Type="http://schemas.openxmlformats.org/officeDocument/2006/relationships/hyperlink" Target="http://comptox.epa.gov/dashboard/chemical/details/DTXSID5030030" TargetMode="External"/><Relationship Id="rId50" Type="http://schemas.openxmlformats.org/officeDocument/2006/relationships/hyperlink" Target="http://comptox.epa.gov/dashboard/chemical/details/DTXSID5030030" TargetMode="External"/><Relationship Id="rId55" Type="http://schemas.openxmlformats.org/officeDocument/2006/relationships/hyperlink" Target="http://comptox.epa.gov/dashboard/chemical/details/DTXSID7040150" TargetMode="External"/><Relationship Id="rId63" Type="http://schemas.openxmlformats.org/officeDocument/2006/relationships/hyperlink" Target="http://comptox.epa.gov/dashboard/chemical/details/DTXSID70880215" TargetMode="External"/><Relationship Id="rId68" Type="http://schemas.openxmlformats.org/officeDocument/2006/relationships/hyperlink" Target="http://comptox.epa.gov/dashboard/chemical/details/DTXSID70880215" TargetMode="External"/><Relationship Id="rId76" Type="http://schemas.openxmlformats.org/officeDocument/2006/relationships/hyperlink" Target="http://comptox.epa.gov/dashboard/chemical/details/DTXSID8031863" TargetMode="External"/><Relationship Id="rId84" Type="http://schemas.openxmlformats.org/officeDocument/2006/relationships/hyperlink" Target="http://comptox.epa.gov/dashboard/chemical/details/DTXSID8031865" TargetMode="External"/><Relationship Id="rId89" Type="http://schemas.openxmlformats.org/officeDocument/2006/relationships/hyperlink" Target="http://comptox.epa.gov/dashboard/chemical/details/DTXSID8031865" TargetMode="External"/><Relationship Id="rId7" Type="http://schemas.openxmlformats.org/officeDocument/2006/relationships/hyperlink" Target="http://comptox.epa.gov/dashboard/chemical/details/DTXSID3031860" TargetMode="External"/><Relationship Id="rId71" Type="http://schemas.openxmlformats.org/officeDocument/2006/relationships/hyperlink" Target="http://comptox.epa.gov/dashboard/chemical/details/DTXSID8031863" TargetMode="External"/><Relationship Id="rId92" Type="http://schemas.openxmlformats.org/officeDocument/2006/relationships/table" Target="../tables/table2.xml"/><Relationship Id="rId2" Type="http://schemas.openxmlformats.org/officeDocument/2006/relationships/hyperlink" Target="http://comptox.epa.gov/dashboard/chemical/details/DTXSID1037303" TargetMode="External"/><Relationship Id="rId16" Type="http://schemas.openxmlformats.org/officeDocument/2006/relationships/hyperlink" Target="http://comptox.epa.gov/dashboard/chemical/details/DTXSID3031862" TargetMode="External"/><Relationship Id="rId29" Type="http://schemas.openxmlformats.org/officeDocument/2006/relationships/hyperlink" Target="http://comptox.epa.gov/dashboard/chemical/details/DTXSID3031864" TargetMode="External"/><Relationship Id="rId11" Type="http://schemas.openxmlformats.org/officeDocument/2006/relationships/hyperlink" Target="http://comptox.epa.gov/dashboard/chemical/details/DTXSID3031860" TargetMode="External"/><Relationship Id="rId24" Type="http://schemas.openxmlformats.org/officeDocument/2006/relationships/hyperlink" Target="http://comptox.epa.gov/dashboard/chemical/details/DTXSID3031864" TargetMode="External"/><Relationship Id="rId32" Type="http://schemas.openxmlformats.org/officeDocument/2006/relationships/hyperlink" Target="http://comptox.epa.gov/dashboard/chemical/details/DTXSID3031864" TargetMode="External"/><Relationship Id="rId37" Type="http://schemas.openxmlformats.org/officeDocument/2006/relationships/hyperlink" Target="http://comptox.epa.gov/dashboard/chemical/details/DTXSID4059916" TargetMode="External"/><Relationship Id="rId40" Type="http://schemas.openxmlformats.org/officeDocument/2006/relationships/hyperlink" Target="http://comptox.epa.gov/dashboard/chemical/details/DTXSID4059916" TargetMode="External"/><Relationship Id="rId45" Type="http://schemas.openxmlformats.org/officeDocument/2006/relationships/hyperlink" Target="http://comptox.epa.gov/dashboard/chemical/details/DTXSID5030030" TargetMode="External"/><Relationship Id="rId53" Type="http://schemas.openxmlformats.org/officeDocument/2006/relationships/hyperlink" Target="http://comptox.epa.gov/dashboard/chemical/details/DTXSID7040150" TargetMode="External"/><Relationship Id="rId58" Type="http://schemas.openxmlformats.org/officeDocument/2006/relationships/hyperlink" Target="http://comptox.epa.gov/dashboard/chemical/details/DTXSID7040150" TargetMode="External"/><Relationship Id="rId66" Type="http://schemas.openxmlformats.org/officeDocument/2006/relationships/hyperlink" Target="http://comptox.epa.gov/dashboard/chemical/details/DTXSID70880215" TargetMode="External"/><Relationship Id="rId74" Type="http://schemas.openxmlformats.org/officeDocument/2006/relationships/hyperlink" Target="http://comptox.epa.gov/dashboard/chemical/details/DTXSID8031863" TargetMode="External"/><Relationship Id="rId79" Type="http://schemas.openxmlformats.org/officeDocument/2006/relationships/hyperlink" Target="http://comptox.epa.gov/dashboard/chemical/details/DTXSID8031865" TargetMode="External"/><Relationship Id="rId87" Type="http://schemas.openxmlformats.org/officeDocument/2006/relationships/hyperlink" Target="http://comptox.epa.gov/dashboard/chemical/details/DTXSID8031865" TargetMode="External"/><Relationship Id="rId5" Type="http://schemas.openxmlformats.org/officeDocument/2006/relationships/hyperlink" Target="http://comptox.epa.gov/dashboard/chemical/details/DTXSID1037303" TargetMode="External"/><Relationship Id="rId61" Type="http://schemas.openxmlformats.org/officeDocument/2006/relationships/hyperlink" Target="http://comptox.epa.gov/dashboard/chemical/details/DTXSID70880215" TargetMode="External"/><Relationship Id="rId82" Type="http://schemas.openxmlformats.org/officeDocument/2006/relationships/hyperlink" Target="http://comptox.epa.gov/dashboard/chemical/details/DTXSID8031865" TargetMode="External"/><Relationship Id="rId90" Type="http://schemas.openxmlformats.org/officeDocument/2006/relationships/hyperlink" Target="http://comptox.epa.gov/dashboard/chemical/details/DTXSID80892506" TargetMode="External"/><Relationship Id="rId19" Type="http://schemas.openxmlformats.org/officeDocument/2006/relationships/hyperlink" Target="http://comptox.epa.gov/dashboard/chemical/details/DTXSID3031862" TargetMode="External"/><Relationship Id="rId14" Type="http://schemas.openxmlformats.org/officeDocument/2006/relationships/hyperlink" Target="http://comptox.epa.gov/dashboard/chemical/details/DTXSID3031862" TargetMode="External"/><Relationship Id="rId22" Type="http://schemas.openxmlformats.org/officeDocument/2006/relationships/hyperlink" Target="http://comptox.epa.gov/dashboard/chemical/details/DTXSID3031862" TargetMode="External"/><Relationship Id="rId27" Type="http://schemas.openxmlformats.org/officeDocument/2006/relationships/hyperlink" Target="http://comptox.epa.gov/dashboard/chemical/details/DTXSID3031864" TargetMode="External"/><Relationship Id="rId30" Type="http://schemas.openxmlformats.org/officeDocument/2006/relationships/hyperlink" Target="http://comptox.epa.gov/dashboard/chemical/details/DTXSID3031864" TargetMode="External"/><Relationship Id="rId35" Type="http://schemas.openxmlformats.org/officeDocument/2006/relationships/hyperlink" Target="http://comptox.epa.gov/dashboard/chemical/details/DTXSID4059916" TargetMode="External"/><Relationship Id="rId43" Type="http://schemas.openxmlformats.org/officeDocument/2006/relationships/hyperlink" Target="http://comptox.epa.gov/dashboard/chemical/details/DTXSID5030030" TargetMode="External"/><Relationship Id="rId48" Type="http://schemas.openxmlformats.org/officeDocument/2006/relationships/hyperlink" Target="http://comptox.epa.gov/dashboard/chemical/details/DTXSID5030030" TargetMode="External"/><Relationship Id="rId56" Type="http://schemas.openxmlformats.org/officeDocument/2006/relationships/hyperlink" Target="http://comptox.epa.gov/dashboard/chemical/details/DTXSID7040150" TargetMode="External"/><Relationship Id="rId64" Type="http://schemas.openxmlformats.org/officeDocument/2006/relationships/hyperlink" Target="http://comptox.epa.gov/dashboard/chemical/details/DTXSID70880215" TargetMode="External"/><Relationship Id="rId69" Type="http://schemas.openxmlformats.org/officeDocument/2006/relationships/hyperlink" Target="http://comptox.epa.gov/dashboard/chemical/details/DTXSID70880215" TargetMode="External"/><Relationship Id="rId77" Type="http://schemas.openxmlformats.org/officeDocument/2006/relationships/hyperlink" Target="http://comptox.epa.gov/dashboard/chemical/details/DTXSID8031863" TargetMode="External"/><Relationship Id="rId8" Type="http://schemas.openxmlformats.org/officeDocument/2006/relationships/hyperlink" Target="http://comptox.epa.gov/dashboard/chemical/details/DTXSID3031860" TargetMode="External"/><Relationship Id="rId51" Type="http://schemas.openxmlformats.org/officeDocument/2006/relationships/hyperlink" Target="http://comptox.epa.gov/dashboard/chemical/details/DTXSID7040150" TargetMode="External"/><Relationship Id="rId72" Type="http://schemas.openxmlformats.org/officeDocument/2006/relationships/hyperlink" Target="http://comptox.epa.gov/dashboard/chemical/details/DTXSID8031863" TargetMode="External"/><Relationship Id="rId80" Type="http://schemas.openxmlformats.org/officeDocument/2006/relationships/hyperlink" Target="http://comptox.epa.gov/dashboard/chemical/details/DTXSID8031865" TargetMode="External"/><Relationship Id="rId85" Type="http://schemas.openxmlformats.org/officeDocument/2006/relationships/hyperlink" Target="http://comptox.epa.gov/dashboard/chemical/details/DTXSID8031865" TargetMode="External"/><Relationship Id="rId3" Type="http://schemas.openxmlformats.org/officeDocument/2006/relationships/hyperlink" Target="http://comptox.epa.gov/dashboard/chemical/details/DTXSID1037303" TargetMode="External"/><Relationship Id="rId12" Type="http://schemas.openxmlformats.org/officeDocument/2006/relationships/hyperlink" Target="http://comptox.epa.gov/dashboard/chemical/details/DTXSID3031860" TargetMode="External"/><Relationship Id="rId17" Type="http://schemas.openxmlformats.org/officeDocument/2006/relationships/hyperlink" Target="http://comptox.epa.gov/dashboard/chemical/details/DTXSID3031862" TargetMode="External"/><Relationship Id="rId25" Type="http://schemas.openxmlformats.org/officeDocument/2006/relationships/hyperlink" Target="http://comptox.epa.gov/dashboard/chemical/details/DTXSID3031864" TargetMode="External"/><Relationship Id="rId33" Type="http://schemas.openxmlformats.org/officeDocument/2006/relationships/hyperlink" Target="http://comptox.epa.gov/dashboard/chemical/details/DTXSID4059916" TargetMode="External"/><Relationship Id="rId38" Type="http://schemas.openxmlformats.org/officeDocument/2006/relationships/hyperlink" Target="http://comptox.epa.gov/dashboard/chemical/details/DTXSID4059916" TargetMode="External"/><Relationship Id="rId46" Type="http://schemas.openxmlformats.org/officeDocument/2006/relationships/hyperlink" Target="http://comptox.epa.gov/dashboard/chemical/details/DTXSID5030030" TargetMode="External"/><Relationship Id="rId59" Type="http://schemas.openxmlformats.org/officeDocument/2006/relationships/hyperlink" Target="http://comptox.epa.gov/dashboard/chemical/details/DTXSID7040150" TargetMode="External"/><Relationship Id="rId67" Type="http://schemas.openxmlformats.org/officeDocument/2006/relationships/hyperlink" Target="http://comptox.epa.gov/dashboard/chemical/details/DTXSID70880215" TargetMode="External"/><Relationship Id="rId20" Type="http://schemas.openxmlformats.org/officeDocument/2006/relationships/hyperlink" Target="http://comptox.epa.gov/dashboard/chemical/details/DTXSID3031862" TargetMode="External"/><Relationship Id="rId41" Type="http://schemas.openxmlformats.org/officeDocument/2006/relationships/hyperlink" Target="http://comptox.epa.gov/dashboard/chemical/details/DTXSID5030030" TargetMode="External"/><Relationship Id="rId54" Type="http://schemas.openxmlformats.org/officeDocument/2006/relationships/hyperlink" Target="http://comptox.epa.gov/dashboard/chemical/details/DTXSID7040150" TargetMode="External"/><Relationship Id="rId62" Type="http://schemas.openxmlformats.org/officeDocument/2006/relationships/hyperlink" Target="http://comptox.epa.gov/dashboard/chemical/details/DTXSID70880215" TargetMode="External"/><Relationship Id="rId70" Type="http://schemas.openxmlformats.org/officeDocument/2006/relationships/hyperlink" Target="http://comptox.epa.gov/dashboard/chemical/details/DTXSID70880215" TargetMode="External"/><Relationship Id="rId75" Type="http://schemas.openxmlformats.org/officeDocument/2006/relationships/hyperlink" Target="http://comptox.epa.gov/dashboard/chemical/details/DTXSID8031863" TargetMode="External"/><Relationship Id="rId83" Type="http://schemas.openxmlformats.org/officeDocument/2006/relationships/hyperlink" Target="http://comptox.epa.gov/dashboard/chemical/details/DTXSID8031865" TargetMode="External"/><Relationship Id="rId88" Type="http://schemas.openxmlformats.org/officeDocument/2006/relationships/hyperlink" Target="http://comptox.epa.gov/dashboard/chemical/details/DTXSID8031865" TargetMode="External"/><Relationship Id="rId91" Type="http://schemas.openxmlformats.org/officeDocument/2006/relationships/hyperlink" Target="http://comptox.epa.gov/dashboard/chemical/details/DTXSID80892506" TargetMode="External"/><Relationship Id="rId1" Type="http://schemas.openxmlformats.org/officeDocument/2006/relationships/hyperlink" Target="http://comptox.epa.gov/dashboard/chemical/details/DTXSID1037303" TargetMode="External"/><Relationship Id="rId6" Type="http://schemas.openxmlformats.org/officeDocument/2006/relationships/hyperlink" Target="http://comptox.epa.gov/dashboard/chemical/details/DTXSID1037303" TargetMode="External"/><Relationship Id="rId15" Type="http://schemas.openxmlformats.org/officeDocument/2006/relationships/hyperlink" Target="http://comptox.epa.gov/dashboard/chemical/details/DTXSID3031862" TargetMode="External"/><Relationship Id="rId23" Type="http://schemas.openxmlformats.org/officeDocument/2006/relationships/hyperlink" Target="http://comptox.epa.gov/dashboard/chemical/details/DTXSID3031864" TargetMode="External"/><Relationship Id="rId28" Type="http://schemas.openxmlformats.org/officeDocument/2006/relationships/hyperlink" Target="http://comptox.epa.gov/dashboard/chemical/details/DTXSID3031864" TargetMode="External"/><Relationship Id="rId36" Type="http://schemas.openxmlformats.org/officeDocument/2006/relationships/hyperlink" Target="http://comptox.epa.gov/dashboard/chemical/details/DTXSID4059916" TargetMode="External"/><Relationship Id="rId49" Type="http://schemas.openxmlformats.org/officeDocument/2006/relationships/hyperlink" Target="http://comptox.epa.gov/dashboard/chemical/details/DTXSID5030030" TargetMode="External"/><Relationship Id="rId57" Type="http://schemas.openxmlformats.org/officeDocument/2006/relationships/hyperlink" Target="http://comptox.epa.gov/dashboard/chemical/details/DTXSID7040150" TargetMode="External"/><Relationship Id="rId10" Type="http://schemas.openxmlformats.org/officeDocument/2006/relationships/hyperlink" Target="http://comptox.epa.gov/dashboard/chemical/details/DTXSID3031860" TargetMode="External"/><Relationship Id="rId31" Type="http://schemas.openxmlformats.org/officeDocument/2006/relationships/hyperlink" Target="http://comptox.epa.gov/dashboard/chemical/details/DTXSID3031864" TargetMode="External"/><Relationship Id="rId44" Type="http://schemas.openxmlformats.org/officeDocument/2006/relationships/hyperlink" Target="http://comptox.epa.gov/dashboard/chemical/details/DTXSID5030030" TargetMode="External"/><Relationship Id="rId52" Type="http://schemas.openxmlformats.org/officeDocument/2006/relationships/hyperlink" Target="http://comptox.epa.gov/dashboard/chemical/details/DTXSID7040150" TargetMode="External"/><Relationship Id="rId60" Type="http://schemas.openxmlformats.org/officeDocument/2006/relationships/hyperlink" Target="http://comptox.epa.gov/dashboard/chemical/details/DTXSID7040150" TargetMode="External"/><Relationship Id="rId65" Type="http://schemas.openxmlformats.org/officeDocument/2006/relationships/hyperlink" Target="http://comptox.epa.gov/dashboard/chemical/details/DTXSID70880215" TargetMode="External"/><Relationship Id="rId73" Type="http://schemas.openxmlformats.org/officeDocument/2006/relationships/hyperlink" Target="http://comptox.epa.gov/dashboard/chemical/details/DTXSID8031863" TargetMode="External"/><Relationship Id="rId78" Type="http://schemas.openxmlformats.org/officeDocument/2006/relationships/hyperlink" Target="http://comptox.epa.gov/dashboard/chemical/details/DTXSID8031863" TargetMode="External"/><Relationship Id="rId81" Type="http://schemas.openxmlformats.org/officeDocument/2006/relationships/hyperlink" Target="http://comptox.epa.gov/dashboard/chemical/details/DTXSID8031865" TargetMode="External"/><Relationship Id="rId86" Type="http://schemas.openxmlformats.org/officeDocument/2006/relationships/hyperlink" Target="http://comptox.epa.gov/dashboard/chemical/details/DTXSID8031865" TargetMode="External"/><Relationship Id="rId4" Type="http://schemas.openxmlformats.org/officeDocument/2006/relationships/hyperlink" Target="http://comptox.epa.gov/dashboard/chemical/details/DTXSID1037303" TargetMode="External"/><Relationship Id="rId9" Type="http://schemas.openxmlformats.org/officeDocument/2006/relationships/hyperlink" Target="http://comptox.epa.gov/dashboard/chemical/details/DTXSID303186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6" Type="http://schemas.openxmlformats.org/officeDocument/2006/relationships/hyperlink" Target="https://comptox.epa.gov/dashboard/dsstoxdb/results?search=DTXSID8031865" TargetMode="External"/><Relationship Id="rId117" Type="http://schemas.openxmlformats.org/officeDocument/2006/relationships/hyperlink" Target="https://comptox.epa.gov/dashboard/dsstoxdb/results?search=DTXSID7040150" TargetMode="External"/><Relationship Id="rId21" Type="http://schemas.openxmlformats.org/officeDocument/2006/relationships/hyperlink" Target="https://comptox.epa.gov/dashboard/dsstoxdb/results?search=DTXSID7040150" TargetMode="External"/><Relationship Id="rId42" Type="http://schemas.openxmlformats.org/officeDocument/2006/relationships/hyperlink" Target="https://comptox.epa.gov/dashboard/dsstoxdb/results?search=DTXSID5030030" TargetMode="External"/><Relationship Id="rId47" Type="http://schemas.openxmlformats.org/officeDocument/2006/relationships/hyperlink" Target="https://comptox.epa.gov/dashboard/dsstoxdb/results?search=DTXSID3031864" TargetMode="External"/><Relationship Id="rId63" Type="http://schemas.openxmlformats.org/officeDocument/2006/relationships/hyperlink" Target="https://comptox.epa.gov/dashboard/dsstoxdb/results?search=DTXSID8031865" TargetMode="External"/><Relationship Id="rId68" Type="http://schemas.openxmlformats.org/officeDocument/2006/relationships/hyperlink" Target="https://comptox.epa.gov/dashboard/dsstoxdb/results?search=DTXSID5030030" TargetMode="External"/><Relationship Id="rId84" Type="http://schemas.openxmlformats.org/officeDocument/2006/relationships/hyperlink" Target="https://comptox.epa.gov/dashboard/dsstoxdb/results?search=DTXSID3031864" TargetMode="External"/><Relationship Id="rId89" Type="http://schemas.openxmlformats.org/officeDocument/2006/relationships/hyperlink" Target="https://comptox.epa.gov/dashboard/dsstoxdb/results?search=DTXSID3031864" TargetMode="External"/><Relationship Id="rId112" Type="http://schemas.openxmlformats.org/officeDocument/2006/relationships/hyperlink" Target="https://comptox.epa.gov/dashboard/dsstoxdb/results?search=DTXSID7040150" TargetMode="External"/><Relationship Id="rId16" Type="http://schemas.openxmlformats.org/officeDocument/2006/relationships/hyperlink" Target="https://comptox.epa.gov/dashboard/dsstoxdb/results?search=DTXSID3031864" TargetMode="External"/><Relationship Id="rId107" Type="http://schemas.openxmlformats.org/officeDocument/2006/relationships/hyperlink" Target="http://ccte-ccd.epa.gov/dashboard/chemical/details/DTXSID1037303" TargetMode="External"/><Relationship Id="rId11" Type="http://schemas.openxmlformats.org/officeDocument/2006/relationships/hyperlink" Target="https://comptox.epa.gov/dashboard/dsstoxdb/results?search=DTXSID3031864" TargetMode="External"/><Relationship Id="rId24" Type="http://schemas.openxmlformats.org/officeDocument/2006/relationships/hyperlink" Target="https://comptox.epa.gov/dashboard/dsstoxdb/results?search=DTXSID8031865" TargetMode="External"/><Relationship Id="rId32" Type="http://schemas.openxmlformats.org/officeDocument/2006/relationships/hyperlink" Target="https://comptox.epa.gov/dashboard/dsstoxdb/results?search=DTXSID7040150" TargetMode="External"/><Relationship Id="rId37" Type="http://schemas.openxmlformats.org/officeDocument/2006/relationships/hyperlink" Target="https://comptox.epa.gov/dashboard/dsstoxdb/results?search=DTXSID5030030" TargetMode="External"/><Relationship Id="rId40" Type="http://schemas.openxmlformats.org/officeDocument/2006/relationships/hyperlink" Target="https://comptox.epa.gov/dashboard/dsstoxdb/results?search=DTXSID5030030" TargetMode="External"/><Relationship Id="rId45" Type="http://schemas.openxmlformats.org/officeDocument/2006/relationships/hyperlink" Target="https://comptox.epa.gov/dashboard/dsstoxdb/results?search=DTXSID8031865" TargetMode="External"/><Relationship Id="rId53" Type="http://schemas.openxmlformats.org/officeDocument/2006/relationships/hyperlink" Target="https://comptox.epa.gov/dashboard/dsstoxdb/results?search=DTXSID8031863" TargetMode="External"/><Relationship Id="rId58" Type="http://schemas.openxmlformats.org/officeDocument/2006/relationships/hyperlink" Target="https://comptox.epa.gov/dashboard/dsstoxdb/results?search=DTXSID8031863" TargetMode="External"/><Relationship Id="rId66" Type="http://schemas.openxmlformats.org/officeDocument/2006/relationships/hyperlink" Target="https://comptox.epa.gov/dashboard/dsstoxdb/results?search=DTXSID3031860" TargetMode="External"/><Relationship Id="rId74" Type="http://schemas.openxmlformats.org/officeDocument/2006/relationships/hyperlink" Target="https://comptox.epa.gov/dashboard/dsstoxdb/results?search=DTXSID5030030" TargetMode="External"/><Relationship Id="rId79" Type="http://schemas.openxmlformats.org/officeDocument/2006/relationships/hyperlink" Target="https://comptox.epa.gov/dashboard/dsstoxdb/results?search=DTXSID7040150" TargetMode="External"/><Relationship Id="rId87" Type="http://schemas.openxmlformats.org/officeDocument/2006/relationships/hyperlink" Target="https://comptox.epa.gov/dashboard/dsstoxdb/results?search=DTXSID3031864" TargetMode="External"/><Relationship Id="rId102" Type="http://schemas.openxmlformats.org/officeDocument/2006/relationships/hyperlink" Target="https://comptox.epa.gov/dashboard/dsstoxdb/results?search=DTXSID8031863" TargetMode="External"/><Relationship Id="rId110" Type="http://schemas.openxmlformats.org/officeDocument/2006/relationships/hyperlink" Target="http://ccte-ccd.epa.gov/dashboard/chemical/details/DTXSID8031863" TargetMode="External"/><Relationship Id="rId115" Type="http://schemas.openxmlformats.org/officeDocument/2006/relationships/hyperlink" Target="https://comptox.epa.gov/dashboard/dsstoxdb/results?search=DTXSID7040150" TargetMode="External"/><Relationship Id="rId5" Type="http://schemas.openxmlformats.org/officeDocument/2006/relationships/hyperlink" Target="https://comptox.epa.gov/dashboard/dsstoxdb/results?search=DTXSID4059916" TargetMode="External"/><Relationship Id="rId61" Type="http://schemas.openxmlformats.org/officeDocument/2006/relationships/hyperlink" Target="https://comptox.epa.gov/dashboard/dsstoxdb/results?search=DTXSID8031863" TargetMode="External"/><Relationship Id="rId82" Type="http://schemas.openxmlformats.org/officeDocument/2006/relationships/hyperlink" Target="https://comptox.epa.gov/dashboard/dsstoxdb/results?search=DTXSID7040150" TargetMode="External"/><Relationship Id="rId90" Type="http://schemas.openxmlformats.org/officeDocument/2006/relationships/hyperlink" Target="https://comptox.epa.gov/dashboard/dsstoxdb/results?search=DTXSID3031864" TargetMode="External"/><Relationship Id="rId95" Type="http://schemas.openxmlformats.org/officeDocument/2006/relationships/hyperlink" Target="https://comptox.epa.gov/dashboard/dsstoxdb/results?search=DTXSID8031863" TargetMode="External"/><Relationship Id="rId19" Type="http://schemas.openxmlformats.org/officeDocument/2006/relationships/hyperlink" Target="https://comptox.epa.gov/dashboard/dsstoxdb/results?search=DTXSID7040150" TargetMode="External"/><Relationship Id="rId14" Type="http://schemas.openxmlformats.org/officeDocument/2006/relationships/hyperlink" Target="https://comptox.epa.gov/dashboard/dsstoxdb/results?search=DTXSID3031864" TargetMode="External"/><Relationship Id="rId22" Type="http://schemas.openxmlformats.org/officeDocument/2006/relationships/hyperlink" Target="https://comptox.epa.gov/dashboard/dsstoxdb/results?search=DTXSID7040150" TargetMode="External"/><Relationship Id="rId27" Type="http://schemas.openxmlformats.org/officeDocument/2006/relationships/hyperlink" Target="https://comptox.epa.gov/dashboard/dsstoxdb/results?search=DTXSID3031864" TargetMode="External"/><Relationship Id="rId30" Type="http://schemas.openxmlformats.org/officeDocument/2006/relationships/hyperlink" Target="https://comptox.epa.gov/dashboard/dsstoxdb/results?search=DTXSID3031864" TargetMode="External"/><Relationship Id="rId35" Type="http://schemas.openxmlformats.org/officeDocument/2006/relationships/hyperlink" Target="https://comptox.epa.gov/dashboard/dsstoxdb/results?search=DTXSID8031865" TargetMode="External"/><Relationship Id="rId43" Type="http://schemas.openxmlformats.org/officeDocument/2006/relationships/hyperlink" Target="https://comptox.epa.gov/dashboard/dsstoxdb/results?search=DTXSID7040150" TargetMode="External"/><Relationship Id="rId48" Type="http://schemas.openxmlformats.org/officeDocument/2006/relationships/hyperlink" Target="https://comptox.epa.gov/dashboard/dsstoxdb/results?search=DTXSID5030030" TargetMode="External"/><Relationship Id="rId56" Type="http://schemas.openxmlformats.org/officeDocument/2006/relationships/hyperlink" Target="https://comptox.epa.gov/dashboard/dsstoxdb/results?search=DTXSID8031863" TargetMode="External"/><Relationship Id="rId64" Type="http://schemas.openxmlformats.org/officeDocument/2006/relationships/hyperlink" Target="https://comptox.epa.gov/dashboard/dsstoxdb/results?search=DTXSID8031865" TargetMode="External"/><Relationship Id="rId69" Type="http://schemas.openxmlformats.org/officeDocument/2006/relationships/hyperlink" Target="https://comptox.epa.gov/dashboard/dsstoxdb/results?search=DTXSID5030030" TargetMode="External"/><Relationship Id="rId77" Type="http://schemas.openxmlformats.org/officeDocument/2006/relationships/hyperlink" Target="https://comptox.epa.gov/dashboard/dsstoxdb/results?search=DTXSID7040150" TargetMode="External"/><Relationship Id="rId100" Type="http://schemas.openxmlformats.org/officeDocument/2006/relationships/hyperlink" Target="https://comptox.epa.gov/dashboard/dsstoxdb/results?search=DTXSID8031863" TargetMode="External"/><Relationship Id="rId105" Type="http://schemas.openxmlformats.org/officeDocument/2006/relationships/hyperlink" Target="http://ccte-ccd.epa.gov/dashboard/chemical/details/DTXSID1037303" TargetMode="External"/><Relationship Id="rId113" Type="http://schemas.openxmlformats.org/officeDocument/2006/relationships/hyperlink" Target="https://comptox.epa.gov/dashboard/dsstoxdb/results?search=DTXSID7040150" TargetMode="External"/><Relationship Id="rId8" Type="http://schemas.openxmlformats.org/officeDocument/2006/relationships/hyperlink" Target="https://comptox.epa.gov/dashboard/dsstoxdb/results?search=DTXSID4059916" TargetMode="External"/><Relationship Id="rId51" Type="http://schemas.openxmlformats.org/officeDocument/2006/relationships/hyperlink" Target="https://comptox.epa.gov/dashboard/dsstoxdb/results?search=DTXSID5030030" TargetMode="External"/><Relationship Id="rId72" Type="http://schemas.openxmlformats.org/officeDocument/2006/relationships/hyperlink" Target="https://comptox.epa.gov/dashboard/dsstoxdb/results?search=DTXSID5030030" TargetMode="External"/><Relationship Id="rId80" Type="http://schemas.openxmlformats.org/officeDocument/2006/relationships/hyperlink" Target="https://comptox.epa.gov/dashboard/dsstoxdb/results?search=DTXSID7040150" TargetMode="External"/><Relationship Id="rId85" Type="http://schemas.openxmlformats.org/officeDocument/2006/relationships/hyperlink" Target="https://comptox.epa.gov/dashboard/dsstoxdb/results?search=DTXSID3031864" TargetMode="External"/><Relationship Id="rId93" Type="http://schemas.openxmlformats.org/officeDocument/2006/relationships/hyperlink" Target="https://comptox.epa.gov/dashboard/dsstoxdb/results?search=DTXSID3031860" TargetMode="External"/><Relationship Id="rId98" Type="http://schemas.openxmlformats.org/officeDocument/2006/relationships/hyperlink" Target="https://comptox.epa.gov/dashboard/dsstoxdb/results?search=DTXSID8031863" TargetMode="External"/><Relationship Id="rId3" Type="http://schemas.openxmlformats.org/officeDocument/2006/relationships/hyperlink" Target="https://comptox.epa.gov/dashboard/dsstoxdb/results?search=DTXSID4059916" TargetMode="External"/><Relationship Id="rId12" Type="http://schemas.openxmlformats.org/officeDocument/2006/relationships/hyperlink" Target="https://comptox.epa.gov/dashboard/dsstoxdb/results?search=DTXSID3031864" TargetMode="External"/><Relationship Id="rId17" Type="http://schemas.openxmlformats.org/officeDocument/2006/relationships/hyperlink" Target="https://comptox.epa.gov/dashboard/dsstoxdb/results?search=DTXSID3031864" TargetMode="External"/><Relationship Id="rId25" Type="http://schemas.openxmlformats.org/officeDocument/2006/relationships/hyperlink" Target="https://comptox.epa.gov/dashboard/dsstoxdb/results?search=DTXSID8031865" TargetMode="External"/><Relationship Id="rId33" Type="http://schemas.openxmlformats.org/officeDocument/2006/relationships/hyperlink" Target="https://comptox.epa.gov/dashboard/dsstoxdb/results?search=DTXSID7040150" TargetMode="External"/><Relationship Id="rId38" Type="http://schemas.openxmlformats.org/officeDocument/2006/relationships/hyperlink" Target="https://comptox.epa.gov/dashboard/dsstoxdb/results?search=DTXSID5030030" TargetMode="External"/><Relationship Id="rId46" Type="http://schemas.openxmlformats.org/officeDocument/2006/relationships/hyperlink" Target="https://comptox.epa.gov/dashboard/dsstoxdb/results?search=DTXSID3031864" TargetMode="External"/><Relationship Id="rId59" Type="http://schemas.openxmlformats.org/officeDocument/2006/relationships/hyperlink" Target="https://comptox.epa.gov/dashboard/dsstoxdb/results?search=DTXSID8031863" TargetMode="External"/><Relationship Id="rId67" Type="http://schemas.openxmlformats.org/officeDocument/2006/relationships/hyperlink" Target="https://comptox.epa.gov/dashboard/dsstoxdb/results?search=DTXSID8031865" TargetMode="External"/><Relationship Id="rId103" Type="http://schemas.openxmlformats.org/officeDocument/2006/relationships/hyperlink" Target="https://comptox.epa.gov/dashboard/dsstoxdb/results?search=DTXSID3031860" TargetMode="External"/><Relationship Id="rId108" Type="http://schemas.openxmlformats.org/officeDocument/2006/relationships/hyperlink" Target="http://ccte-ccd.epa.gov/dashboard/chemical/details/DTXSID3031860" TargetMode="External"/><Relationship Id="rId116" Type="http://schemas.openxmlformats.org/officeDocument/2006/relationships/hyperlink" Target="https://comptox.epa.gov/dashboard/dsstoxdb/results?search=DTXSID7040150" TargetMode="External"/><Relationship Id="rId20" Type="http://schemas.openxmlformats.org/officeDocument/2006/relationships/hyperlink" Target="https://comptox.epa.gov/dashboard/dsstoxdb/results?search=DTXSID7040150" TargetMode="External"/><Relationship Id="rId41" Type="http://schemas.openxmlformats.org/officeDocument/2006/relationships/hyperlink" Target="https://comptox.epa.gov/dashboard/dsstoxdb/results?search=DTXSID5030030" TargetMode="External"/><Relationship Id="rId54" Type="http://schemas.openxmlformats.org/officeDocument/2006/relationships/hyperlink" Target="https://comptox.epa.gov/dashboard/dsstoxdb/results?search=DTXSID8031863" TargetMode="External"/><Relationship Id="rId62" Type="http://schemas.openxmlformats.org/officeDocument/2006/relationships/hyperlink" Target="https://comptox.epa.gov/dashboard/dsstoxdb/results?search=DTXSID8031865" TargetMode="External"/><Relationship Id="rId70" Type="http://schemas.openxmlformats.org/officeDocument/2006/relationships/hyperlink" Target="https://comptox.epa.gov/dashboard/dsstoxdb/results?search=DTXSID5030030" TargetMode="External"/><Relationship Id="rId75" Type="http://schemas.openxmlformats.org/officeDocument/2006/relationships/hyperlink" Target="https://comptox.epa.gov/dashboard/dsstoxdb/results?search=DTXSID5030030" TargetMode="External"/><Relationship Id="rId83" Type="http://schemas.openxmlformats.org/officeDocument/2006/relationships/hyperlink" Target="https://comptox.epa.gov/dashboard/dsstoxdb/results?search=DTXSID7040150" TargetMode="External"/><Relationship Id="rId88" Type="http://schemas.openxmlformats.org/officeDocument/2006/relationships/hyperlink" Target="https://comptox.epa.gov/dashboard/dsstoxdb/results?search=DTXSID3031864" TargetMode="External"/><Relationship Id="rId91" Type="http://schemas.openxmlformats.org/officeDocument/2006/relationships/hyperlink" Target="https://comptox.epa.gov/dashboard/dsstoxdb/results?search=DTXSID3031864" TargetMode="External"/><Relationship Id="rId96" Type="http://schemas.openxmlformats.org/officeDocument/2006/relationships/hyperlink" Target="https://comptox.epa.gov/dashboard/dsstoxdb/results?search=DTXSID8031863" TargetMode="External"/><Relationship Id="rId111" Type="http://schemas.openxmlformats.org/officeDocument/2006/relationships/hyperlink" Target="https://comptox.epa.gov/dashboard/dsstoxdb/results?search=DTXSID7040150" TargetMode="External"/><Relationship Id="rId1" Type="http://schemas.openxmlformats.org/officeDocument/2006/relationships/hyperlink" Target="https://comptox.epa.gov/dashboard/dsstoxdb/results?search=DTXSID8031865" TargetMode="External"/><Relationship Id="rId6" Type="http://schemas.openxmlformats.org/officeDocument/2006/relationships/hyperlink" Target="https://comptox.epa.gov/dashboard/dsstoxdb/results?search=DTXSID4059916" TargetMode="External"/><Relationship Id="rId15" Type="http://schemas.openxmlformats.org/officeDocument/2006/relationships/hyperlink" Target="https://comptox.epa.gov/dashboard/dsstoxdb/results?search=DTXSID3031864" TargetMode="External"/><Relationship Id="rId23" Type="http://schemas.openxmlformats.org/officeDocument/2006/relationships/hyperlink" Target="https://comptox.epa.gov/dashboard/dsstoxdb/results?search=DTXSID8031865" TargetMode="External"/><Relationship Id="rId28" Type="http://schemas.openxmlformats.org/officeDocument/2006/relationships/hyperlink" Target="https://comptox.epa.gov/dashboard/dsstoxdb/results?search=DTXSID3031864" TargetMode="External"/><Relationship Id="rId36" Type="http://schemas.openxmlformats.org/officeDocument/2006/relationships/hyperlink" Target="https://comptox.epa.gov/dashboard/dsstoxdb/results?search=DTXSID8031865" TargetMode="External"/><Relationship Id="rId49" Type="http://schemas.openxmlformats.org/officeDocument/2006/relationships/hyperlink" Target="https://comptox.epa.gov/dashboard/dsstoxdb/results?search=DTXSID5030030" TargetMode="External"/><Relationship Id="rId57" Type="http://schemas.openxmlformats.org/officeDocument/2006/relationships/hyperlink" Target="https://comptox.epa.gov/dashboard/dsstoxdb/results?search=DTXSID8031863" TargetMode="External"/><Relationship Id="rId106" Type="http://schemas.openxmlformats.org/officeDocument/2006/relationships/hyperlink" Target="http://ccte-ccd.epa.gov/dashboard/chemical/details/DTXSID8031863" TargetMode="External"/><Relationship Id="rId114" Type="http://schemas.openxmlformats.org/officeDocument/2006/relationships/hyperlink" Target="https://comptox.epa.gov/dashboard/dsstoxdb/results?search=DTXSID7040150" TargetMode="External"/><Relationship Id="rId10" Type="http://schemas.openxmlformats.org/officeDocument/2006/relationships/hyperlink" Target="https://comptox.epa.gov/dashboard/dsstoxdb/results?search=DTXSID4059916" TargetMode="External"/><Relationship Id="rId31" Type="http://schemas.openxmlformats.org/officeDocument/2006/relationships/hyperlink" Target="https://comptox.epa.gov/dashboard/dsstoxdb/results?search=DTXSID7040150" TargetMode="External"/><Relationship Id="rId44" Type="http://schemas.openxmlformats.org/officeDocument/2006/relationships/hyperlink" Target="https://comptox.epa.gov/dashboard/dsstoxdb/results?search=DTXSID8031865" TargetMode="External"/><Relationship Id="rId52" Type="http://schemas.openxmlformats.org/officeDocument/2006/relationships/hyperlink" Target="https://comptox.epa.gov/dashboard/dsstoxdb/results?search=DTXSID8031863" TargetMode="External"/><Relationship Id="rId60" Type="http://schemas.openxmlformats.org/officeDocument/2006/relationships/hyperlink" Target="https://comptox.epa.gov/dashboard/dsstoxdb/results?search=DTXSID8031863" TargetMode="External"/><Relationship Id="rId65" Type="http://schemas.openxmlformats.org/officeDocument/2006/relationships/hyperlink" Target="https://comptox.epa.gov/dashboard/dsstoxdb/results?search=DTXSID8031865" TargetMode="External"/><Relationship Id="rId73" Type="http://schemas.openxmlformats.org/officeDocument/2006/relationships/hyperlink" Target="https://comptox.epa.gov/dashboard/dsstoxdb/results?search=DTXSID5030030" TargetMode="External"/><Relationship Id="rId78" Type="http://schemas.openxmlformats.org/officeDocument/2006/relationships/hyperlink" Target="https://comptox.epa.gov/dashboard/dsstoxdb/results?search=DTXSID7040150" TargetMode="External"/><Relationship Id="rId81" Type="http://schemas.openxmlformats.org/officeDocument/2006/relationships/hyperlink" Target="https://comptox.epa.gov/dashboard/dsstoxdb/results?search=DTXSID7040150" TargetMode="External"/><Relationship Id="rId86" Type="http://schemas.openxmlformats.org/officeDocument/2006/relationships/hyperlink" Target="https://comptox.epa.gov/dashboard/dsstoxdb/results?search=DTXSID3031864" TargetMode="External"/><Relationship Id="rId94" Type="http://schemas.openxmlformats.org/officeDocument/2006/relationships/hyperlink" Target="https://comptox.epa.gov/dashboard/dsstoxdb/results?search=DTXSID8031863" TargetMode="External"/><Relationship Id="rId99" Type="http://schemas.openxmlformats.org/officeDocument/2006/relationships/hyperlink" Target="https://comptox.epa.gov/dashboard/dsstoxdb/results?search=DTXSID8031863" TargetMode="External"/><Relationship Id="rId101" Type="http://schemas.openxmlformats.org/officeDocument/2006/relationships/hyperlink" Target="https://comptox.epa.gov/dashboard/dsstoxdb/results?search=DTXSID8031863" TargetMode="External"/><Relationship Id="rId4" Type="http://schemas.openxmlformats.org/officeDocument/2006/relationships/hyperlink" Target="https://comptox.epa.gov/dashboard/dsstoxdb/results?search=DTXSID4059916" TargetMode="External"/><Relationship Id="rId9" Type="http://schemas.openxmlformats.org/officeDocument/2006/relationships/hyperlink" Target="https://comptox.epa.gov/dashboard/dsstoxdb/results?search=DTXSID4059916" TargetMode="External"/><Relationship Id="rId13" Type="http://schemas.openxmlformats.org/officeDocument/2006/relationships/hyperlink" Target="https://comptox.epa.gov/dashboard/dsstoxdb/results?search=DTXSID3031864" TargetMode="External"/><Relationship Id="rId18" Type="http://schemas.openxmlformats.org/officeDocument/2006/relationships/hyperlink" Target="https://comptox.epa.gov/dashboard/dsstoxdb/results?search=DTXSID3031864" TargetMode="External"/><Relationship Id="rId39" Type="http://schemas.openxmlformats.org/officeDocument/2006/relationships/hyperlink" Target="https://comptox.epa.gov/dashboard/dsstoxdb/results?search=DTXSID5030030" TargetMode="External"/><Relationship Id="rId109" Type="http://schemas.openxmlformats.org/officeDocument/2006/relationships/hyperlink" Target="http://ccte-ccd.epa.gov/dashboard/chemical/details/DTXSID3031860" TargetMode="External"/><Relationship Id="rId34" Type="http://schemas.openxmlformats.org/officeDocument/2006/relationships/hyperlink" Target="https://comptox.epa.gov/dashboard/dsstoxdb/results?search=DTXSID7040150" TargetMode="External"/><Relationship Id="rId50" Type="http://schemas.openxmlformats.org/officeDocument/2006/relationships/hyperlink" Target="https://comptox.epa.gov/dashboard/dsstoxdb/results?search=DTXSID5030030" TargetMode="External"/><Relationship Id="rId55" Type="http://schemas.openxmlformats.org/officeDocument/2006/relationships/hyperlink" Target="https://comptox.epa.gov/dashboard/dsstoxdb/results?search=DTXSID8031863" TargetMode="External"/><Relationship Id="rId76" Type="http://schemas.openxmlformats.org/officeDocument/2006/relationships/hyperlink" Target="https://comptox.epa.gov/dashboard/dsstoxdb/results?search=DTXSID7040150" TargetMode="External"/><Relationship Id="rId97" Type="http://schemas.openxmlformats.org/officeDocument/2006/relationships/hyperlink" Target="https://comptox.epa.gov/dashboard/dsstoxdb/results?search=DTXSID8031863" TargetMode="External"/><Relationship Id="rId104" Type="http://schemas.openxmlformats.org/officeDocument/2006/relationships/hyperlink" Target="https://comptox.epa.gov/dashboard/dsstoxdb/results?search=DTXSID3031860" TargetMode="External"/><Relationship Id="rId7" Type="http://schemas.openxmlformats.org/officeDocument/2006/relationships/hyperlink" Target="https://comptox.epa.gov/dashboard/dsstoxdb/results?search=DTXSID4059916" TargetMode="External"/><Relationship Id="rId71" Type="http://schemas.openxmlformats.org/officeDocument/2006/relationships/hyperlink" Target="https://comptox.epa.gov/dashboard/dsstoxdb/results?search=DTXSID5030030" TargetMode="External"/><Relationship Id="rId92" Type="http://schemas.openxmlformats.org/officeDocument/2006/relationships/hyperlink" Target="https://comptox.epa.gov/dashboard/dsstoxdb/results?search=DTXSID3031860" TargetMode="External"/><Relationship Id="rId2" Type="http://schemas.openxmlformats.org/officeDocument/2006/relationships/hyperlink" Target="https://comptox.epa.gov/dashboard/dsstoxdb/results?search=DTXSID8031865" TargetMode="External"/><Relationship Id="rId29" Type="http://schemas.openxmlformats.org/officeDocument/2006/relationships/hyperlink" Target="https://comptox.epa.gov/dashboard/dsstoxdb/results?search=DTXSID30318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D269-8AB1-4513-832B-8835F17F51A6}">
  <dimension ref="A1:R14"/>
  <sheetViews>
    <sheetView workbookViewId="0">
      <selection activeCell="B12" sqref="B12"/>
    </sheetView>
  </sheetViews>
  <sheetFormatPr defaultRowHeight="15" x14ac:dyDescent="0.25"/>
  <cols>
    <col min="1" max="6" width="10.7109375" customWidth="1"/>
    <col min="7" max="7" width="30" customWidth="1"/>
    <col min="8" max="8" width="15.85546875" customWidth="1"/>
  </cols>
  <sheetData>
    <row r="1" spans="1:18" ht="111" customHeight="1" x14ac:dyDescent="0.25">
      <c r="A1" s="127" t="s">
        <v>292</v>
      </c>
      <c r="B1" s="127"/>
      <c r="C1" s="127"/>
      <c r="D1" s="127"/>
      <c r="E1" s="127"/>
      <c r="F1" s="127"/>
      <c r="G1" s="127"/>
      <c r="H1" s="127"/>
      <c r="I1" s="127"/>
      <c r="J1" s="127"/>
      <c r="K1" s="127"/>
      <c r="L1" s="38"/>
      <c r="M1" s="38"/>
      <c r="N1" s="38"/>
      <c r="O1" s="38"/>
      <c r="P1" s="38"/>
      <c r="Q1" s="38"/>
      <c r="R1" s="38"/>
    </row>
    <row r="2" spans="1:18" ht="37.15" customHeight="1" x14ac:dyDescent="0.25">
      <c r="A2" s="128" t="s">
        <v>293</v>
      </c>
      <c r="B2" s="128"/>
      <c r="C2" s="128"/>
      <c r="D2" s="128"/>
      <c r="E2" s="128"/>
      <c r="F2" s="128"/>
      <c r="G2" s="128"/>
      <c r="H2" s="128"/>
      <c r="I2" s="128"/>
      <c r="J2" s="128"/>
      <c r="K2" s="128"/>
      <c r="L2" s="37"/>
      <c r="M2" s="37"/>
      <c r="N2" s="37"/>
      <c r="O2" s="37"/>
      <c r="P2" s="37"/>
      <c r="Q2" s="37"/>
      <c r="R2" s="37"/>
    </row>
    <row r="3" spans="1:18" ht="109.15" customHeight="1" x14ac:dyDescent="0.25">
      <c r="A3" s="128" t="s">
        <v>294</v>
      </c>
      <c r="B3" s="128"/>
      <c r="C3" s="128"/>
      <c r="D3" s="128"/>
      <c r="E3" s="128"/>
      <c r="F3" s="128"/>
      <c r="G3" s="128"/>
      <c r="H3" s="128"/>
      <c r="I3" s="128"/>
      <c r="J3" s="128"/>
      <c r="K3" s="128"/>
      <c r="L3" s="37"/>
      <c r="M3" s="37"/>
      <c r="N3" s="37"/>
      <c r="O3" s="37"/>
      <c r="P3" s="37"/>
      <c r="Q3" s="37"/>
      <c r="R3" s="37"/>
    </row>
    <row r="4" spans="1:18" ht="18" x14ac:dyDescent="0.25">
      <c r="A4" s="36"/>
    </row>
    <row r="5" spans="1:18" ht="15.75" x14ac:dyDescent="0.25">
      <c r="A5" s="40" t="s">
        <v>295</v>
      </c>
      <c r="B5" s="41" t="s">
        <v>296</v>
      </c>
      <c r="C5" s="39"/>
      <c r="D5" s="39"/>
      <c r="E5" s="39"/>
      <c r="F5" s="39"/>
      <c r="G5" s="39"/>
    </row>
    <row r="6" spans="1:18" x14ac:dyDescent="0.25">
      <c r="A6" s="45">
        <v>3.1</v>
      </c>
      <c r="B6" s="125" t="s">
        <v>297</v>
      </c>
      <c r="C6" s="125"/>
      <c r="D6" s="125"/>
      <c r="E6" s="125"/>
      <c r="F6" s="125"/>
      <c r="G6" s="125"/>
    </row>
    <row r="7" spans="1:18" x14ac:dyDescent="0.25">
      <c r="A7" s="45">
        <v>3.2</v>
      </c>
      <c r="B7" s="42" t="s">
        <v>299</v>
      </c>
      <c r="C7" s="42"/>
      <c r="D7" s="42"/>
      <c r="E7" s="42"/>
      <c r="F7" s="42"/>
      <c r="G7" s="42"/>
    </row>
    <row r="8" spans="1:18" x14ac:dyDescent="0.25">
      <c r="A8" s="45" t="s">
        <v>441</v>
      </c>
      <c r="B8" s="42" t="s">
        <v>442</v>
      </c>
      <c r="C8" s="42"/>
      <c r="D8" s="42"/>
      <c r="E8" s="42"/>
      <c r="F8" s="42"/>
      <c r="G8" s="42"/>
    </row>
    <row r="9" spans="1:18" x14ac:dyDescent="0.25">
      <c r="A9" s="43">
        <v>3.3</v>
      </c>
      <c r="B9" s="42" t="s">
        <v>298</v>
      </c>
      <c r="C9" s="42"/>
      <c r="D9" s="42"/>
      <c r="E9" s="42"/>
      <c r="F9" s="42"/>
      <c r="G9" s="42"/>
    </row>
    <row r="10" spans="1:18" x14ac:dyDescent="0.25">
      <c r="A10" s="43">
        <v>3.4</v>
      </c>
      <c r="B10" s="42" t="s">
        <v>300</v>
      </c>
      <c r="C10" s="42"/>
      <c r="D10" s="42"/>
      <c r="E10" s="42"/>
      <c r="F10" s="42"/>
      <c r="G10" s="42"/>
    </row>
    <row r="11" spans="1:18" x14ac:dyDescent="0.25">
      <c r="A11" s="43" t="s">
        <v>439</v>
      </c>
      <c r="B11" s="42" t="s">
        <v>443</v>
      </c>
      <c r="C11" s="42"/>
      <c r="D11" s="42"/>
      <c r="E11" s="42"/>
      <c r="F11" s="42"/>
      <c r="G11" s="42"/>
    </row>
    <row r="12" spans="1:18" x14ac:dyDescent="0.25">
      <c r="A12" s="43" t="s">
        <v>427</v>
      </c>
      <c r="B12" s="109" t="s">
        <v>440</v>
      </c>
      <c r="C12" s="42"/>
      <c r="D12" s="42"/>
      <c r="E12" s="42"/>
      <c r="F12" s="42"/>
      <c r="G12" s="42"/>
    </row>
    <row r="13" spans="1:18" x14ac:dyDescent="0.25">
      <c r="A13" s="43">
        <v>3.5</v>
      </c>
      <c r="B13" s="42" t="s">
        <v>301</v>
      </c>
      <c r="C13" s="42"/>
      <c r="D13" s="42"/>
      <c r="E13" s="42"/>
      <c r="F13" s="42"/>
      <c r="G13" s="42"/>
    </row>
    <row r="14" spans="1:18" x14ac:dyDescent="0.25">
      <c r="A14" s="44">
        <v>3.6</v>
      </c>
      <c r="B14" s="126" t="s">
        <v>302</v>
      </c>
      <c r="C14" s="126"/>
      <c r="D14" s="126"/>
      <c r="E14" s="126"/>
      <c r="F14" s="126"/>
      <c r="G14" s="126"/>
    </row>
  </sheetData>
  <mergeCells count="5">
    <mergeCell ref="B6:G6"/>
    <mergeCell ref="B14:G14"/>
    <mergeCell ref="A1:K1"/>
    <mergeCell ref="A2:K2"/>
    <mergeCell ref="A3:K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7A5EC-3DC3-481A-AE35-5505635E8DA0}">
  <dimension ref="A1:V26"/>
  <sheetViews>
    <sheetView workbookViewId="0">
      <selection activeCell="R16" sqref="R16"/>
    </sheetView>
  </sheetViews>
  <sheetFormatPr defaultRowHeight="15" x14ac:dyDescent="0.25"/>
  <sheetData>
    <row r="1" spans="1:22" x14ac:dyDescent="0.25">
      <c r="A1" s="10" t="s">
        <v>188</v>
      </c>
      <c r="B1" s="10" t="s">
        <v>189</v>
      </c>
      <c r="C1" s="10" t="s">
        <v>210</v>
      </c>
      <c r="D1" t="s">
        <v>0</v>
      </c>
      <c r="E1" t="s">
        <v>2</v>
      </c>
      <c r="F1" t="s">
        <v>211</v>
      </c>
      <c r="G1" t="s">
        <v>172</v>
      </c>
      <c r="H1" t="s">
        <v>212</v>
      </c>
      <c r="I1" t="s">
        <v>213</v>
      </c>
      <c r="J1" t="s">
        <v>49</v>
      </c>
      <c r="K1" s="11" t="s">
        <v>214</v>
      </c>
      <c r="L1" t="s">
        <v>218</v>
      </c>
      <c r="M1" t="s">
        <v>219</v>
      </c>
      <c r="O1" t="s">
        <v>241</v>
      </c>
      <c r="P1" t="s">
        <v>60</v>
      </c>
      <c r="Q1" t="s">
        <v>52</v>
      </c>
      <c r="R1" t="s">
        <v>242</v>
      </c>
      <c r="S1" t="s">
        <v>243</v>
      </c>
      <c r="T1" t="s">
        <v>244</v>
      </c>
      <c r="U1" t="s">
        <v>245</v>
      </c>
      <c r="V1" t="s">
        <v>246</v>
      </c>
    </row>
    <row r="2" spans="1:22" ht="30" x14ac:dyDescent="0.25">
      <c r="A2" s="7" t="s">
        <v>192</v>
      </c>
      <c r="B2" s="9" t="s">
        <v>193</v>
      </c>
      <c r="C2" s="8" t="s">
        <v>194</v>
      </c>
      <c r="D2" s="16" t="s">
        <v>44</v>
      </c>
      <c r="E2" s="16" t="s">
        <v>8</v>
      </c>
      <c r="F2" s="15" t="s">
        <v>57</v>
      </c>
      <c r="G2" s="15">
        <v>113</v>
      </c>
      <c r="H2" t="s">
        <v>224</v>
      </c>
      <c r="I2" s="15">
        <v>16</v>
      </c>
      <c r="J2" s="15" t="s">
        <v>101</v>
      </c>
      <c r="K2" s="14" t="s">
        <v>227</v>
      </c>
      <c r="L2">
        <v>4</v>
      </c>
      <c r="M2" t="s">
        <v>226</v>
      </c>
      <c r="N2" s="15">
        <v>113</v>
      </c>
      <c r="O2">
        <v>113</v>
      </c>
      <c r="P2">
        <v>0.53</v>
      </c>
      <c r="Q2">
        <v>4.22</v>
      </c>
      <c r="R2">
        <v>2.2599999999999998</v>
      </c>
      <c r="S2" s="12">
        <f>IF(ISBLANK(P2),"",P2*Q2/R2)</f>
        <v>0.9896460176991152</v>
      </c>
      <c r="T2" s="12">
        <f>IF(ISBLANK(P2),"",P2+Q2-S2-R2)</f>
        <v>1.5003539823008851</v>
      </c>
      <c r="U2" s="12">
        <f>IF(ISBLANK(P2),"",T2/S2)</f>
        <v>1.5160511490655459</v>
      </c>
      <c r="V2" s="12">
        <f>IF(ISBLANK(P2),O2,O2*(1+U2))</f>
        <v>284.31377984440667</v>
      </c>
    </row>
    <row r="3" spans="1:22" ht="30" x14ac:dyDescent="0.25">
      <c r="A3" s="7" t="s">
        <v>192</v>
      </c>
      <c r="B3" s="9" t="s">
        <v>193</v>
      </c>
      <c r="C3" s="8" t="s">
        <v>194</v>
      </c>
      <c r="D3" s="17" t="s">
        <v>44</v>
      </c>
      <c r="E3" s="17" t="s">
        <v>4</v>
      </c>
      <c r="F3" s="13" t="s">
        <v>57</v>
      </c>
      <c r="G3" s="13">
        <v>123</v>
      </c>
      <c r="H3" t="s">
        <v>224</v>
      </c>
      <c r="I3" s="13">
        <v>12</v>
      </c>
      <c r="J3" s="13" t="s">
        <v>101</v>
      </c>
      <c r="K3" s="14" t="s">
        <v>227</v>
      </c>
      <c r="L3">
        <v>4</v>
      </c>
      <c r="M3" t="s">
        <v>226</v>
      </c>
      <c r="N3" s="13">
        <v>123</v>
      </c>
      <c r="O3">
        <v>123</v>
      </c>
      <c r="P3">
        <v>0.28000000000000003</v>
      </c>
      <c r="Q3">
        <v>0.95</v>
      </c>
      <c r="R3">
        <v>0.36</v>
      </c>
      <c r="S3" s="12">
        <f t="shared" ref="S3:S26" si="0">IF(ISBLANK(P3),"",P3*Q3/R3)</f>
        <v>0.73888888888888893</v>
      </c>
      <c r="T3" s="12">
        <f t="shared" ref="T3:T26" si="1">IF(ISBLANK(P3),"",P3+Q3-S3-R3)</f>
        <v>0.13111111111111107</v>
      </c>
      <c r="U3" s="12">
        <f t="shared" ref="U3:U26" si="2">IF(ISBLANK(P3),"",T3/S3)</f>
        <v>0.17744360902255632</v>
      </c>
      <c r="V3" s="12">
        <f t="shared" ref="V3:V25" si="3">IF(ISBLANK(P3),O3,O3*(1+U3))</f>
        <v>144.82556390977444</v>
      </c>
    </row>
    <row r="4" spans="1:22" ht="30" x14ac:dyDescent="0.25">
      <c r="A4" s="7" t="s">
        <v>192</v>
      </c>
      <c r="B4" s="9" t="s">
        <v>193</v>
      </c>
      <c r="C4" s="8" t="s">
        <v>194</v>
      </c>
      <c r="D4" s="16" t="s">
        <v>44</v>
      </c>
      <c r="E4" s="16" t="s">
        <v>8</v>
      </c>
      <c r="F4" s="15" t="s">
        <v>54</v>
      </c>
      <c r="G4" s="15">
        <v>164</v>
      </c>
      <c r="H4" t="s">
        <v>224</v>
      </c>
      <c r="I4" s="15">
        <v>677</v>
      </c>
      <c r="J4" s="15" t="s">
        <v>101</v>
      </c>
      <c r="K4" s="14" t="s">
        <v>227</v>
      </c>
      <c r="L4">
        <v>4</v>
      </c>
      <c r="M4" t="s">
        <v>226</v>
      </c>
      <c r="N4" s="15">
        <v>164</v>
      </c>
      <c r="O4">
        <v>164</v>
      </c>
      <c r="P4">
        <v>1.37</v>
      </c>
      <c r="Q4">
        <v>4.8899999999999997</v>
      </c>
      <c r="R4">
        <v>4.37</v>
      </c>
      <c r="S4" s="12">
        <f t="shared" si="0"/>
        <v>1.533020594965675</v>
      </c>
      <c r="T4" s="12">
        <f t="shared" si="1"/>
        <v>0.35697940503432424</v>
      </c>
      <c r="U4" s="12">
        <f t="shared" si="2"/>
        <v>0.23286014956786485</v>
      </c>
      <c r="V4" s="12">
        <f t="shared" si="3"/>
        <v>202.18906452912984</v>
      </c>
    </row>
    <row r="5" spans="1:22" ht="30" x14ac:dyDescent="0.25">
      <c r="A5" s="7" t="s">
        <v>192</v>
      </c>
      <c r="B5" s="9" t="s">
        <v>193</v>
      </c>
      <c r="C5" s="8" t="s">
        <v>194</v>
      </c>
      <c r="D5" s="17" t="s">
        <v>44</v>
      </c>
      <c r="E5" s="17" t="s">
        <v>8</v>
      </c>
      <c r="F5" s="13" t="s">
        <v>54</v>
      </c>
      <c r="G5" s="13">
        <v>148</v>
      </c>
      <c r="H5" t="s">
        <v>224</v>
      </c>
      <c r="I5" s="13">
        <v>52</v>
      </c>
      <c r="J5" s="13" t="s">
        <v>101</v>
      </c>
      <c r="K5" s="14" t="s">
        <v>227</v>
      </c>
      <c r="L5">
        <v>20</v>
      </c>
      <c r="M5" t="s">
        <v>226</v>
      </c>
      <c r="N5" s="13">
        <v>148</v>
      </c>
      <c r="O5">
        <v>148</v>
      </c>
      <c r="P5">
        <v>2.37</v>
      </c>
      <c r="Q5">
        <v>5.36</v>
      </c>
      <c r="R5">
        <v>2.73</v>
      </c>
      <c r="S5" s="12">
        <f t="shared" si="0"/>
        <v>4.6531868131868137</v>
      </c>
      <c r="T5" s="12">
        <f t="shared" si="1"/>
        <v>0.34681318681318674</v>
      </c>
      <c r="U5" s="12">
        <f t="shared" si="2"/>
        <v>7.4532401284715638E-2</v>
      </c>
      <c r="V5" s="12">
        <f t="shared" si="3"/>
        <v>159.03079539013794</v>
      </c>
    </row>
    <row r="6" spans="1:22" ht="30" x14ac:dyDescent="0.25">
      <c r="A6" s="7" t="s">
        <v>192</v>
      </c>
      <c r="B6" s="9" t="s">
        <v>193</v>
      </c>
      <c r="C6" s="8" t="s">
        <v>194</v>
      </c>
      <c r="D6" s="16" t="s">
        <v>44</v>
      </c>
      <c r="E6" s="16" t="s">
        <v>8</v>
      </c>
      <c r="F6" s="15" t="s">
        <v>54</v>
      </c>
      <c r="G6" s="15">
        <v>311</v>
      </c>
      <c r="H6" t="s">
        <v>224</v>
      </c>
      <c r="I6" s="15">
        <v>55</v>
      </c>
      <c r="J6" s="15" t="s">
        <v>101</v>
      </c>
      <c r="K6" s="14" t="s">
        <v>227</v>
      </c>
      <c r="L6">
        <v>100</v>
      </c>
      <c r="M6" t="s">
        <v>226</v>
      </c>
      <c r="N6" s="15">
        <v>311</v>
      </c>
      <c r="O6">
        <v>311</v>
      </c>
      <c r="P6">
        <v>2.6</v>
      </c>
      <c r="Q6">
        <v>5.25</v>
      </c>
      <c r="R6">
        <v>2.86</v>
      </c>
      <c r="S6" s="12">
        <f t="shared" si="0"/>
        <v>4.7727272727272734</v>
      </c>
      <c r="T6" s="12">
        <f t="shared" si="1"/>
        <v>0.2172727272727264</v>
      </c>
      <c r="U6" s="12">
        <f t="shared" si="2"/>
        <v>4.5523809523809335E-2</v>
      </c>
      <c r="V6" s="12">
        <f t="shared" si="3"/>
        <v>325.15790476190472</v>
      </c>
    </row>
    <row r="7" spans="1:22" ht="30" x14ac:dyDescent="0.25">
      <c r="A7" s="7" t="s">
        <v>192</v>
      </c>
      <c r="B7" s="9" t="s">
        <v>193</v>
      </c>
      <c r="C7" s="8" t="s">
        <v>194</v>
      </c>
      <c r="D7" s="17" t="s">
        <v>44</v>
      </c>
      <c r="E7" s="17" t="s">
        <v>4</v>
      </c>
      <c r="F7" s="13" t="s">
        <v>54</v>
      </c>
      <c r="G7" s="13">
        <v>328</v>
      </c>
      <c r="H7" t="s">
        <v>224</v>
      </c>
      <c r="I7" s="13">
        <v>57</v>
      </c>
      <c r="J7" s="13" t="s">
        <v>101</v>
      </c>
      <c r="K7" s="14" t="s">
        <v>227</v>
      </c>
      <c r="L7">
        <v>4</v>
      </c>
      <c r="M7" t="s">
        <v>226</v>
      </c>
      <c r="N7" s="13">
        <v>328</v>
      </c>
      <c r="O7">
        <v>328</v>
      </c>
      <c r="S7" s="12" t="str">
        <f t="shared" si="0"/>
        <v/>
      </c>
      <c r="T7" s="12" t="str">
        <f t="shared" si="1"/>
        <v/>
      </c>
      <c r="U7" s="12" t="str">
        <f t="shared" si="2"/>
        <v/>
      </c>
      <c r="V7" s="12">
        <f t="shared" si="3"/>
        <v>328</v>
      </c>
    </row>
    <row r="8" spans="1:22" ht="30" x14ac:dyDescent="0.25">
      <c r="A8" s="7" t="s">
        <v>192</v>
      </c>
      <c r="B8" s="9" t="s">
        <v>193</v>
      </c>
      <c r="C8" s="8" t="s">
        <v>194</v>
      </c>
      <c r="D8" s="16" t="s">
        <v>44</v>
      </c>
      <c r="E8" s="16" t="s">
        <v>4</v>
      </c>
      <c r="F8" s="15" t="s">
        <v>54</v>
      </c>
      <c r="G8" s="15">
        <v>326</v>
      </c>
      <c r="H8" t="s">
        <v>224</v>
      </c>
      <c r="I8" s="15">
        <v>95</v>
      </c>
      <c r="J8" s="15" t="s">
        <v>101</v>
      </c>
      <c r="K8" s="14" t="s">
        <v>227</v>
      </c>
      <c r="L8">
        <v>20</v>
      </c>
      <c r="M8" t="s">
        <v>226</v>
      </c>
      <c r="N8" s="15">
        <v>326</v>
      </c>
      <c r="O8">
        <v>326</v>
      </c>
      <c r="S8" s="12" t="str">
        <f t="shared" si="0"/>
        <v/>
      </c>
      <c r="T8" s="12" t="str">
        <f t="shared" si="1"/>
        <v/>
      </c>
      <c r="U8" s="12" t="str">
        <f t="shared" si="2"/>
        <v/>
      </c>
      <c r="V8" s="12">
        <f t="shared" si="3"/>
        <v>326</v>
      </c>
    </row>
    <row r="9" spans="1:22" ht="30" x14ac:dyDescent="0.25">
      <c r="A9" s="7" t="s">
        <v>192</v>
      </c>
      <c r="B9" s="9" t="s">
        <v>193</v>
      </c>
      <c r="C9" s="8" t="s">
        <v>194</v>
      </c>
      <c r="D9" s="17" t="s">
        <v>44</v>
      </c>
      <c r="E9" s="17" t="s">
        <v>4</v>
      </c>
      <c r="F9" s="13" t="s">
        <v>54</v>
      </c>
      <c r="G9" s="13">
        <v>415</v>
      </c>
      <c r="H9" t="s">
        <v>224</v>
      </c>
      <c r="I9" s="13">
        <v>83</v>
      </c>
      <c r="J9" s="13" t="s">
        <v>101</v>
      </c>
      <c r="K9" s="14" t="s">
        <v>227</v>
      </c>
      <c r="L9">
        <v>100</v>
      </c>
      <c r="M9" t="s">
        <v>226</v>
      </c>
      <c r="N9" s="13">
        <v>415</v>
      </c>
      <c r="O9">
        <v>415</v>
      </c>
      <c r="S9" s="12" t="str">
        <f t="shared" si="0"/>
        <v/>
      </c>
      <c r="T9" s="12" t="str">
        <f t="shared" si="1"/>
        <v/>
      </c>
      <c r="U9" s="12" t="str">
        <f t="shared" si="2"/>
        <v/>
      </c>
      <c r="V9" s="12">
        <f t="shared" si="3"/>
        <v>415</v>
      </c>
    </row>
    <row r="10" spans="1:22" ht="30" x14ac:dyDescent="0.25">
      <c r="A10" s="7" t="s">
        <v>201</v>
      </c>
      <c r="B10" s="9" t="s">
        <v>202</v>
      </c>
      <c r="C10" s="8" t="s">
        <v>203</v>
      </c>
      <c r="D10" s="16" t="s">
        <v>44</v>
      </c>
      <c r="E10" s="16" t="s">
        <v>8</v>
      </c>
      <c r="F10" s="15" t="s">
        <v>57</v>
      </c>
      <c r="G10" s="15">
        <v>88.4</v>
      </c>
      <c r="H10" t="s">
        <v>224</v>
      </c>
      <c r="I10" s="15">
        <v>5.0999999999999996</v>
      </c>
      <c r="J10" s="15" t="s">
        <v>101</v>
      </c>
      <c r="K10" s="14" t="s">
        <v>227</v>
      </c>
      <c r="L10">
        <v>4</v>
      </c>
      <c r="M10" t="s">
        <v>226</v>
      </c>
      <c r="N10" s="15">
        <v>88.4</v>
      </c>
      <c r="O10">
        <v>88.4</v>
      </c>
      <c r="P10">
        <v>13</v>
      </c>
      <c r="Q10">
        <v>33.799999999999997</v>
      </c>
      <c r="R10">
        <v>13</v>
      </c>
      <c r="S10" s="12">
        <f t="shared" si="0"/>
        <v>33.799999999999997</v>
      </c>
      <c r="T10" s="12">
        <f t="shared" si="1"/>
        <v>0</v>
      </c>
      <c r="U10" s="12">
        <f t="shared" si="2"/>
        <v>0</v>
      </c>
      <c r="V10" s="12">
        <f t="shared" si="3"/>
        <v>88.4</v>
      </c>
    </row>
    <row r="11" spans="1:22" ht="30" x14ac:dyDescent="0.25">
      <c r="A11" s="7" t="s">
        <v>201</v>
      </c>
      <c r="B11" s="9" t="s">
        <v>202</v>
      </c>
      <c r="C11" s="8" t="s">
        <v>203</v>
      </c>
      <c r="D11" s="17" t="s">
        <v>44</v>
      </c>
      <c r="E11" s="17" t="s">
        <v>4</v>
      </c>
      <c r="F11" s="13" t="s">
        <v>57</v>
      </c>
      <c r="G11" s="13">
        <v>66.3</v>
      </c>
      <c r="H11" t="s">
        <v>224</v>
      </c>
      <c r="I11" s="13">
        <v>7.6</v>
      </c>
      <c r="J11" s="13" t="s">
        <v>101</v>
      </c>
      <c r="K11" s="14" t="s">
        <v>227</v>
      </c>
      <c r="L11">
        <v>4</v>
      </c>
      <c r="M11" t="s">
        <v>226</v>
      </c>
      <c r="N11" s="13">
        <v>66.3</v>
      </c>
      <c r="O11">
        <v>66.3</v>
      </c>
      <c r="P11">
        <v>0.7</v>
      </c>
      <c r="Q11">
        <v>1.56</v>
      </c>
      <c r="R11">
        <v>0.7</v>
      </c>
      <c r="S11" s="12">
        <f t="shared" si="0"/>
        <v>1.5599999999999998</v>
      </c>
      <c r="T11" s="12">
        <f t="shared" si="1"/>
        <v>0</v>
      </c>
      <c r="U11" s="12">
        <f t="shared" si="2"/>
        <v>0</v>
      </c>
      <c r="V11" s="12">
        <f t="shared" si="3"/>
        <v>66.3</v>
      </c>
    </row>
    <row r="12" spans="1:22" ht="30" x14ac:dyDescent="0.25">
      <c r="A12" s="7" t="s">
        <v>201</v>
      </c>
      <c r="B12" s="9" t="s">
        <v>202</v>
      </c>
      <c r="C12" s="8" t="s">
        <v>203</v>
      </c>
      <c r="D12" s="16" t="s">
        <v>44</v>
      </c>
      <c r="E12" s="16" t="s">
        <v>8</v>
      </c>
      <c r="F12" s="15" t="s">
        <v>54</v>
      </c>
      <c r="G12" s="15">
        <v>123</v>
      </c>
      <c r="H12" t="s">
        <v>224</v>
      </c>
      <c r="I12" s="15">
        <v>11</v>
      </c>
      <c r="J12" s="15" t="s">
        <v>101</v>
      </c>
      <c r="K12" s="14" t="s">
        <v>227</v>
      </c>
      <c r="L12">
        <v>4</v>
      </c>
      <c r="M12" t="s">
        <v>226</v>
      </c>
      <c r="N12" s="15">
        <v>123</v>
      </c>
      <c r="O12">
        <v>123</v>
      </c>
      <c r="S12" s="12" t="str">
        <f t="shared" si="0"/>
        <v/>
      </c>
      <c r="T12" s="12" t="str">
        <f t="shared" si="1"/>
        <v/>
      </c>
      <c r="U12" s="12" t="str">
        <f t="shared" si="2"/>
        <v/>
      </c>
      <c r="V12" s="12">
        <f t="shared" si="3"/>
        <v>123</v>
      </c>
    </row>
    <row r="13" spans="1:22" ht="30" x14ac:dyDescent="0.25">
      <c r="A13" s="7" t="s">
        <v>201</v>
      </c>
      <c r="B13" s="9" t="s">
        <v>202</v>
      </c>
      <c r="C13" s="8" t="s">
        <v>203</v>
      </c>
      <c r="D13" s="17" t="s">
        <v>44</v>
      </c>
      <c r="E13" s="17" t="s">
        <v>8</v>
      </c>
      <c r="F13" s="13" t="s">
        <v>54</v>
      </c>
      <c r="G13" s="13">
        <v>137</v>
      </c>
      <c r="H13" t="s">
        <v>224</v>
      </c>
      <c r="I13" s="13">
        <v>9</v>
      </c>
      <c r="J13" s="13" t="s">
        <v>101</v>
      </c>
      <c r="K13" s="14" t="s">
        <v>227</v>
      </c>
      <c r="L13">
        <v>16</v>
      </c>
      <c r="M13" t="s">
        <v>226</v>
      </c>
      <c r="N13" s="13">
        <v>137</v>
      </c>
      <c r="O13">
        <v>137</v>
      </c>
      <c r="S13" s="12" t="str">
        <f t="shared" si="0"/>
        <v/>
      </c>
      <c r="T13" s="12" t="str">
        <f t="shared" si="1"/>
        <v/>
      </c>
      <c r="U13" s="12" t="str">
        <f t="shared" si="2"/>
        <v/>
      </c>
      <c r="V13" s="12">
        <f t="shared" si="3"/>
        <v>137</v>
      </c>
    </row>
    <row r="14" spans="1:22" ht="30" x14ac:dyDescent="0.25">
      <c r="A14" s="7" t="s">
        <v>201</v>
      </c>
      <c r="B14" s="9" t="s">
        <v>202</v>
      </c>
      <c r="C14" s="8" t="s">
        <v>203</v>
      </c>
      <c r="D14" s="16" t="s">
        <v>44</v>
      </c>
      <c r="E14" s="16" t="s">
        <v>8</v>
      </c>
      <c r="F14" s="15" t="s">
        <v>54</v>
      </c>
      <c r="G14" s="15">
        <v>192</v>
      </c>
      <c r="H14" t="s">
        <v>224</v>
      </c>
      <c r="I14" s="15">
        <v>17</v>
      </c>
      <c r="J14" s="15" t="s">
        <v>101</v>
      </c>
      <c r="K14" s="14" t="s">
        <v>227</v>
      </c>
      <c r="L14">
        <v>32</v>
      </c>
      <c r="M14" t="s">
        <v>226</v>
      </c>
      <c r="N14" s="15">
        <v>192</v>
      </c>
      <c r="O14">
        <v>192</v>
      </c>
      <c r="S14" s="12" t="str">
        <f t="shared" si="0"/>
        <v/>
      </c>
      <c r="T14" s="12" t="str">
        <f t="shared" si="1"/>
        <v/>
      </c>
      <c r="U14" s="12" t="str">
        <f t="shared" si="2"/>
        <v/>
      </c>
      <c r="V14" s="12">
        <f t="shared" si="3"/>
        <v>192</v>
      </c>
    </row>
    <row r="15" spans="1:22" ht="30" x14ac:dyDescent="0.25">
      <c r="A15" s="7" t="s">
        <v>201</v>
      </c>
      <c r="B15" s="9" t="s">
        <v>202</v>
      </c>
      <c r="C15" s="8" t="s">
        <v>203</v>
      </c>
      <c r="D15" s="17" t="s">
        <v>44</v>
      </c>
      <c r="E15" s="17" t="s">
        <v>4</v>
      </c>
      <c r="F15" s="13" t="s">
        <v>54</v>
      </c>
      <c r="G15" s="13">
        <v>155</v>
      </c>
      <c r="H15" t="s">
        <v>224</v>
      </c>
      <c r="I15" s="13">
        <v>9</v>
      </c>
      <c r="J15" s="13" t="s">
        <v>101</v>
      </c>
      <c r="K15" s="14" t="s">
        <v>227</v>
      </c>
      <c r="L15">
        <v>4</v>
      </c>
      <c r="M15" t="s">
        <v>226</v>
      </c>
      <c r="N15" s="13">
        <v>155</v>
      </c>
      <c r="O15">
        <v>155</v>
      </c>
      <c r="S15" s="12" t="str">
        <f t="shared" si="0"/>
        <v/>
      </c>
      <c r="T15" s="12" t="str">
        <f t="shared" si="1"/>
        <v/>
      </c>
      <c r="U15" s="12" t="str">
        <f t="shared" si="2"/>
        <v/>
      </c>
      <c r="V15" s="12">
        <f t="shared" si="3"/>
        <v>155</v>
      </c>
    </row>
    <row r="16" spans="1:22" ht="30" x14ac:dyDescent="0.25">
      <c r="A16" s="7" t="s">
        <v>201</v>
      </c>
      <c r="B16" s="9" t="s">
        <v>202</v>
      </c>
      <c r="C16" s="8" t="s">
        <v>203</v>
      </c>
      <c r="D16" s="16" t="s">
        <v>44</v>
      </c>
      <c r="E16" s="16" t="s">
        <v>4</v>
      </c>
      <c r="F16" s="15" t="s">
        <v>54</v>
      </c>
      <c r="G16" s="15">
        <v>186</v>
      </c>
      <c r="H16" t="s">
        <v>224</v>
      </c>
      <c r="I16" s="15">
        <v>14</v>
      </c>
      <c r="J16" s="15" t="s">
        <v>101</v>
      </c>
      <c r="K16" s="14" t="s">
        <v>227</v>
      </c>
      <c r="L16">
        <v>16</v>
      </c>
      <c r="M16" t="s">
        <v>226</v>
      </c>
      <c r="N16" s="15">
        <v>186</v>
      </c>
      <c r="O16">
        <v>186</v>
      </c>
      <c r="S16" s="12" t="str">
        <f t="shared" si="0"/>
        <v/>
      </c>
      <c r="T16" s="12" t="str">
        <f t="shared" si="1"/>
        <v/>
      </c>
      <c r="U16" s="12" t="str">
        <f t="shared" si="2"/>
        <v/>
      </c>
      <c r="V16" s="12">
        <f t="shared" si="3"/>
        <v>186</v>
      </c>
    </row>
    <row r="17" spans="1:22" ht="30" x14ac:dyDescent="0.25">
      <c r="A17" s="7" t="s">
        <v>201</v>
      </c>
      <c r="B17" s="9" t="s">
        <v>202</v>
      </c>
      <c r="C17" s="8" t="s">
        <v>203</v>
      </c>
      <c r="D17" s="17" t="s">
        <v>44</v>
      </c>
      <c r="E17" s="17" t="s">
        <v>4</v>
      </c>
      <c r="F17" s="13" t="s">
        <v>54</v>
      </c>
      <c r="G17" s="13">
        <v>264</v>
      </c>
      <c r="H17" t="s">
        <v>224</v>
      </c>
      <c r="I17" s="13">
        <v>20</v>
      </c>
      <c r="J17" s="13" t="s">
        <v>101</v>
      </c>
      <c r="K17" s="14" t="s">
        <v>227</v>
      </c>
      <c r="L17">
        <v>32</v>
      </c>
      <c r="M17" t="s">
        <v>226</v>
      </c>
      <c r="N17" s="13">
        <v>264</v>
      </c>
      <c r="O17">
        <v>264</v>
      </c>
      <c r="S17" s="12" t="str">
        <f t="shared" si="0"/>
        <v/>
      </c>
      <c r="T17" s="12" t="str">
        <f t="shared" si="1"/>
        <v/>
      </c>
      <c r="U17" s="12" t="str">
        <f t="shared" si="2"/>
        <v/>
      </c>
      <c r="V17" s="12">
        <f t="shared" si="3"/>
        <v>264</v>
      </c>
    </row>
    <row r="18" spans="1:22" ht="30" x14ac:dyDescent="0.25">
      <c r="A18" s="7" t="s">
        <v>207</v>
      </c>
      <c r="B18" s="9" t="s">
        <v>208</v>
      </c>
      <c r="C18" s="8" t="s">
        <v>209</v>
      </c>
      <c r="D18" s="16" t="s">
        <v>44</v>
      </c>
      <c r="E18" s="16" t="s">
        <v>8</v>
      </c>
      <c r="F18" s="15" t="s">
        <v>57</v>
      </c>
      <c r="G18" s="15">
        <v>417</v>
      </c>
      <c r="H18" t="s">
        <v>224</v>
      </c>
      <c r="I18" s="15">
        <v>31</v>
      </c>
      <c r="J18" s="15" t="s">
        <v>101</v>
      </c>
      <c r="K18" s="14" t="s">
        <v>227</v>
      </c>
      <c r="L18">
        <v>2</v>
      </c>
      <c r="M18" t="s">
        <v>226</v>
      </c>
      <c r="N18" s="15">
        <v>417</v>
      </c>
      <c r="O18">
        <v>417</v>
      </c>
      <c r="P18">
        <v>4.5999999999999996</v>
      </c>
      <c r="Q18">
        <v>39.700000000000003</v>
      </c>
      <c r="R18">
        <v>22</v>
      </c>
      <c r="S18" s="12">
        <f t="shared" si="0"/>
        <v>8.3009090909090908</v>
      </c>
      <c r="T18" s="12">
        <f t="shared" si="1"/>
        <v>13.99909090909091</v>
      </c>
      <c r="U18" s="12">
        <f t="shared" si="2"/>
        <v>1.686452743401599</v>
      </c>
      <c r="V18" s="12">
        <f t="shared" si="3"/>
        <v>1120.2507939984669</v>
      </c>
    </row>
    <row r="19" spans="1:22" ht="30" x14ac:dyDescent="0.25">
      <c r="A19" s="7" t="s">
        <v>207</v>
      </c>
      <c r="B19" s="9" t="s">
        <v>208</v>
      </c>
      <c r="C19" s="8" t="s">
        <v>209</v>
      </c>
      <c r="D19" s="17" t="s">
        <v>44</v>
      </c>
      <c r="E19" s="17" t="s">
        <v>4</v>
      </c>
      <c r="F19" s="13" t="s">
        <v>57</v>
      </c>
      <c r="G19" s="13">
        <v>297</v>
      </c>
      <c r="H19" t="s">
        <v>224</v>
      </c>
      <c r="I19" s="13">
        <v>43</v>
      </c>
      <c r="J19" s="13" t="s">
        <v>101</v>
      </c>
      <c r="K19" s="14" t="s">
        <v>227</v>
      </c>
      <c r="L19">
        <v>2</v>
      </c>
      <c r="M19" t="s">
        <v>226</v>
      </c>
      <c r="N19" s="13">
        <v>297</v>
      </c>
      <c r="O19">
        <v>297</v>
      </c>
      <c r="P19">
        <v>0.3</v>
      </c>
      <c r="Q19">
        <v>32.799999999999997</v>
      </c>
      <c r="R19">
        <v>23</v>
      </c>
      <c r="S19" s="12">
        <f t="shared" si="0"/>
        <v>0.42782608695652163</v>
      </c>
      <c r="T19" s="12">
        <f t="shared" si="1"/>
        <v>9.6721739130434727</v>
      </c>
      <c r="U19" s="12">
        <f t="shared" si="2"/>
        <v>22.607723577235767</v>
      </c>
      <c r="V19" s="12">
        <f t="shared" si="3"/>
        <v>7011.4939024390223</v>
      </c>
    </row>
    <row r="20" spans="1:22" ht="30" x14ac:dyDescent="0.25">
      <c r="A20" s="7" t="s">
        <v>207</v>
      </c>
      <c r="B20" s="9" t="s">
        <v>208</v>
      </c>
      <c r="C20" s="8" t="s">
        <v>209</v>
      </c>
      <c r="D20" s="16" t="s">
        <v>44</v>
      </c>
      <c r="E20" s="16" t="s">
        <v>8</v>
      </c>
      <c r="F20" s="15" t="s">
        <v>54</v>
      </c>
      <c r="G20" s="15">
        <v>280</v>
      </c>
      <c r="H20" t="s">
        <v>224</v>
      </c>
      <c r="I20" s="15">
        <v>48</v>
      </c>
      <c r="J20" s="15" t="s">
        <v>101</v>
      </c>
      <c r="K20" s="14" t="s">
        <v>227</v>
      </c>
      <c r="L20">
        <v>2</v>
      </c>
      <c r="M20" t="s">
        <v>226</v>
      </c>
      <c r="N20" s="15">
        <v>280</v>
      </c>
      <c r="O20">
        <v>280</v>
      </c>
      <c r="P20">
        <v>3.1</v>
      </c>
      <c r="Q20">
        <v>40.5</v>
      </c>
      <c r="R20">
        <v>19.899999999999999</v>
      </c>
      <c r="S20" s="12">
        <f t="shared" si="0"/>
        <v>6.309045226130654</v>
      </c>
      <c r="T20" s="12">
        <f t="shared" si="1"/>
        <v>17.390954773869346</v>
      </c>
      <c r="U20" s="12">
        <f t="shared" si="2"/>
        <v>2.7565113500597369</v>
      </c>
      <c r="V20" s="12">
        <f t="shared" si="3"/>
        <v>1051.8231780167264</v>
      </c>
    </row>
    <row r="21" spans="1:22" ht="30" x14ac:dyDescent="0.25">
      <c r="A21" s="7" t="s">
        <v>207</v>
      </c>
      <c r="B21" s="9" t="s">
        <v>208</v>
      </c>
      <c r="C21" s="8" t="s">
        <v>209</v>
      </c>
      <c r="D21" s="17" t="s">
        <v>44</v>
      </c>
      <c r="E21" s="17" t="s">
        <v>8</v>
      </c>
      <c r="F21" s="13" t="s">
        <v>54</v>
      </c>
      <c r="G21" s="13">
        <v>176</v>
      </c>
      <c r="H21" t="s">
        <v>224</v>
      </c>
      <c r="I21" s="13">
        <v>27</v>
      </c>
      <c r="J21" s="13" t="s">
        <v>101</v>
      </c>
      <c r="K21" s="14" t="s">
        <v>227</v>
      </c>
      <c r="L21">
        <v>2</v>
      </c>
      <c r="M21" t="s">
        <v>226</v>
      </c>
      <c r="N21" s="13">
        <v>176</v>
      </c>
      <c r="O21">
        <v>176</v>
      </c>
      <c r="P21">
        <v>0.3</v>
      </c>
      <c r="Q21">
        <v>33.4</v>
      </c>
      <c r="R21">
        <v>19</v>
      </c>
      <c r="S21" s="12">
        <f t="shared" si="0"/>
        <v>0.5273684210526316</v>
      </c>
      <c r="T21" s="12">
        <f t="shared" si="1"/>
        <v>14.172631578947367</v>
      </c>
      <c r="U21" s="12">
        <f t="shared" si="2"/>
        <v>26.874251497005986</v>
      </c>
      <c r="V21" s="12">
        <f t="shared" si="3"/>
        <v>4905.868263473054</v>
      </c>
    </row>
    <row r="22" spans="1:22" ht="30" x14ac:dyDescent="0.25">
      <c r="A22" s="7" t="s">
        <v>207</v>
      </c>
      <c r="B22" s="9" t="s">
        <v>208</v>
      </c>
      <c r="C22" s="8" t="s">
        <v>209</v>
      </c>
      <c r="D22" s="16" t="s">
        <v>44</v>
      </c>
      <c r="E22" s="16" t="s">
        <v>8</v>
      </c>
      <c r="F22" s="15" t="s">
        <v>54</v>
      </c>
      <c r="G22" s="15">
        <v>34.6</v>
      </c>
      <c r="H22" t="s">
        <v>224</v>
      </c>
      <c r="I22" s="15">
        <v>4.8</v>
      </c>
      <c r="J22" s="15" t="s">
        <v>101</v>
      </c>
      <c r="K22" s="14" t="s">
        <v>227</v>
      </c>
      <c r="L22">
        <v>2</v>
      </c>
      <c r="M22" t="s">
        <v>226</v>
      </c>
      <c r="N22" s="15">
        <v>34.6</v>
      </c>
      <c r="O22">
        <v>34.6</v>
      </c>
      <c r="P22">
        <v>4</v>
      </c>
      <c r="Q22">
        <v>35.799999999999997</v>
      </c>
      <c r="R22">
        <v>14.5</v>
      </c>
      <c r="S22" s="12">
        <f t="shared" si="0"/>
        <v>9.8758620689655157</v>
      </c>
      <c r="T22" s="12">
        <f t="shared" si="1"/>
        <v>15.42413793103448</v>
      </c>
      <c r="U22" s="12">
        <f t="shared" si="2"/>
        <v>1.5618016759776536</v>
      </c>
      <c r="V22" s="12">
        <f t="shared" si="3"/>
        <v>88.638337988826805</v>
      </c>
    </row>
    <row r="23" spans="1:22" ht="30" x14ac:dyDescent="0.25">
      <c r="A23" s="7" t="s">
        <v>207</v>
      </c>
      <c r="B23" s="9" t="s">
        <v>208</v>
      </c>
      <c r="C23" s="8" t="s">
        <v>209</v>
      </c>
      <c r="D23" s="17" t="s">
        <v>44</v>
      </c>
      <c r="E23" s="17" t="s">
        <v>4</v>
      </c>
      <c r="F23" s="13" t="s">
        <v>54</v>
      </c>
      <c r="G23" s="13">
        <v>222</v>
      </c>
      <c r="H23" t="s">
        <v>224</v>
      </c>
      <c r="I23" s="13">
        <v>84</v>
      </c>
      <c r="J23" s="13" t="s">
        <v>101</v>
      </c>
      <c r="K23" s="14" t="s">
        <v>227</v>
      </c>
      <c r="L23">
        <v>2</v>
      </c>
      <c r="M23" t="s">
        <v>226</v>
      </c>
      <c r="N23" s="13">
        <v>222</v>
      </c>
      <c r="O23">
        <v>222</v>
      </c>
      <c r="P23">
        <v>0.8</v>
      </c>
      <c r="Q23">
        <v>40.700000000000003</v>
      </c>
      <c r="R23">
        <v>28.4</v>
      </c>
      <c r="S23" s="12">
        <f t="shared" si="0"/>
        <v>1.1464788732394366</v>
      </c>
      <c r="T23" s="12">
        <f t="shared" si="1"/>
        <v>11.953521126760563</v>
      </c>
      <c r="U23" s="12">
        <f t="shared" si="2"/>
        <v>10.426289926289925</v>
      </c>
      <c r="V23" s="12">
        <f t="shared" si="3"/>
        <v>2536.6363636363635</v>
      </c>
    </row>
    <row r="24" spans="1:22" ht="30" x14ac:dyDescent="0.25">
      <c r="A24" s="7" t="s">
        <v>207</v>
      </c>
      <c r="B24" s="9" t="s">
        <v>208</v>
      </c>
      <c r="C24" s="8" t="s">
        <v>209</v>
      </c>
      <c r="D24" s="16" t="s">
        <v>44</v>
      </c>
      <c r="E24" s="16" t="s">
        <v>4</v>
      </c>
      <c r="F24" s="15" t="s">
        <v>54</v>
      </c>
      <c r="G24" s="15">
        <v>136</v>
      </c>
      <c r="H24" t="s">
        <v>224</v>
      </c>
      <c r="I24" s="15">
        <v>25</v>
      </c>
      <c r="J24" s="15" t="s">
        <v>101</v>
      </c>
      <c r="K24" s="14" t="s">
        <v>227</v>
      </c>
      <c r="L24">
        <v>20</v>
      </c>
      <c r="M24" t="s">
        <v>226</v>
      </c>
      <c r="N24" s="15">
        <v>136</v>
      </c>
      <c r="O24">
        <v>136</v>
      </c>
      <c r="P24">
        <v>0.8</v>
      </c>
      <c r="Q24">
        <v>40.700000000000003</v>
      </c>
      <c r="R24">
        <v>28.4</v>
      </c>
      <c r="S24" s="12">
        <f t="shared" si="0"/>
        <v>1.1464788732394366</v>
      </c>
      <c r="T24" s="12">
        <f t="shared" si="1"/>
        <v>11.953521126760563</v>
      </c>
      <c r="U24" s="12">
        <f t="shared" si="2"/>
        <v>10.426289926289925</v>
      </c>
      <c r="V24" s="12">
        <f t="shared" si="3"/>
        <v>1553.97542997543</v>
      </c>
    </row>
    <row r="25" spans="1:22" ht="30" x14ac:dyDescent="0.25">
      <c r="A25" s="7" t="s">
        <v>207</v>
      </c>
      <c r="B25" s="9" t="s">
        <v>208</v>
      </c>
      <c r="C25" s="8" t="s">
        <v>209</v>
      </c>
      <c r="D25" s="17" t="s">
        <v>44</v>
      </c>
      <c r="E25" s="17" t="s">
        <v>4</v>
      </c>
      <c r="F25" s="13" t="s">
        <v>54</v>
      </c>
      <c r="G25" s="13">
        <v>27.9</v>
      </c>
      <c r="H25" t="s">
        <v>224</v>
      </c>
      <c r="I25" s="13">
        <v>4.7</v>
      </c>
      <c r="J25" s="13" t="s">
        <v>101</v>
      </c>
      <c r="K25" s="14" t="s">
        <v>227</v>
      </c>
      <c r="L25">
        <v>20</v>
      </c>
      <c r="M25" t="s">
        <v>226</v>
      </c>
      <c r="N25" s="13">
        <v>27.9</v>
      </c>
      <c r="O25">
        <v>27.9</v>
      </c>
      <c r="P25">
        <v>2.2000000000000002</v>
      </c>
      <c r="Q25">
        <v>36</v>
      </c>
      <c r="R25">
        <v>18</v>
      </c>
      <c r="S25" s="12">
        <f t="shared" si="0"/>
        <v>4.4000000000000004</v>
      </c>
      <c r="T25" s="12">
        <f t="shared" si="1"/>
        <v>15.800000000000004</v>
      </c>
      <c r="U25" s="12">
        <f t="shared" si="2"/>
        <v>3.5909090909090917</v>
      </c>
      <c r="V25" s="12">
        <f t="shared" si="3"/>
        <v>128.08636363636364</v>
      </c>
    </row>
    <row r="26" spans="1:22" x14ac:dyDescent="0.25">
      <c r="S26" s="12" t="str">
        <f t="shared" si="0"/>
        <v/>
      </c>
      <c r="T26" s="12" t="str">
        <f t="shared" si="1"/>
        <v/>
      </c>
      <c r="U26" s="12" t="str">
        <f t="shared" si="2"/>
        <v/>
      </c>
    </row>
  </sheetData>
  <hyperlinks>
    <hyperlink ref="B2" r:id="rId1" xr:uid="{AC24F1E2-7EC0-4C96-A360-23CE032E80E2}"/>
    <hyperlink ref="B3" r:id="rId2" xr:uid="{BC592EF7-CA47-4D49-AE27-784C73DBD843}"/>
    <hyperlink ref="B4" r:id="rId3" xr:uid="{B53C0506-1C5E-4635-8CAC-D96F8A17A281}"/>
    <hyperlink ref="B5" r:id="rId4" xr:uid="{C931469D-3D2B-4CFD-8912-466D9ECB7F0B}"/>
    <hyperlink ref="B6" r:id="rId5" xr:uid="{AEC004C0-A535-457A-8DCC-59B0233437A4}"/>
    <hyperlink ref="B7" r:id="rId6" xr:uid="{B9FC7CF7-B98B-4360-BA24-F90762C656B3}"/>
    <hyperlink ref="B8" r:id="rId7" xr:uid="{B6579437-7F98-49CD-905D-9B23A59DF41F}"/>
    <hyperlink ref="B9" r:id="rId8" xr:uid="{89825EB2-A842-4B44-99FE-7708B97264CE}"/>
    <hyperlink ref="B10" r:id="rId9" xr:uid="{2B4920D1-423E-4445-8257-F503C7A2C3AA}"/>
    <hyperlink ref="B11" r:id="rId10" xr:uid="{21DA9131-AA95-407D-8833-366FD96EE4FA}"/>
    <hyperlink ref="B12" r:id="rId11" xr:uid="{469394B0-5553-47AC-B916-CDE991B3929A}"/>
    <hyperlink ref="B13" r:id="rId12" xr:uid="{76084064-25CD-4906-AF5A-1A46DB5E989B}"/>
    <hyperlink ref="B14" r:id="rId13" xr:uid="{3E060D8B-B9A0-4282-A7F7-91DD5628273E}"/>
    <hyperlink ref="B15" r:id="rId14" xr:uid="{3C4ADD7E-9C71-4A6C-A5D3-96D8A1F4C75D}"/>
    <hyperlink ref="B16" r:id="rId15" xr:uid="{1700A3E0-B5B7-4EFB-9763-690B42193DCC}"/>
    <hyperlink ref="B17" r:id="rId16" xr:uid="{B604A240-4F99-4180-A945-0EE5432A8EA0}"/>
    <hyperlink ref="B18" r:id="rId17" xr:uid="{00888218-6EBF-4D74-894A-CB93391B5F34}"/>
    <hyperlink ref="B19" r:id="rId18" xr:uid="{6A41FED6-344C-40B4-B067-FBD66BFDF7C8}"/>
    <hyperlink ref="B20" r:id="rId19" xr:uid="{254D4E28-1F42-4312-8EEF-9ECBA230BFB1}"/>
    <hyperlink ref="B21" r:id="rId20" xr:uid="{D709DB5B-9AC3-456C-BC5B-1E85EF3F4F53}"/>
    <hyperlink ref="B22" r:id="rId21" xr:uid="{BA9F0F1C-1D20-4D30-9B57-080082C464D1}"/>
    <hyperlink ref="B23" r:id="rId22" xr:uid="{577D37CE-34B6-4648-BBD9-3EECA310ACF6}"/>
    <hyperlink ref="B24" r:id="rId23" xr:uid="{5A49D712-8D00-41AB-8161-6B3B352FF4AB}"/>
    <hyperlink ref="B25" r:id="rId24" xr:uid="{ED2DCC35-34EE-4139-86DA-07DFC6118A0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1725-7685-4578-9CFC-CF7D1FCD02DD}">
  <dimension ref="A1:U234"/>
  <sheetViews>
    <sheetView topLeftCell="A193" workbookViewId="0">
      <selection activeCell="P156" sqref="P156"/>
    </sheetView>
  </sheetViews>
  <sheetFormatPr defaultColWidth="9.140625" defaultRowHeight="15" x14ac:dyDescent="0.25"/>
  <cols>
    <col min="1" max="3" width="17.5703125" style="1" customWidth="1"/>
    <col min="4" max="4" width="9.140625" style="1"/>
    <col min="5" max="5" width="11.28515625" style="1" customWidth="1"/>
    <col min="6" max="6" width="15.85546875" style="1" customWidth="1"/>
    <col min="7" max="7" width="16" style="1" customWidth="1"/>
    <col min="8" max="8" width="9.140625" style="1"/>
    <col min="9" max="9" width="12.85546875" style="1" customWidth="1"/>
    <col min="10" max="10" width="9.7109375" style="1" bestFit="1" customWidth="1"/>
    <col min="11" max="11" width="9.140625" style="1"/>
    <col min="12" max="12" width="10.7109375" style="1" customWidth="1"/>
    <col min="13" max="13" width="12.5703125" style="1" customWidth="1"/>
    <col min="14" max="14" width="9.140625" style="1"/>
    <col min="15" max="15" width="14.5703125" style="1" customWidth="1"/>
    <col min="16" max="16" width="22.42578125" style="4" customWidth="1"/>
    <col min="17" max="17" width="11.28515625" style="1" customWidth="1"/>
    <col min="18" max="18" width="22.42578125" style="4" customWidth="1"/>
    <col min="19" max="19" width="11.42578125" style="1" customWidth="1"/>
    <col min="20" max="20" width="14.7109375" style="1" customWidth="1"/>
    <col min="22" max="16384" width="9.140625" style="1"/>
  </cols>
  <sheetData>
    <row r="1" spans="1:20" ht="15" customHeight="1" x14ac:dyDescent="0.25">
      <c r="A1" s="42" t="s">
        <v>1</v>
      </c>
      <c r="B1" t="s">
        <v>189</v>
      </c>
      <c r="C1" t="s">
        <v>210</v>
      </c>
      <c r="D1" s="42" t="s">
        <v>2</v>
      </c>
      <c r="E1" s="42" t="s">
        <v>0</v>
      </c>
      <c r="F1" s="42" t="s">
        <v>48</v>
      </c>
      <c r="G1" s="42" t="s">
        <v>55</v>
      </c>
      <c r="H1" s="42" t="s">
        <v>68</v>
      </c>
      <c r="I1" s="42" t="s">
        <v>71</v>
      </c>
      <c r="J1" s="42" t="s">
        <v>66</v>
      </c>
      <c r="K1" s="42" t="s">
        <v>67</v>
      </c>
      <c r="L1" s="42" t="s">
        <v>70</v>
      </c>
      <c r="M1" s="42" t="s">
        <v>56</v>
      </c>
      <c r="N1" s="68" t="s">
        <v>50</v>
      </c>
      <c r="O1" s="68" t="s">
        <v>51</v>
      </c>
      <c r="P1" s="42" t="s">
        <v>49</v>
      </c>
      <c r="Q1" s="68" t="s">
        <v>186</v>
      </c>
      <c r="R1" s="42" t="s">
        <v>175</v>
      </c>
      <c r="S1" s="68" t="s">
        <v>61</v>
      </c>
      <c r="T1" s="68" t="s">
        <v>184</v>
      </c>
    </row>
    <row r="2" spans="1:20" s="3" customFormat="1" ht="14.25" customHeight="1" x14ac:dyDescent="0.25">
      <c r="A2" s="69" t="s">
        <v>29</v>
      </c>
      <c r="B2" s="100" t="s">
        <v>221</v>
      </c>
      <c r="C2" t="s">
        <v>222</v>
      </c>
      <c r="D2" s="69" t="s">
        <v>4</v>
      </c>
      <c r="E2" s="69" t="s">
        <v>47</v>
      </c>
      <c r="F2" s="70" t="s">
        <v>31</v>
      </c>
      <c r="G2" s="70" t="s">
        <v>13</v>
      </c>
      <c r="H2" s="42">
        <v>2.2999999999999998</v>
      </c>
      <c r="I2" s="42" t="s">
        <v>75</v>
      </c>
      <c r="J2" s="42">
        <v>2.1</v>
      </c>
      <c r="K2" s="42">
        <v>2.4</v>
      </c>
      <c r="L2" s="42" t="s">
        <v>72</v>
      </c>
      <c r="M2" s="42" t="s">
        <v>63</v>
      </c>
      <c r="N2" s="68" t="s">
        <v>60</v>
      </c>
      <c r="O2" s="68" t="s">
        <v>59</v>
      </c>
      <c r="P2" s="68" t="s">
        <v>90</v>
      </c>
      <c r="Q2" s="68">
        <v>29</v>
      </c>
      <c r="R2" s="68">
        <v>3</v>
      </c>
      <c r="S2" s="42"/>
      <c r="T2" s="42"/>
    </row>
    <row r="3" spans="1:20" s="3" customFormat="1" ht="14.25" customHeight="1" x14ac:dyDescent="0.25">
      <c r="A3" s="69" t="s">
        <v>29</v>
      </c>
      <c r="B3" s="100" t="s">
        <v>221</v>
      </c>
      <c r="C3" t="s">
        <v>222</v>
      </c>
      <c r="D3" s="69" t="s">
        <v>8</v>
      </c>
      <c r="E3" s="69" t="s">
        <v>47</v>
      </c>
      <c r="F3" s="70" t="s">
        <v>31</v>
      </c>
      <c r="G3" s="70" t="s">
        <v>13</v>
      </c>
      <c r="H3" s="42">
        <v>2.2999999999999998</v>
      </c>
      <c r="I3" s="42" t="s">
        <v>75</v>
      </c>
      <c r="J3" s="42">
        <v>2.1</v>
      </c>
      <c r="K3" s="42">
        <v>2.4</v>
      </c>
      <c r="L3" s="42" t="s">
        <v>72</v>
      </c>
      <c r="M3" s="42" t="s">
        <v>63</v>
      </c>
      <c r="N3" s="68" t="s">
        <v>60</v>
      </c>
      <c r="O3" s="68" t="s">
        <v>59</v>
      </c>
      <c r="P3" s="68" t="s">
        <v>90</v>
      </c>
      <c r="Q3" s="68">
        <v>29</v>
      </c>
      <c r="R3" s="68">
        <v>3</v>
      </c>
      <c r="S3" s="42"/>
      <c r="T3" s="42"/>
    </row>
    <row r="4" spans="1:20" s="3" customFormat="1" ht="14.25" customHeight="1" x14ac:dyDescent="0.25">
      <c r="A4" s="71" t="s">
        <v>29</v>
      </c>
      <c r="B4" s="100" t="s">
        <v>221</v>
      </c>
      <c r="C4" t="s">
        <v>222</v>
      </c>
      <c r="D4" s="71" t="s">
        <v>4</v>
      </c>
      <c r="E4" s="71" t="s">
        <v>46</v>
      </c>
      <c r="F4" s="68">
        <v>30</v>
      </c>
      <c r="G4" s="72" t="s">
        <v>7</v>
      </c>
      <c r="H4" s="68">
        <v>32.6</v>
      </c>
      <c r="I4" s="68" t="s">
        <v>75</v>
      </c>
      <c r="J4" s="72">
        <f>H4-8</f>
        <v>24.6</v>
      </c>
      <c r="K4" s="72">
        <f>H4+8</f>
        <v>40.6</v>
      </c>
      <c r="L4" s="68" t="s">
        <v>95</v>
      </c>
      <c r="M4" s="68" t="s">
        <v>7</v>
      </c>
      <c r="N4" s="68" t="s">
        <v>60</v>
      </c>
      <c r="O4" s="68" t="s">
        <v>57</v>
      </c>
      <c r="P4" s="68" t="s">
        <v>169</v>
      </c>
      <c r="Q4" s="68">
        <v>28</v>
      </c>
      <c r="R4" s="68">
        <v>3</v>
      </c>
      <c r="S4" s="68" t="s">
        <v>170</v>
      </c>
      <c r="T4" s="68" t="s">
        <v>180</v>
      </c>
    </row>
    <row r="5" spans="1:20" s="3" customFormat="1" ht="14.25" customHeight="1" x14ac:dyDescent="0.25">
      <c r="A5" s="71" t="s">
        <v>29</v>
      </c>
      <c r="B5" s="100" t="s">
        <v>221</v>
      </c>
      <c r="C5" t="s">
        <v>222</v>
      </c>
      <c r="D5" s="71" t="s">
        <v>8</v>
      </c>
      <c r="E5" s="71" t="s">
        <v>46</v>
      </c>
      <c r="F5" s="68">
        <v>21</v>
      </c>
      <c r="G5" s="72" t="s">
        <v>7</v>
      </c>
      <c r="H5" s="68">
        <v>20.9</v>
      </c>
      <c r="I5" s="68" t="s">
        <v>75</v>
      </c>
      <c r="J5" s="72">
        <f>H5-12.5</f>
        <v>8.3999999999999986</v>
      </c>
      <c r="K5" s="72">
        <f>H5+12.5</f>
        <v>33.4</v>
      </c>
      <c r="L5" s="68" t="s">
        <v>95</v>
      </c>
      <c r="M5" s="68" t="s">
        <v>7</v>
      </c>
      <c r="N5" s="68" t="s">
        <v>60</v>
      </c>
      <c r="O5" s="68" t="s">
        <v>57</v>
      </c>
      <c r="P5" s="68" t="s">
        <v>169</v>
      </c>
      <c r="Q5" s="68">
        <v>28</v>
      </c>
      <c r="R5" s="68">
        <v>3</v>
      </c>
      <c r="S5" s="68" t="s">
        <v>170</v>
      </c>
      <c r="T5" s="68" t="s">
        <v>180</v>
      </c>
    </row>
    <row r="6" spans="1:20" s="3" customFormat="1" ht="14.25" customHeight="1" x14ac:dyDescent="0.25">
      <c r="A6" s="71" t="s">
        <v>29</v>
      </c>
      <c r="B6" s="100" t="s">
        <v>221</v>
      </c>
      <c r="C6" t="s">
        <v>222</v>
      </c>
      <c r="D6" s="71" t="s">
        <v>8</v>
      </c>
      <c r="E6" s="71" t="s">
        <v>46</v>
      </c>
      <c r="F6" s="68">
        <v>21</v>
      </c>
      <c r="G6" s="72" t="s">
        <v>7</v>
      </c>
      <c r="H6" s="68">
        <v>20.100000000000001</v>
      </c>
      <c r="I6" s="68" t="s">
        <v>74</v>
      </c>
      <c r="J6" s="72"/>
      <c r="K6" s="72"/>
      <c r="L6" s="68"/>
      <c r="M6" s="68" t="s">
        <v>7</v>
      </c>
      <c r="N6" s="68" t="s">
        <v>60</v>
      </c>
      <c r="O6" s="68" t="s">
        <v>54</v>
      </c>
      <c r="P6" s="68" t="s">
        <v>169</v>
      </c>
      <c r="Q6" s="68">
        <v>28</v>
      </c>
      <c r="R6" s="68">
        <v>2</v>
      </c>
      <c r="S6" s="68" t="s">
        <v>171</v>
      </c>
      <c r="T6" s="68"/>
    </row>
    <row r="7" spans="1:20" s="3" customFormat="1" ht="14.25" customHeight="1" x14ac:dyDescent="0.25">
      <c r="A7" s="69" t="s">
        <v>21</v>
      </c>
      <c r="B7" s="100" t="s">
        <v>191</v>
      </c>
      <c r="C7" t="s">
        <v>187</v>
      </c>
      <c r="D7" s="69" t="s">
        <v>4</v>
      </c>
      <c r="E7" s="69" t="s">
        <v>47</v>
      </c>
      <c r="F7" s="70">
        <v>3</v>
      </c>
      <c r="G7" s="70" t="s">
        <v>7</v>
      </c>
      <c r="H7" s="42">
        <v>72</v>
      </c>
      <c r="I7" s="42" t="s">
        <v>74</v>
      </c>
      <c r="J7" s="42">
        <v>43</v>
      </c>
      <c r="K7" s="42">
        <v>101</v>
      </c>
      <c r="L7" s="42" t="s">
        <v>72</v>
      </c>
      <c r="M7" s="42" t="s">
        <v>6</v>
      </c>
      <c r="N7" s="68" t="s">
        <v>60</v>
      </c>
      <c r="O7" s="68" t="s">
        <v>59</v>
      </c>
      <c r="P7" s="68" t="s">
        <v>81</v>
      </c>
      <c r="Q7" s="68">
        <v>27</v>
      </c>
      <c r="R7" s="68">
        <v>3</v>
      </c>
      <c r="S7" s="42"/>
      <c r="T7" s="42"/>
    </row>
    <row r="8" spans="1:20" s="3" customFormat="1" ht="14.25" customHeight="1" x14ac:dyDescent="0.25">
      <c r="A8" s="69" t="s">
        <v>21</v>
      </c>
      <c r="B8" s="100" t="s">
        <v>191</v>
      </c>
      <c r="C8" t="s">
        <v>187</v>
      </c>
      <c r="D8" s="69" t="s">
        <v>8</v>
      </c>
      <c r="E8" s="69" t="s">
        <v>47</v>
      </c>
      <c r="F8" s="70">
        <v>3</v>
      </c>
      <c r="G8" s="70" t="s">
        <v>7</v>
      </c>
      <c r="H8" s="42">
        <v>72</v>
      </c>
      <c r="I8" s="42" t="s">
        <v>74</v>
      </c>
      <c r="J8" s="42">
        <v>43</v>
      </c>
      <c r="K8" s="42">
        <v>101</v>
      </c>
      <c r="L8" s="42" t="s">
        <v>72</v>
      </c>
      <c r="M8" s="42" t="s">
        <v>6</v>
      </c>
      <c r="N8" s="68" t="s">
        <v>60</v>
      </c>
      <c r="O8" s="68" t="s">
        <v>59</v>
      </c>
      <c r="P8" s="68" t="s">
        <v>81</v>
      </c>
      <c r="Q8" s="68">
        <v>27</v>
      </c>
      <c r="R8" s="68">
        <v>3</v>
      </c>
      <c r="S8" s="42"/>
      <c r="T8" s="42"/>
    </row>
    <row r="9" spans="1:20" ht="14.25" customHeight="1" x14ac:dyDescent="0.25">
      <c r="A9" s="69" t="s">
        <v>21</v>
      </c>
      <c r="B9" s="100" t="s">
        <v>191</v>
      </c>
      <c r="C9" t="s">
        <v>187</v>
      </c>
      <c r="D9" s="69" t="s">
        <v>4</v>
      </c>
      <c r="E9" s="69" t="s">
        <v>46</v>
      </c>
      <c r="F9" s="70">
        <v>1.7</v>
      </c>
      <c r="G9" s="70" t="s">
        <v>7</v>
      </c>
      <c r="H9" s="42">
        <v>41.01</v>
      </c>
      <c r="I9" s="70" t="s">
        <v>74</v>
      </c>
      <c r="J9" s="42">
        <f>H9-4.71</f>
        <v>36.299999999999997</v>
      </c>
      <c r="K9" s="70">
        <f>H9+4.71</f>
        <v>45.72</v>
      </c>
      <c r="L9" s="42" t="s">
        <v>69</v>
      </c>
      <c r="M9" s="42" t="s">
        <v>6</v>
      </c>
      <c r="N9" s="68" t="s">
        <v>52</v>
      </c>
      <c r="O9" s="68" t="s">
        <v>57</v>
      </c>
      <c r="P9" s="68" t="s">
        <v>81</v>
      </c>
      <c r="Q9" s="68">
        <v>27</v>
      </c>
      <c r="R9" s="68">
        <v>3</v>
      </c>
      <c r="S9" s="68" t="s">
        <v>114</v>
      </c>
      <c r="T9" s="42"/>
    </row>
    <row r="10" spans="1:20" ht="14.25" customHeight="1" x14ac:dyDescent="0.25">
      <c r="A10" s="69" t="s">
        <v>21</v>
      </c>
      <c r="B10" s="100" t="s">
        <v>191</v>
      </c>
      <c r="C10" t="s">
        <v>187</v>
      </c>
      <c r="D10" s="69" t="s">
        <v>8</v>
      </c>
      <c r="E10" s="69" t="s">
        <v>46</v>
      </c>
      <c r="F10" s="70">
        <v>1.7</v>
      </c>
      <c r="G10" s="70" t="s">
        <v>7</v>
      </c>
      <c r="H10" s="42">
        <v>40.32</v>
      </c>
      <c r="I10" s="70" t="s">
        <v>74</v>
      </c>
      <c r="J10" s="42">
        <f>H10-2.36</f>
        <v>37.96</v>
      </c>
      <c r="K10" s="70">
        <f>H10+2.36</f>
        <v>42.68</v>
      </c>
      <c r="L10" s="42" t="s">
        <v>69</v>
      </c>
      <c r="M10" s="42" t="s">
        <v>6</v>
      </c>
      <c r="N10" s="68" t="s">
        <v>52</v>
      </c>
      <c r="O10" s="68" t="s">
        <v>57</v>
      </c>
      <c r="P10" s="68" t="s">
        <v>81</v>
      </c>
      <c r="Q10" s="68">
        <v>27</v>
      </c>
      <c r="R10" s="68">
        <v>3</v>
      </c>
      <c r="S10" s="68" t="s">
        <v>114</v>
      </c>
      <c r="T10" s="42"/>
    </row>
    <row r="11" spans="1:20" ht="14.25" customHeight="1" x14ac:dyDescent="0.25">
      <c r="A11" s="69" t="s">
        <v>21</v>
      </c>
      <c r="B11" s="100" t="s">
        <v>191</v>
      </c>
      <c r="C11" t="s">
        <v>187</v>
      </c>
      <c r="D11" s="69" t="s">
        <v>4</v>
      </c>
      <c r="E11" s="69" t="s">
        <v>45</v>
      </c>
      <c r="F11" s="70">
        <v>3</v>
      </c>
      <c r="G11" s="70" t="s">
        <v>6</v>
      </c>
      <c r="H11" s="42">
        <v>6.35</v>
      </c>
      <c r="I11" s="42" t="s">
        <v>74</v>
      </c>
      <c r="J11" s="42">
        <f>H11-3.33</f>
        <v>3.0199999999999996</v>
      </c>
      <c r="K11" s="42">
        <f>H11+3.33</f>
        <v>9.68</v>
      </c>
      <c r="L11" s="42" t="s">
        <v>69</v>
      </c>
      <c r="M11" s="42" t="s">
        <v>6</v>
      </c>
      <c r="N11" s="68" t="s">
        <v>60</v>
      </c>
      <c r="O11" s="68" t="s">
        <v>54</v>
      </c>
      <c r="P11" s="68" t="s">
        <v>81</v>
      </c>
      <c r="Q11" s="68">
        <v>27</v>
      </c>
      <c r="R11" s="68">
        <v>3</v>
      </c>
      <c r="S11" s="68" t="s">
        <v>82</v>
      </c>
      <c r="T11" s="42"/>
    </row>
    <row r="12" spans="1:20" ht="14.25" customHeight="1" x14ac:dyDescent="0.25">
      <c r="A12" s="69" t="s">
        <v>21</v>
      </c>
      <c r="B12" s="100" t="s">
        <v>191</v>
      </c>
      <c r="C12" t="s">
        <v>187</v>
      </c>
      <c r="D12" s="69" t="s">
        <v>4</v>
      </c>
      <c r="E12" s="69" t="s">
        <v>45</v>
      </c>
      <c r="F12" s="70">
        <v>3</v>
      </c>
      <c r="G12" s="70" t="s">
        <v>6</v>
      </c>
      <c r="H12" s="42">
        <v>5.62</v>
      </c>
      <c r="I12" s="42" t="s">
        <v>74</v>
      </c>
      <c r="J12" s="42">
        <f>H12-2.49</f>
        <v>3.13</v>
      </c>
      <c r="K12" s="42">
        <f>H12+2.49</f>
        <v>8.11</v>
      </c>
      <c r="L12" s="42" t="s">
        <v>69</v>
      </c>
      <c r="M12" s="42" t="s">
        <v>6</v>
      </c>
      <c r="N12" s="68" t="s">
        <v>60</v>
      </c>
      <c r="O12" s="68" t="s">
        <v>54</v>
      </c>
      <c r="P12" s="68" t="s">
        <v>81</v>
      </c>
      <c r="Q12" s="68">
        <v>27</v>
      </c>
      <c r="R12" s="68">
        <v>3</v>
      </c>
      <c r="S12" s="68" t="s">
        <v>83</v>
      </c>
      <c r="T12" s="42"/>
    </row>
    <row r="13" spans="1:20" ht="14.25" customHeight="1" x14ac:dyDescent="0.25">
      <c r="A13" s="69" t="s">
        <v>21</v>
      </c>
      <c r="B13" s="100" t="s">
        <v>191</v>
      </c>
      <c r="C13" t="s">
        <v>187</v>
      </c>
      <c r="D13" s="69" t="s">
        <v>4</v>
      </c>
      <c r="E13" s="69" t="s">
        <v>45</v>
      </c>
      <c r="F13" s="70">
        <v>3</v>
      </c>
      <c r="G13" s="70" t="s">
        <v>6</v>
      </c>
      <c r="H13" s="42">
        <v>6.64</v>
      </c>
      <c r="I13" s="42" t="s">
        <v>74</v>
      </c>
      <c r="J13" s="42">
        <f>H13-2.65</f>
        <v>3.9899999999999998</v>
      </c>
      <c r="K13" s="42">
        <f>H13+2.65</f>
        <v>9.2899999999999991</v>
      </c>
      <c r="L13" s="42" t="s">
        <v>69</v>
      </c>
      <c r="M13" s="42" t="s">
        <v>6</v>
      </c>
      <c r="N13" s="68" t="s">
        <v>60</v>
      </c>
      <c r="O13" s="68" t="s">
        <v>54</v>
      </c>
      <c r="P13" s="68" t="s">
        <v>81</v>
      </c>
      <c r="Q13" s="68">
        <v>27</v>
      </c>
      <c r="R13" s="68">
        <v>3</v>
      </c>
      <c r="S13" s="68" t="s">
        <v>84</v>
      </c>
      <c r="T13" s="42"/>
    </row>
    <row r="14" spans="1:20" ht="14.25" customHeight="1" x14ac:dyDescent="0.25">
      <c r="A14" s="69" t="s">
        <v>21</v>
      </c>
      <c r="B14" s="100" t="s">
        <v>191</v>
      </c>
      <c r="C14" t="s">
        <v>187</v>
      </c>
      <c r="D14" s="69" t="s">
        <v>8</v>
      </c>
      <c r="E14" s="69" t="s">
        <v>45</v>
      </c>
      <c r="F14" s="70">
        <v>12</v>
      </c>
      <c r="G14" s="42" t="s">
        <v>6</v>
      </c>
      <c r="H14" s="42">
        <v>5.22</v>
      </c>
      <c r="I14" s="42" t="s">
        <v>74</v>
      </c>
      <c r="J14" s="42">
        <f>H14-2.27</f>
        <v>2.9499999999999997</v>
      </c>
      <c r="K14" s="42">
        <f>H14+2.27</f>
        <v>7.49</v>
      </c>
      <c r="L14" s="42" t="s">
        <v>69</v>
      </c>
      <c r="M14" s="42" t="s">
        <v>6</v>
      </c>
      <c r="N14" s="68" t="s">
        <v>60</v>
      </c>
      <c r="O14" s="68" t="s">
        <v>54</v>
      </c>
      <c r="P14" s="68" t="s">
        <v>81</v>
      </c>
      <c r="Q14" s="68">
        <v>27</v>
      </c>
      <c r="R14" s="68">
        <v>3</v>
      </c>
      <c r="S14" s="68" t="s">
        <v>84</v>
      </c>
      <c r="T14" s="42"/>
    </row>
    <row r="15" spans="1:20" ht="14.25" customHeight="1" x14ac:dyDescent="0.25">
      <c r="A15" s="69" t="s">
        <v>21</v>
      </c>
      <c r="B15" s="100" t="s">
        <v>191</v>
      </c>
      <c r="C15" t="s">
        <v>187</v>
      </c>
      <c r="D15" s="69" t="s">
        <v>8</v>
      </c>
      <c r="E15" s="69" t="s">
        <v>45</v>
      </c>
      <c r="F15" s="70">
        <v>12</v>
      </c>
      <c r="G15" s="42" t="s">
        <v>6</v>
      </c>
      <c r="H15" s="42">
        <v>13.34</v>
      </c>
      <c r="I15" s="42" t="s">
        <v>74</v>
      </c>
      <c r="J15" s="42">
        <f>H15-4.55</f>
        <v>8.7899999999999991</v>
      </c>
      <c r="K15" s="42">
        <f>H15+4.55</f>
        <v>17.89</v>
      </c>
      <c r="L15" s="42" t="s">
        <v>69</v>
      </c>
      <c r="M15" s="42" t="s">
        <v>6</v>
      </c>
      <c r="N15" s="68" t="s">
        <v>60</v>
      </c>
      <c r="O15" s="68" t="s">
        <v>54</v>
      </c>
      <c r="P15" s="68" t="s">
        <v>81</v>
      </c>
      <c r="Q15" s="68">
        <v>27</v>
      </c>
      <c r="R15" s="68">
        <v>3</v>
      </c>
      <c r="S15" s="68" t="s">
        <v>82</v>
      </c>
      <c r="T15" s="42"/>
    </row>
    <row r="16" spans="1:20" ht="15" customHeight="1" x14ac:dyDescent="0.25">
      <c r="A16" s="69" t="s">
        <v>21</v>
      </c>
      <c r="B16" s="100" t="s">
        <v>191</v>
      </c>
      <c r="C16" t="s">
        <v>187</v>
      </c>
      <c r="D16" s="69" t="s">
        <v>8</v>
      </c>
      <c r="E16" s="69" t="s">
        <v>45</v>
      </c>
      <c r="F16" s="70">
        <v>12</v>
      </c>
      <c r="G16" s="42" t="s">
        <v>6</v>
      </c>
      <c r="H16" s="42">
        <v>16.25</v>
      </c>
      <c r="I16" s="42" t="s">
        <v>74</v>
      </c>
      <c r="J16" s="42">
        <f>H16-7.19</f>
        <v>9.0599999999999987</v>
      </c>
      <c r="K16" s="42">
        <f>H16+7.19</f>
        <v>23.44</v>
      </c>
      <c r="L16" s="42" t="s">
        <v>69</v>
      </c>
      <c r="M16" s="42" t="s">
        <v>6</v>
      </c>
      <c r="N16" s="68" t="s">
        <v>60</v>
      </c>
      <c r="O16" s="68" t="s">
        <v>54</v>
      </c>
      <c r="P16" s="68" t="s">
        <v>81</v>
      </c>
      <c r="Q16" s="68">
        <v>27</v>
      </c>
      <c r="R16" s="68">
        <v>3</v>
      </c>
      <c r="S16" s="68" t="s">
        <v>83</v>
      </c>
      <c r="T16" s="42"/>
    </row>
    <row r="17" spans="1:20" ht="15" customHeight="1" x14ac:dyDescent="0.25">
      <c r="A17" s="69" t="s">
        <v>21</v>
      </c>
      <c r="B17" s="100" t="s">
        <v>191</v>
      </c>
      <c r="C17" t="s">
        <v>187</v>
      </c>
      <c r="D17" s="69" t="s">
        <v>4</v>
      </c>
      <c r="E17" s="69" t="s">
        <v>44</v>
      </c>
      <c r="F17" s="70" t="s">
        <v>22</v>
      </c>
      <c r="G17" s="70" t="s">
        <v>6</v>
      </c>
      <c r="H17" s="42">
        <v>1.76</v>
      </c>
      <c r="I17" s="42" t="s">
        <v>74</v>
      </c>
      <c r="J17" s="70">
        <f>H17-0.26</f>
        <v>1.5</v>
      </c>
      <c r="K17" s="42">
        <f>H17+0.26</f>
        <v>2.02</v>
      </c>
      <c r="L17" s="42" t="s">
        <v>69</v>
      </c>
      <c r="M17" s="42" t="s">
        <v>6</v>
      </c>
      <c r="N17" s="68" t="s">
        <v>60</v>
      </c>
      <c r="O17" s="42" t="s">
        <v>54</v>
      </c>
      <c r="P17" s="68" t="s">
        <v>81</v>
      </c>
      <c r="Q17" s="68">
        <v>27</v>
      </c>
      <c r="R17" s="68">
        <v>3</v>
      </c>
      <c r="S17" s="42"/>
      <c r="T17" s="42"/>
    </row>
    <row r="18" spans="1:20" ht="15" customHeight="1" x14ac:dyDescent="0.25">
      <c r="A18" s="69" t="s">
        <v>21</v>
      </c>
      <c r="B18" s="100" t="s">
        <v>191</v>
      </c>
      <c r="C18" t="s">
        <v>187</v>
      </c>
      <c r="D18" s="69" t="s">
        <v>8</v>
      </c>
      <c r="E18" s="69" t="s">
        <v>44</v>
      </c>
      <c r="F18" s="75" t="s">
        <v>23</v>
      </c>
      <c r="G18" s="70" t="s">
        <v>6</v>
      </c>
      <c r="H18" s="42">
        <v>9.2200000000000006</v>
      </c>
      <c r="I18" s="42" t="s">
        <v>74</v>
      </c>
      <c r="J18" s="70">
        <f>H18-0.75</f>
        <v>8.4700000000000006</v>
      </c>
      <c r="K18" s="42">
        <f>H18+0.75</f>
        <v>9.9700000000000006</v>
      </c>
      <c r="L18" s="42" t="s">
        <v>69</v>
      </c>
      <c r="M18" s="42" t="s">
        <v>6</v>
      </c>
      <c r="N18" s="68" t="s">
        <v>60</v>
      </c>
      <c r="O18" s="42" t="s">
        <v>54</v>
      </c>
      <c r="P18" s="68" t="s">
        <v>81</v>
      </c>
      <c r="Q18" s="68">
        <v>27</v>
      </c>
      <c r="R18" s="68">
        <v>3</v>
      </c>
      <c r="S18" s="42"/>
      <c r="T18" s="42"/>
    </row>
    <row r="19" spans="1:20" ht="15" customHeight="1" x14ac:dyDescent="0.25">
      <c r="A19" s="69" t="s">
        <v>15</v>
      </c>
      <c r="B19" s="100" t="s">
        <v>208</v>
      </c>
      <c r="C19" t="s">
        <v>209</v>
      </c>
      <c r="D19" s="69" t="s">
        <v>4</v>
      </c>
      <c r="E19" s="69" t="s">
        <v>46</v>
      </c>
      <c r="F19" s="70">
        <v>110</v>
      </c>
      <c r="G19" s="70" t="s">
        <v>7</v>
      </c>
      <c r="H19" s="42">
        <v>110</v>
      </c>
      <c r="I19" s="42" t="s">
        <v>75</v>
      </c>
      <c r="J19" s="70">
        <f>H19-15</f>
        <v>95</v>
      </c>
      <c r="K19" s="70">
        <f>H19+15</f>
        <v>125</v>
      </c>
      <c r="L19" s="42" t="s">
        <v>69</v>
      </c>
      <c r="M19" s="42" t="s">
        <v>7</v>
      </c>
      <c r="N19" s="68" t="s">
        <v>60</v>
      </c>
      <c r="O19" s="72" t="s">
        <v>57</v>
      </c>
      <c r="P19" s="68" t="s">
        <v>119</v>
      </c>
      <c r="Q19" s="68">
        <v>26</v>
      </c>
      <c r="R19" s="68">
        <v>3</v>
      </c>
      <c r="S19" s="68" t="s">
        <v>124</v>
      </c>
      <c r="T19" s="42"/>
    </row>
    <row r="20" spans="1:20" ht="15" customHeight="1" x14ac:dyDescent="0.25">
      <c r="A20" s="69" t="s">
        <v>15</v>
      </c>
      <c r="B20" s="100" t="s">
        <v>208</v>
      </c>
      <c r="C20" t="s">
        <v>209</v>
      </c>
      <c r="D20" s="69" t="s">
        <v>8</v>
      </c>
      <c r="E20" s="69" t="s">
        <v>46</v>
      </c>
      <c r="F20" s="70">
        <v>132</v>
      </c>
      <c r="G20" s="70" t="s">
        <v>7</v>
      </c>
      <c r="H20" s="42">
        <v>132</v>
      </c>
      <c r="I20" s="42" t="s">
        <v>75</v>
      </c>
      <c r="J20" s="70">
        <f>H20-7</f>
        <v>125</v>
      </c>
      <c r="K20" s="70">
        <f>H20+7</f>
        <v>139</v>
      </c>
      <c r="L20" s="42" t="s">
        <v>69</v>
      </c>
      <c r="M20" s="42" t="s">
        <v>7</v>
      </c>
      <c r="N20" s="68" t="s">
        <v>60</v>
      </c>
      <c r="O20" s="72" t="s">
        <v>57</v>
      </c>
      <c r="P20" s="68" t="s">
        <v>119</v>
      </c>
      <c r="Q20" s="68">
        <v>26</v>
      </c>
      <c r="R20" s="68">
        <v>3</v>
      </c>
      <c r="S20" s="68" t="s">
        <v>124</v>
      </c>
      <c r="T20" s="42"/>
    </row>
    <row r="21" spans="1:20" ht="15" customHeight="1" x14ac:dyDescent="0.25">
      <c r="A21" s="71" t="s">
        <v>15</v>
      </c>
      <c r="B21" s="100" t="s">
        <v>208</v>
      </c>
      <c r="C21" t="s">
        <v>209</v>
      </c>
      <c r="D21" s="71" t="s">
        <v>4</v>
      </c>
      <c r="E21" s="71" t="s">
        <v>45</v>
      </c>
      <c r="F21" s="68" t="s">
        <v>17</v>
      </c>
      <c r="G21" s="68" t="s">
        <v>7</v>
      </c>
      <c r="H21" s="68">
        <v>37.799999999999997</v>
      </c>
      <c r="I21" s="68" t="s">
        <v>75</v>
      </c>
      <c r="J21" s="68"/>
      <c r="K21" s="68"/>
      <c r="L21" s="68"/>
      <c r="M21" s="68" t="s">
        <v>7</v>
      </c>
      <c r="N21" s="68" t="s">
        <v>60</v>
      </c>
      <c r="O21" s="68" t="s">
        <v>54</v>
      </c>
      <c r="P21" s="68" t="s">
        <v>119</v>
      </c>
      <c r="Q21" s="68">
        <v>26</v>
      </c>
      <c r="R21" s="68">
        <v>4</v>
      </c>
      <c r="S21" s="68" t="s">
        <v>122</v>
      </c>
      <c r="T21" s="68"/>
    </row>
    <row r="22" spans="1:20" ht="15" customHeight="1" x14ac:dyDescent="0.25">
      <c r="A22" s="71" t="s">
        <v>15</v>
      </c>
      <c r="B22" s="100" t="s">
        <v>208</v>
      </c>
      <c r="C22" t="s">
        <v>209</v>
      </c>
      <c r="D22" s="71" t="s">
        <v>4</v>
      </c>
      <c r="E22" s="71" t="s">
        <v>45</v>
      </c>
      <c r="F22" s="68" t="s">
        <v>17</v>
      </c>
      <c r="G22" s="68" t="s">
        <v>7</v>
      </c>
      <c r="H22" s="68">
        <v>30.45</v>
      </c>
      <c r="I22" s="68" t="s">
        <v>75</v>
      </c>
      <c r="J22" s="68"/>
      <c r="K22" s="68"/>
      <c r="L22" s="68"/>
      <c r="M22" s="68" t="s">
        <v>7</v>
      </c>
      <c r="N22" s="68" t="s">
        <v>60</v>
      </c>
      <c r="O22" s="68" t="s">
        <v>54</v>
      </c>
      <c r="P22" s="68" t="s">
        <v>119</v>
      </c>
      <c r="Q22" s="68">
        <v>26</v>
      </c>
      <c r="R22" s="68">
        <v>4</v>
      </c>
      <c r="S22" s="68" t="s">
        <v>123</v>
      </c>
      <c r="T22" s="68"/>
    </row>
    <row r="23" spans="1:20" ht="15" customHeight="1" x14ac:dyDescent="0.25">
      <c r="A23" s="71" t="s">
        <v>15</v>
      </c>
      <c r="B23" s="100" t="s">
        <v>208</v>
      </c>
      <c r="C23" t="s">
        <v>209</v>
      </c>
      <c r="D23" s="71" t="s">
        <v>8</v>
      </c>
      <c r="E23" s="71" t="s">
        <v>45</v>
      </c>
      <c r="F23" s="68" t="s">
        <v>20</v>
      </c>
      <c r="G23" s="68" t="s">
        <v>7</v>
      </c>
      <c r="H23" s="68">
        <v>42.81</v>
      </c>
      <c r="I23" s="68" t="s">
        <v>75</v>
      </c>
      <c r="J23" s="68"/>
      <c r="K23" s="68"/>
      <c r="L23" s="68"/>
      <c r="M23" s="68" t="s">
        <v>7</v>
      </c>
      <c r="N23" s="68" t="s">
        <v>60</v>
      </c>
      <c r="O23" s="68" t="s">
        <v>54</v>
      </c>
      <c r="P23" s="68" t="s">
        <v>119</v>
      </c>
      <c r="Q23" s="68">
        <v>26</v>
      </c>
      <c r="R23" s="68">
        <v>4</v>
      </c>
      <c r="S23" s="68" t="s">
        <v>122</v>
      </c>
      <c r="T23" s="68"/>
    </row>
    <row r="24" spans="1:20" ht="15" customHeight="1" x14ac:dyDescent="0.25">
      <c r="A24" s="71" t="s">
        <v>15</v>
      </c>
      <c r="B24" s="100" t="s">
        <v>208</v>
      </c>
      <c r="C24" t="s">
        <v>209</v>
      </c>
      <c r="D24" s="71" t="s">
        <v>8</v>
      </c>
      <c r="E24" s="71" t="s">
        <v>45</v>
      </c>
      <c r="F24" s="68" t="s">
        <v>20</v>
      </c>
      <c r="G24" s="68" t="s">
        <v>7</v>
      </c>
      <c r="H24" s="68">
        <v>36.42</v>
      </c>
      <c r="I24" s="68" t="s">
        <v>75</v>
      </c>
      <c r="J24" s="68"/>
      <c r="K24" s="68"/>
      <c r="L24" s="68"/>
      <c r="M24" s="68" t="s">
        <v>7</v>
      </c>
      <c r="N24" s="68" t="s">
        <v>60</v>
      </c>
      <c r="O24" s="68" t="s">
        <v>54</v>
      </c>
      <c r="P24" s="68" t="s">
        <v>119</v>
      </c>
      <c r="Q24" s="68">
        <v>26</v>
      </c>
      <c r="R24" s="68">
        <v>4</v>
      </c>
      <c r="S24" s="68" t="s">
        <v>123</v>
      </c>
      <c r="T24" s="68"/>
    </row>
    <row r="25" spans="1:20" ht="15" customHeight="1" x14ac:dyDescent="0.25">
      <c r="A25" s="69" t="s">
        <v>15</v>
      </c>
      <c r="B25" s="100" t="s">
        <v>208</v>
      </c>
      <c r="C25" t="s">
        <v>209</v>
      </c>
      <c r="D25" s="69" t="s">
        <v>4</v>
      </c>
      <c r="E25" s="69" t="s">
        <v>44</v>
      </c>
      <c r="F25" s="70" t="s">
        <v>16</v>
      </c>
      <c r="G25" s="70" t="s">
        <v>7</v>
      </c>
      <c r="H25" s="42">
        <v>71.13</v>
      </c>
      <c r="I25" s="42" t="s">
        <v>75</v>
      </c>
      <c r="J25" s="42">
        <f>H25-11.25</f>
        <v>59.879999999999995</v>
      </c>
      <c r="K25" s="42">
        <f>H25+11.25</f>
        <v>82.38</v>
      </c>
      <c r="L25" s="70" t="s">
        <v>69</v>
      </c>
      <c r="M25" s="42" t="s">
        <v>7</v>
      </c>
      <c r="N25" s="68" t="s">
        <v>60</v>
      </c>
      <c r="O25" s="68" t="s">
        <v>54</v>
      </c>
      <c r="P25" s="68" t="s">
        <v>119</v>
      </c>
      <c r="Q25" s="68">
        <v>26</v>
      </c>
      <c r="R25" s="68">
        <v>3</v>
      </c>
      <c r="S25" s="68" t="s">
        <v>121</v>
      </c>
      <c r="T25" s="42"/>
    </row>
    <row r="26" spans="1:20" ht="15" customHeight="1" x14ac:dyDescent="0.25">
      <c r="A26" s="69" t="s">
        <v>15</v>
      </c>
      <c r="B26" s="100" t="s">
        <v>208</v>
      </c>
      <c r="C26" t="s">
        <v>209</v>
      </c>
      <c r="D26" s="69" t="s">
        <v>4</v>
      </c>
      <c r="E26" s="69" t="s">
        <v>44</v>
      </c>
      <c r="F26" s="70" t="s">
        <v>16</v>
      </c>
      <c r="G26" s="70" t="s">
        <v>7</v>
      </c>
      <c r="H26" s="42">
        <v>62.3</v>
      </c>
      <c r="I26" s="42" t="s">
        <v>75</v>
      </c>
      <c r="J26" s="42">
        <f>H26-2.09</f>
        <v>60.209999999999994</v>
      </c>
      <c r="K26" s="42">
        <f>H26+4</f>
        <v>66.3</v>
      </c>
      <c r="L26" s="70" t="s">
        <v>69</v>
      </c>
      <c r="M26" s="42" t="s">
        <v>7</v>
      </c>
      <c r="N26" s="68" t="s">
        <v>60</v>
      </c>
      <c r="O26" s="68" t="s">
        <v>54</v>
      </c>
      <c r="P26" s="68" t="s">
        <v>119</v>
      </c>
      <c r="Q26" s="68">
        <v>26</v>
      </c>
      <c r="R26" s="68">
        <v>3</v>
      </c>
      <c r="S26" s="68" t="s">
        <v>120</v>
      </c>
      <c r="T26" s="42"/>
    </row>
    <row r="27" spans="1:20" ht="15" customHeight="1" x14ac:dyDescent="0.25">
      <c r="A27" s="69" t="s">
        <v>15</v>
      </c>
      <c r="B27" s="100" t="s">
        <v>208</v>
      </c>
      <c r="C27" t="s">
        <v>209</v>
      </c>
      <c r="D27" s="69" t="s">
        <v>8</v>
      </c>
      <c r="E27" s="69" t="s">
        <v>44</v>
      </c>
      <c r="F27" s="70" t="s">
        <v>16</v>
      </c>
      <c r="G27" s="70" t="s">
        <v>7</v>
      </c>
      <c r="H27" s="42">
        <v>38.31</v>
      </c>
      <c r="I27" s="42" t="s">
        <v>75</v>
      </c>
      <c r="J27" s="42">
        <f>H27-2.32</f>
        <v>35.99</v>
      </c>
      <c r="K27" s="42">
        <f>H27+2.32</f>
        <v>40.630000000000003</v>
      </c>
      <c r="L27" s="70" t="s">
        <v>69</v>
      </c>
      <c r="M27" s="42" t="s">
        <v>7</v>
      </c>
      <c r="N27" s="68" t="s">
        <v>60</v>
      </c>
      <c r="O27" s="68" t="s">
        <v>54</v>
      </c>
      <c r="P27" s="68" t="s">
        <v>119</v>
      </c>
      <c r="Q27" s="68">
        <v>26</v>
      </c>
      <c r="R27" s="68">
        <v>3</v>
      </c>
      <c r="S27" s="68" t="s">
        <v>120</v>
      </c>
      <c r="T27" s="42"/>
    </row>
    <row r="28" spans="1:20" ht="15" customHeight="1" x14ac:dyDescent="0.25">
      <c r="A28" s="69" t="s">
        <v>15</v>
      </c>
      <c r="B28" s="100" t="s">
        <v>208</v>
      </c>
      <c r="C28" t="s">
        <v>209</v>
      </c>
      <c r="D28" s="69" t="s">
        <v>8</v>
      </c>
      <c r="E28" s="69" t="s">
        <v>44</v>
      </c>
      <c r="F28" s="70" t="s">
        <v>16</v>
      </c>
      <c r="G28" s="70" t="s">
        <v>7</v>
      </c>
      <c r="H28" s="42">
        <v>41.19</v>
      </c>
      <c r="I28" s="42" t="s">
        <v>75</v>
      </c>
      <c r="J28" s="42">
        <f>H28-2.01</f>
        <v>39.18</v>
      </c>
      <c r="K28" s="42">
        <f>H28+2.01</f>
        <v>43.199999999999996</v>
      </c>
      <c r="L28" s="70" t="s">
        <v>69</v>
      </c>
      <c r="M28" s="42" t="s">
        <v>7</v>
      </c>
      <c r="N28" s="68" t="s">
        <v>60</v>
      </c>
      <c r="O28" s="68" t="s">
        <v>54</v>
      </c>
      <c r="P28" s="68" t="s">
        <v>119</v>
      </c>
      <c r="Q28" s="68">
        <v>26</v>
      </c>
      <c r="R28" s="68">
        <v>3</v>
      </c>
      <c r="S28" s="68" t="s">
        <v>121</v>
      </c>
      <c r="T28" s="42"/>
    </row>
    <row r="29" spans="1:20" ht="15" customHeight="1" x14ac:dyDescent="0.25">
      <c r="A29" s="71" t="s">
        <v>3</v>
      </c>
      <c r="B29" s="100" t="s">
        <v>193</v>
      </c>
      <c r="C29" t="s">
        <v>194</v>
      </c>
      <c r="D29" s="71" t="s">
        <v>4</v>
      </c>
      <c r="E29" s="71" t="s">
        <v>46</v>
      </c>
      <c r="F29" s="72">
        <v>3.5</v>
      </c>
      <c r="G29" s="72" t="s">
        <v>7</v>
      </c>
      <c r="H29" s="72">
        <v>8.1</v>
      </c>
      <c r="I29" s="72" t="s">
        <v>74</v>
      </c>
      <c r="J29" s="72">
        <f>H29-2</f>
        <v>6.1</v>
      </c>
      <c r="K29" s="72">
        <f>H29+2</f>
        <v>10.1</v>
      </c>
      <c r="L29" s="68" t="s">
        <v>95</v>
      </c>
      <c r="M29" s="68" t="s">
        <v>6</v>
      </c>
      <c r="N29" s="72" t="s">
        <v>60</v>
      </c>
      <c r="O29" s="72" t="s">
        <v>57</v>
      </c>
      <c r="P29" s="68" t="s">
        <v>94</v>
      </c>
      <c r="Q29" s="68">
        <v>25</v>
      </c>
      <c r="R29" s="68">
        <v>3</v>
      </c>
      <c r="S29" s="68" t="s">
        <v>173</v>
      </c>
      <c r="T29" s="68" t="s">
        <v>180</v>
      </c>
    </row>
    <row r="30" spans="1:20" ht="15" customHeight="1" x14ac:dyDescent="0.25">
      <c r="A30" s="71" t="s">
        <v>3</v>
      </c>
      <c r="B30" s="100" t="s">
        <v>193</v>
      </c>
      <c r="C30" t="s">
        <v>194</v>
      </c>
      <c r="D30" s="71" t="s">
        <v>8</v>
      </c>
      <c r="E30" s="71" t="s">
        <v>46</v>
      </c>
      <c r="F30" s="72">
        <v>4</v>
      </c>
      <c r="G30" s="72" t="s">
        <v>7</v>
      </c>
      <c r="H30" s="72">
        <v>15</v>
      </c>
      <c r="I30" s="72" t="s">
        <v>74</v>
      </c>
      <c r="J30" s="72">
        <f>H30-9.4</f>
        <v>5.6</v>
      </c>
      <c r="K30" s="72">
        <f>H30+9.4</f>
        <v>24.4</v>
      </c>
      <c r="L30" s="68" t="s">
        <v>95</v>
      </c>
      <c r="M30" s="68" t="s">
        <v>6</v>
      </c>
      <c r="N30" s="72" t="s">
        <v>60</v>
      </c>
      <c r="O30" s="72" t="s">
        <v>57</v>
      </c>
      <c r="P30" s="68" t="s">
        <v>94</v>
      </c>
      <c r="Q30" s="68">
        <v>25</v>
      </c>
      <c r="R30" s="68">
        <v>3</v>
      </c>
      <c r="S30" s="68" t="s">
        <v>173</v>
      </c>
      <c r="T30" s="68" t="s">
        <v>180</v>
      </c>
    </row>
    <row r="31" spans="1:20" ht="15" customHeight="1" x14ac:dyDescent="0.25">
      <c r="A31" s="71" t="s">
        <v>3</v>
      </c>
      <c r="B31" s="100" t="s">
        <v>193</v>
      </c>
      <c r="C31" t="s">
        <v>194</v>
      </c>
      <c r="D31" s="71" t="s">
        <v>4</v>
      </c>
      <c r="E31" s="71" t="s">
        <v>44</v>
      </c>
      <c r="F31" s="72" t="s">
        <v>5</v>
      </c>
      <c r="G31" s="72" t="s">
        <v>6</v>
      </c>
      <c r="H31" s="72">
        <v>2.4</v>
      </c>
      <c r="I31" s="72" t="s">
        <v>74</v>
      </c>
      <c r="J31" s="72"/>
      <c r="K31" s="72"/>
      <c r="L31" s="72"/>
      <c r="M31" s="68" t="s">
        <v>6</v>
      </c>
      <c r="N31" s="68" t="s">
        <v>52</v>
      </c>
      <c r="O31" s="68" t="s">
        <v>57</v>
      </c>
      <c r="P31" s="68" t="s">
        <v>94</v>
      </c>
      <c r="Q31" s="68">
        <v>25</v>
      </c>
      <c r="R31" s="68">
        <v>3</v>
      </c>
      <c r="S31" s="68" t="s">
        <v>100</v>
      </c>
      <c r="T31" s="68"/>
    </row>
    <row r="32" spans="1:20" ht="15" customHeight="1" x14ac:dyDescent="0.25">
      <c r="A32" s="71" t="s">
        <v>3</v>
      </c>
      <c r="B32" s="100" t="s">
        <v>193</v>
      </c>
      <c r="C32" t="s">
        <v>194</v>
      </c>
      <c r="D32" s="71" t="s">
        <v>8</v>
      </c>
      <c r="E32" s="71" t="s">
        <v>44</v>
      </c>
      <c r="F32" s="72" t="s">
        <v>9</v>
      </c>
      <c r="G32" s="72" t="s">
        <v>6</v>
      </c>
      <c r="H32" s="68">
        <v>3.1</v>
      </c>
      <c r="I32" s="72" t="s">
        <v>74</v>
      </c>
      <c r="J32" s="68"/>
      <c r="K32" s="68"/>
      <c r="L32" s="72"/>
      <c r="M32" s="68" t="s">
        <v>6</v>
      </c>
      <c r="N32" s="68" t="s">
        <v>52</v>
      </c>
      <c r="O32" s="68" t="s">
        <v>57</v>
      </c>
      <c r="P32" s="68" t="s">
        <v>94</v>
      </c>
      <c r="Q32" s="68">
        <v>25</v>
      </c>
      <c r="R32" s="68">
        <v>3</v>
      </c>
      <c r="S32" s="68" t="s">
        <v>100</v>
      </c>
      <c r="T32" s="68"/>
    </row>
    <row r="33" spans="1:20" ht="15" customHeight="1" x14ac:dyDescent="0.25">
      <c r="A33" s="71" t="s">
        <v>24</v>
      </c>
      <c r="B33" s="100" t="s">
        <v>261</v>
      </c>
      <c r="C33" t="s">
        <v>262</v>
      </c>
      <c r="D33" s="71" t="s">
        <v>4</v>
      </c>
      <c r="E33" s="71" t="s">
        <v>46</v>
      </c>
      <c r="F33" s="72">
        <v>2.4</v>
      </c>
      <c r="G33" s="72" t="s">
        <v>26</v>
      </c>
      <c r="H33" s="68">
        <v>2.4</v>
      </c>
      <c r="I33" s="72" t="s">
        <v>74</v>
      </c>
      <c r="J33" s="72">
        <f>H33-1.7</f>
        <v>0.7</v>
      </c>
      <c r="K33" s="68">
        <f>H33+1.7</f>
        <v>4.0999999999999996</v>
      </c>
      <c r="L33" s="68" t="s">
        <v>95</v>
      </c>
      <c r="M33" s="68" t="s">
        <v>6</v>
      </c>
      <c r="N33" s="68" t="s">
        <v>52</v>
      </c>
      <c r="O33" s="68" t="s">
        <v>57</v>
      </c>
      <c r="P33" s="68" t="s">
        <v>94</v>
      </c>
      <c r="Q33" s="68">
        <v>25</v>
      </c>
      <c r="R33" s="68">
        <v>3</v>
      </c>
      <c r="S33" s="68" t="s">
        <v>96</v>
      </c>
      <c r="T33" s="68" t="s">
        <v>180</v>
      </c>
    </row>
    <row r="34" spans="1:20" ht="15" customHeight="1" x14ac:dyDescent="0.25">
      <c r="A34" s="71" t="s">
        <v>24</v>
      </c>
      <c r="B34" s="100" t="s">
        <v>261</v>
      </c>
      <c r="C34" t="s">
        <v>262</v>
      </c>
      <c r="D34" s="71" t="s">
        <v>8</v>
      </c>
      <c r="E34" s="71" t="s">
        <v>46</v>
      </c>
      <c r="F34" s="72">
        <v>5.3</v>
      </c>
      <c r="G34" s="72" t="s">
        <v>26</v>
      </c>
      <c r="H34" s="68">
        <v>5.3</v>
      </c>
      <c r="I34" s="72" t="s">
        <v>74</v>
      </c>
      <c r="J34" s="72">
        <f>H34-2.5</f>
        <v>2.8</v>
      </c>
      <c r="K34" s="68">
        <f>H34+2.5</f>
        <v>7.8</v>
      </c>
      <c r="L34" s="68" t="s">
        <v>95</v>
      </c>
      <c r="M34" s="68" t="s">
        <v>6</v>
      </c>
      <c r="N34" s="68" t="s">
        <v>52</v>
      </c>
      <c r="O34" s="68" t="s">
        <v>57</v>
      </c>
      <c r="P34" s="68" t="s">
        <v>94</v>
      </c>
      <c r="Q34" s="68">
        <v>25</v>
      </c>
      <c r="R34" s="68">
        <v>3</v>
      </c>
      <c r="S34" s="68" t="s">
        <v>96</v>
      </c>
      <c r="T34" s="68" t="s">
        <v>180</v>
      </c>
    </row>
    <row r="35" spans="1:20" ht="15" customHeight="1" x14ac:dyDescent="0.25">
      <c r="A35" s="71" t="s">
        <v>24</v>
      </c>
      <c r="B35" s="100" t="s">
        <v>261</v>
      </c>
      <c r="C35" t="s">
        <v>262</v>
      </c>
      <c r="D35" s="71" t="s">
        <v>4</v>
      </c>
      <c r="E35" s="71" t="s">
        <v>44</v>
      </c>
      <c r="F35" s="73" t="s">
        <v>25</v>
      </c>
      <c r="G35" s="72" t="s">
        <v>6</v>
      </c>
      <c r="H35" s="68">
        <v>1.9</v>
      </c>
      <c r="I35" s="68" t="s">
        <v>74</v>
      </c>
      <c r="J35" s="72"/>
      <c r="K35" s="68"/>
      <c r="L35" s="68"/>
      <c r="M35" s="68" t="s">
        <v>6</v>
      </c>
      <c r="N35" s="68" t="s">
        <v>52</v>
      </c>
      <c r="O35" s="68" t="s">
        <v>54</v>
      </c>
      <c r="P35" s="68" t="s">
        <v>94</v>
      </c>
      <c r="Q35" s="68">
        <v>25</v>
      </c>
      <c r="R35" s="68">
        <v>3</v>
      </c>
      <c r="S35" s="68" t="s">
        <v>97</v>
      </c>
      <c r="T35" s="68"/>
    </row>
    <row r="36" spans="1:20" ht="15" customHeight="1" x14ac:dyDescent="0.25">
      <c r="A36" s="71" t="s">
        <v>24</v>
      </c>
      <c r="B36" s="100" t="s">
        <v>261</v>
      </c>
      <c r="C36" t="s">
        <v>262</v>
      </c>
      <c r="D36" s="71" t="s">
        <v>4</v>
      </c>
      <c r="E36" s="71" t="s">
        <v>44</v>
      </c>
      <c r="F36" s="73" t="s">
        <v>25</v>
      </c>
      <c r="G36" s="72" t="s">
        <v>6</v>
      </c>
      <c r="H36" s="68">
        <v>2.2000000000000002</v>
      </c>
      <c r="I36" s="68" t="s">
        <v>74</v>
      </c>
      <c r="J36" s="72"/>
      <c r="K36" s="68"/>
      <c r="L36" s="68"/>
      <c r="M36" s="68" t="s">
        <v>6</v>
      </c>
      <c r="N36" s="68" t="s">
        <v>52</v>
      </c>
      <c r="O36" s="68" t="s">
        <v>54</v>
      </c>
      <c r="P36" s="68" t="s">
        <v>94</v>
      </c>
      <c r="Q36" s="68">
        <v>25</v>
      </c>
      <c r="R36" s="68">
        <v>3</v>
      </c>
      <c r="S36" s="68" t="s">
        <v>98</v>
      </c>
      <c r="T36" s="68"/>
    </row>
    <row r="37" spans="1:20" ht="15" customHeight="1" x14ac:dyDescent="0.25">
      <c r="A37" s="71" t="s">
        <v>24</v>
      </c>
      <c r="B37" s="100" t="s">
        <v>261</v>
      </c>
      <c r="C37" t="s">
        <v>262</v>
      </c>
      <c r="D37" s="71" t="s">
        <v>4</v>
      </c>
      <c r="E37" s="71" t="s">
        <v>44</v>
      </c>
      <c r="F37" s="73" t="s">
        <v>25</v>
      </c>
      <c r="G37" s="72" t="s">
        <v>6</v>
      </c>
      <c r="H37" s="68">
        <v>3</v>
      </c>
      <c r="I37" s="68" t="s">
        <v>74</v>
      </c>
      <c r="J37" s="72"/>
      <c r="K37" s="68"/>
      <c r="L37" s="68"/>
      <c r="M37" s="68" t="s">
        <v>6</v>
      </c>
      <c r="N37" s="68" t="s">
        <v>52</v>
      </c>
      <c r="O37" s="68" t="s">
        <v>54</v>
      </c>
      <c r="P37" s="68" t="s">
        <v>94</v>
      </c>
      <c r="Q37" s="68">
        <v>25</v>
      </c>
      <c r="R37" s="68">
        <v>3</v>
      </c>
      <c r="S37" s="68" t="s">
        <v>99</v>
      </c>
      <c r="T37" s="68"/>
    </row>
    <row r="38" spans="1:20" ht="15" customHeight="1" x14ac:dyDescent="0.25">
      <c r="A38" s="71" t="s">
        <v>24</v>
      </c>
      <c r="B38" s="100" t="s">
        <v>261</v>
      </c>
      <c r="C38" t="s">
        <v>262</v>
      </c>
      <c r="D38" s="71" t="s">
        <v>8</v>
      </c>
      <c r="E38" s="71" t="s">
        <v>44</v>
      </c>
      <c r="F38" s="73" t="s">
        <v>27</v>
      </c>
      <c r="G38" s="72" t="s">
        <v>6</v>
      </c>
      <c r="H38" s="68">
        <v>2</v>
      </c>
      <c r="I38" s="68" t="s">
        <v>74</v>
      </c>
      <c r="J38" s="72"/>
      <c r="K38" s="68"/>
      <c r="L38" s="68"/>
      <c r="M38" s="68" t="s">
        <v>6</v>
      </c>
      <c r="N38" s="68" t="s">
        <v>52</v>
      </c>
      <c r="O38" s="68" t="s">
        <v>54</v>
      </c>
      <c r="P38" s="68" t="s">
        <v>94</v>
      </c>
      <c r="Q38" s="68">
        <v>25</v>
      </c>
      <c r="R38" s="68">
        <v>3</v>
      </c>
      <c r="S38" s="68" t="s">
        <v>97</v>
      </c>
      <c r="T38" s="68"/>
    </row>
    <row r="39" spans="1:20" ht="15" customHeight="1" x14ac:dyDescent="0.25">
      <c r="A39" s="71" t="s">
        <v>24</v>
      </c>
      <c r="B39" s="100" t="s">
        <v>261</v>
      </c>
      <c r="C39" t="s">
        <v>262</v>
      </c>
      <c r="D39" s="71" t="s">
        <v>8</v>
      </c>
      <c r="E39" s="71" t="s">
        <v>44</v>
      </c>
      <c r="F39" s="73" t="s">
        <v>27</v>
      </c>
      <c r="G39" s="72" t="s">
        <v>6</v>
      </c>
      <c r="H39" s="68">
        <v>2.1</v>
      </c>
      <c r="I39" s="68" t="s">
        <v>74</v>
      </c>
      <c r="J39" s="72"/>
      <c r="K39" s="68"/>
      <c r="L39" s="68"/>
      <c r="M39" s="68" t="s">
        <v>6</v>
      </c>
      <c r="N39" s="68" t="s">
        <v>52</v>
      </c>
      <c r="O39" s="68" t="s">
        <v>54</v>
      </c>
      <c r="P39" s="68" t="s">
        <v>94</v>
      </c>
      <c r="Q39" s="68">
        <v>25</v>
      </c>
      <c r="R39" s="68">
        <v>3</v>
      </c>
      <c r="S39" s="68" t="s">
        <v>98</v>
      </c>
      <c r="T39" s="68"/>
    </row>
    <row r="40" spans="1:20" ht="15" customHeight="1" x14ac:dyDescent="0.25">
      <c r="A40" s="71" t="s">
        <v>24</v>
      </c>
      <c r="B40" s="100" t="s">
        <v>261</v>
      </c>
      <c r="C40" t="s">
        <v>262</v>
      </c>
      <c r="D40" s="71" t="s">
        <v>8</v>
      </c>
      <c r="E40" s="71" t="s">
        <v>44</v>
      </c>
      <c r="F40" s="73" t="s">
        <v>27</v>
      </c>
      <c r="G40" s="72" t="s">
        <v>6</v>
      </c>
      <c r="H40" s="68">
        <v>2.9</v>
      </c>
      <c r="I40" s="68" t="s">
        <v>74</v>
      </c>
      <c r="J40" s="72"/>
      <c r="K40" s="68"/>
      <c r="L40" s="68"/>
      <c r="M40" s="68" t="s">
        <v>6</v>
      </c>
      <c r="N40" s="68" t="s">
        <v>52</v>
      </c>
      <c r="O40" s="68" t="s">
        <v>54</v>
      </c>
      <c r="P40" s="68" t="s">
        <v>94</v>
      </c>
      <c r="Q40" s="68">
        <v>25</v>
      </c>
      <c r="R40" s="68">
        <v>3</v>
      </c>
      <c r="S40" s="68" t="s">
        <v>99</v>
      </c>
      <c r="T40" s="68"/>
    </row>
    <row r="41" spans="1:20" ht="15" customHeight="1" x14ac:dyDescent="0.25">
      <c r="A41" s="71" t="s">
        <v>39</v>
      </c>
      <c r="B41" s="100" t="s">
        <v>196</v>
      </c>
      <c r="C41" t="s">
        <v>197</v>
      </c>
      <c r="D41" s="71" t="s">
        <v>4</v>
      </c>
      <c r="E41" s="71" t="s">
        <v>44</v>
      </c>
      <c r="F41" s="72" t="s">
        <v>40</v>
      </c>
      <c r="G41" s="72" t="s">
        <v>7</v>
      </c>
      <c r="H41" s="68">
        <v>854</v>
      </c>
      <c r="I41" s="68" t="s">
        <v>75</v>
      </c>
      <c r="J41" s="72">
        <f>H41-61</f>
        <v>793</v>
      </c>
      <c r="K41" s="68">
        <f>H41+61</f>
        <v>915</v>
      </c>
      <c r="L41" s="68" t="s">
        <v>95</v>
      </c>
      <c r="M41" s="68" t="s">
        <v>6</v>
      </c>
      <c r="N41" s="68" t="s">
        <v>52</v>
      </c>
      <c r="O41" s="68" t="s">
        <v>57</v>
      </c>
      <c r="P41" s="68" t="s">
        <v>132</v>
      </c>
      <c r="Q41" s="68">
        <v>24</v>
      </c>
      <c r="R41" s="68">
        <v>3</v>
      </c>
      <c r="S41" s="68" t="s">
        <v>139</v>
      </c>
      <c r="T41" s="68" t="s">
        <v>180</v>
      </c>
    </row>
    <row r="42" spans="1:20" ht="15" customHeight="1" x14ac:dyDescent="0.25">
      <c r="A42" s="71" t="s">
        <v>39</v>
      </c>
      <c r="B42" s="100" t="s">
        <v>196</v>
      </c>
      <c r="C42" t="s">
        <v>197</v>
      </c>
      <c r="D42" s="71" t="s">
        <v>4</v>
      </c>
      <c r="E42" s="71" t="s">
        <v>44</v>
      </c>
      <c r="F42" s="72" t="s">
        <v>40</v>
      </c>
      <c r="G42" s="72" t="s">
        <v>7</v>
      </c>
      <c r="H42" s="68">
        <v>1260</v>
      </c>
      <c r="I42" s="68" t="s">
        <v>75</v>
      </c>
      <c r="J42" s="72">
        <f>H42-330</f>
        <v>930</v>
      </c>
      <c r="K42" s="68">
        <f>H42+330</f>
        <v>1590</v>
      </c>
      <c r="L42" s="68" t="s">
        <v>95</v>
      </c>
      <c r="M42" s="68" t="s">
        <v>6</v>
      </c>
      <c r="N42" s="68" t="s">
        <v>52</v>
      </c>
      <c r="O42" s="68" t="s">
        <v>54</v>
      </c>
      <c r="P42" s="68" t="s">
        <v>132</v>
      </c>
      <c r="Q42" s="68">
        <v>24</v>
      </c>
      <c r="R42" s="68">
        <v>3</v>
      </c>
      <c r="S42" s="68" t="s">
        <v>140</v>
      </c>
      <c r="T42" s="68" t="s">
        <v>180</v>
      </c>
    </row>
    <row r="43" spans="1:20" ht="15" customHeight="1" x14ac:dyDescent="0.25">
      <c r="A43" s="71" t="s">
        <v>39</v>
      </c>
      <c r="B43" s="100" t="s">
        <v>196</v>
      </c>
      <c r="C43" t="s">
        <v>197</v>
      </c>
      <c r="D43" s="71" t="s">
        <v>4</v>
      </c>
      <c r="E43" s="71" t="s">
        <v>44</v>
      </c>
      <c r="F43" s="72" t="s">
        <v>40</v>
      </c>
      <c r="G43" s="72" t="s">
        <v>7</v>
      </c>
      <c r="H43" s="68">
        <v>1240</v>
      </c>
      <c r="I43" s="68" t="s">
        <v>75</v>
      </c>
      <c r="J43" s="72">
        <f>H43-290</f>
        <v>950</v>
      </c>
      <c r="K43" s="68">
        <f>H43+290</f>
        <v>1530</v>
      </c>
      <c r="L43" s="68" t="s">
        <v>95</v>
      </c>
      <c r="M43" s="68" t="s">
        <v>6</v>
      </c>
      <c r="N43" s="68" t="s">
        <v>52</v>
      </c>
      <c r="O43" s="68" t="s">
        <v>54</v>
      </c>
      <c r="P43" s="68" t="s">
        <v>132</v>
      </c>
      <c r="Q43" s="68">
        <v>24</v>
      </c>
      <c r="R43" s="68">
        <v>3</v>
      </c>
      <c r="S43" s="68" t="s">
        <v>139</v>
      </c>
      <c r="T43" s="68" t="s">
        <v>180</v>
      </c>
    </row>
    <row r="44" spans="1:20" ht="15" customHeight="1" x14ac:dyDescent="0.25">
      <c r="A44" s="71" t="s">
        <v>39</v>
      </c>
      <c r="B44" s="100" t="s">
        <v>196</v>
      </c>
      <c r="C44" t="s">
        <v>197</v>
      </c>
      <c r="D44" s="71" t="s">
        <v>4</v>
      </c>
      <c r="E44" s="71" t="s">
        <v>44</v>
      </c>
      <c r="F44" s="72" t="s">
        <v>40</v>
      </c>
      <c r="G44" s="72" t="s">
        <v>7</v>
      </c>
      <c r="H44" s="68">
        <v>1240</v>
      </c>
      <c r="I44" s="68" t="s">
        <v>75</v>
      </c>
      <c r="J44" s="72">
        <f>H44-270</f>
        <v>970</v>
      </c>
      <c r="K44" s="68">
        <f>H44+270</f>
        <v>1510</v>
      </c>
      <c r="L44" s="68" t="s">
        <v>95</v>
      </c>
      <c r="M44" s="68" t="s">
        <v>6</v>
      </c>
      <c r="N44" s="68" t="s">
        <v>52</v>
      </c>
      <c r="O44" s="68" t="s">
        <v>54</v>
      </c>
      <c r="P44" s="68" t="s">
        <v>132</v>
      </c>
      <c r="Q44" s="68">
        <v>24</v>
      </c>
      <c r="R44" s="68">
        <v>3</v>
      </c>
      <c r="S44" s="68" t="s">
        <v>141</v>
      </c>
      <c r="T44" s="68" t="s">
        <v>180</v>
      </c>
    </row>
    <row r="45" spans="1:20" ht="15" customHeight="1" x14ac:dyDescent="0.25">
      <c r="A45" s="71" t="s">
        <v>39</v>
      </c>
      <c r="B45" s="100" t="s">
        <v>196</v>
      </c>
      <c r="C45" t="s">
        <v>197</v>
      </c>
      <c r="D45" s="71" t="s">
        <v>8</v>
      </c>
      <c r="E45" s="71" t="s">
        <v>44</v>
      </c>
      <c r="F45" s="72" t="s">
        <v>41</v>
      </c>
      <c r="G45" s="72" t="s">
        <v>7</v>
      </c>
      <c r="H45" s="68">
        <v>904</v>
      </c>
      <c r="I45" s="68" t="s">
        <v>75</v>
      </c>
      <c r="J45" s="72">
        <f>H45-83</f>
        <v>821</v>
      </c>
      <c r="K45" s="68">
        <f>H45+83</f>
        <v>987</v>
      </c>
      <c r="L45" s="68" t="s">
        <v>95</v>
      </c>
      <c r="M45" s="68" t="s">
        <v>6</v>
      </c>
      <c r="N45" s="68" t="s">
        <v>52</v>
      </c>
      <c r="O45" s="68" t="s">
        <v>57</v>
      </c>
      <c r="P45" s="68" t="s">
        <v>132</v>
      </c>
      <c r="Q45" s="68">
        <v>24</v>
      </c>
      <c r="R45" s="68">
        <v>3</v>
      </c>
      <c r="S45" s="68" t="s">
        <v>139</v>
      </c>
      <c r="T45" s="68" t="s">
        <v>180</v>
      </c>
    </row>
    <row r="46" spans="1:20" ht="15" customHeight="1" x14ac:dyDescent="0.25">
      <c r="A46" s="71" t="s">
        <v>39</v>
      </c>
      <c r="B46" s="100" t="s">
        <v>196</v>
      </c>
      <c r="C46" t="s">
        <v>197</v>
      </c>
      <c r="D46" s="71" t="s">
        <v>8</v>
      </c>
      <c r="E46" s="71" t="s">
        <v>44</v>
      </c>
      <c r="F46" s="72" t="s">
        <v>41</v>
      </c>
      <c r="G46" s="72" t="s">
        <v>7</v>
      </c>
      <c r="H46" s="68">
        <v>995</v>
      </c>
      <c r="I46" s="68" t="s">
        <v>75</v>
      </c>
      <c r="J46" s="72">
        <f>H46-80</f>
        <v>915</v>
      </c>
      <c r="K46" s="68">
        <f>H46+80</f>
        <v>1075</v>
      </c>
      <c r="L46" s="68" t="s">
        <v>95</v>
      </c>
      <c r="M46" s="68" t="s">
        <v>6</v>
      </c>
      <c r="N46" s="68" t="s">
        <v>52</v>
      </c>
      <c r="O46" s="68" t="s">
        <v>54</v>
      </c>
      <c r="P46" s="68" t="s">
        <v>132</v>
      </c>
      <c r="Q46" s="68">
        <v>24</v>
      </c>
      <c r="R46" s="68">
        <v>3</v>
      </c>
      <c r="S46" s="68" t="s">
        <v>140</v>
      </c>
      <c r="T46" s="68" t="s">
        <v>180</v>
      </c>
    </row>
    <row r="47" spans="1:20" ht="15" customHeight="1" x14ac:dyDescent="0.25">
      <c r="A47" s="71" t="s">
        <v>39</v>
      </c>
      <c r="B47" s="100" t="s">
        <v>196</v>
      </c>
      <c r="C47" t="s">
        <v>197</v>
      </c>
      <c r="D47" s="71" t="s">
        <v>8</v>
      </c>
      <c r="E47" s="71" t="s">
        <v>44</v>
      </c>
      <c r="F47" s="72" t="s">
        <v>41</v>
      </c>
      <c r="G47" s="72" t="s">
        <v>7</v>
      </c>
      <c r="H47" s="68">
        <v>1070</v>
      </c>
      <c r="I47" s="68" t="s">
        <v>75</v>
      </c>
      <c r="J47" s="72">
        <f>H47-60</f>
        <v>1010</v>
      </c>
      <c r="K47" s="68">
        <f>H47+60</f>
        <v>1130</v>
      </c>
      <c r="L47" s="68" t="s">
        <v>95</v>
      </c>
      <c r="M47" s="68" t="s">
        <v>6</v>
      </c>
      <c r="N47" s="68" t="s">
        <v>52</v>
      </c>
      <c r="O47" s="68" t="s">
        <v>54</v>
      </c>
      <c r="P47" s="68" t="s">
        <v>132</v>
      </c>
      <c r="Q47" s="68">
        <v>24</v>
      </c>
      <c r="R47" s="68">
        <v>3</v>
      </c>
      <c r="S47" s="68" t="s">
        <v>141</v>
      </c>
      <c r="T47" s="68" t="s">
        <v>180</v>
      </c>
    </row>
    <row r="48" spans="1:20" ht="15" customHeight="1" x14ac:dyDescent="0.25">
      <c r="A48" s="71" t="s">
        <v>39</v>
      </c>
      <c r="B48" s="100" t="s">
        <v>196</v>
      </c>
      <c r="C48" t="s">
        <v>197</v>
      </c>
      <c r="D48" s="71" t="s">
        <v>8</v>
      </c>
      <c r="E48" s="71" t="s">
        <v>44</v>
      </c>
      <c r="F48" s="72" t="s">
        <v>41</v>
      </c>
      <c r="G48" s="72" t="s">
        <v>7</v>
      </c>
      <c r="H48" s="68">
        <v>1620</v>
      </c>
      <c r="I48" s="68" t="s">
        <v>75</v>
      </c>
      <c r="J48" s="72">
        <f>H48-220</f>
        <v>1400</v>
      </c>
      <c r="K48" s="68">
        <f>H48+220</f>
        <v>1840</v>
      </c>
      <c r="L48" s="68" t="s">
        <v>95</v>
      </c>
      <c r="M48" s="68" t="s">
        <v>6</v>
      </c>
      <c r="N48" s="68" t="s">
        <v>52</v>
      </c>
      <c r="O48" s="68" t="s">
        <v>54</v>
      </c>
      <c r="P48" s="68" t="s">
        <v>132</v>
      </c>
      <c r="Q48" s="68">
        <v>24</v>
      </c>
      <c r="R48" s="68">
        <v>3</v>
      </c>
      <c r="S48" s="68" t="s">
        <v>139</v>
      </c>
      <c r="T48" s="68" t="s">
        <v>180</v>
      </c>
    </row>
    <row r="49" spans="1:20" ht="15" customHeight="1" x14ac:dyDescent="0.25">
      <c r="A49" s="69" t="s">
        <v>24</v>
      </c>
      <c r="B49" s="100" t="s">
        <v>261</v>
      </c>
      <c r="C49" t="s">
        <v>262</v>
      </c>
      <c r="D49" s="69" t="s">
        <v>4</v>
      </c>
      <c r="E49" s="69" t="s">
        <v>44</v>
      </c>
      <c r="F49" s="75" t="s">
        <v>25</v>
      </c>
      <c r="G49" s="70" t="s">
        <v>6</v>
      </c>
      <c r="H49" s="42">
        <v>12.2</v>
      </c>
      <c r="I49" s="42" t="s">
        <v>75</v>
      </c>
      <c r="J49" s="70">
        <f>H49-23.6</f>
        <v>-11.400000000000002</v>
      </c>
      <c r="K49" s="42">
        <f>H49+23.6</f>
        <v>35.799999999999997</v>
      </c>
      <c r="L49" s="42" t="s">
        <v>69</v>
      </c>
      <c r="M49" s="42" t="s">
        <v>6</v>
      </c>
      <c r="N49" s="68" t="s">
        <v>52</v>
      </c>
      <c r="O49" s="68" t="s">
        <v>54</v>
      </c>
      <c r="P49" s="68" t="s">
        <v>132</v>
      </c>
      <c r="Q49" s="68">
        <v>24</v>
      </c>
      <c r="R49" s="68">
        <v>3</v>
      </c>
      <c r="S49" s="68" t="s">
        <v>135</v>
      </c>
      <c r="T49" s="42"/>
    </row>
    <row r="50" spans="1:20" ht="15" customHeight="1" x14ac:dyDescent="0.25">
      <c r="A50" s="69" t="s">
        <v>24</v>
      </c>
      <c r="B50" s="100" t="s">
        <v>261</v>
      </c>
      <c r="C50" t="s">
        <v>262</v>
      </c>
      <c r="D50" s="69" t="s">
        <v>4</v>
      </c>
      <c r="E50" s="69" t="s">
        <v>44</v>
      </c>
      <c r="F50" s="75" t="s">
        <v>25</v>
      </c>
      <c r="G50" s="70" t="s">
        <v>6</v>
      </c>
      <c r="H50" s="42">
        <v>2.27</v>
      </c>
      <c r="I50" s="42" t="s">
        <v>75</v>
      </c>
      <c r="J50" s="70">
        <f>H50-2.13</f>
        <v>0.14000000000000012</v>
      </c>
      <c r="K50" s="42">
        <f>H50+2.13</f>
        <v>4.4000000000000004</v>
      </c>
      <c r="L50" s="42" t="s">
        <v>69</v>
      </c>
      <c r="M50" s="42" t="s">
        <v>6</v>
      </c>
      <c r="N50" s="68" t="s">
        <v>52</v>
      </c>
      <c r="O50" s="68" t="s">
        <v>54</v>
      </c>
      <c r="P50" s="68" t="s">
        <v>132</v>
      </c>
      <c r="Q50" s="68">
        <v>24</v>
      </c>
      <c r="R50" s="68">
        <v>3</v>
      </c>
      <c r="S50" s="68" t="s">
        <v>133</v>
      </c>
      <c r="T50" s="42"/>
    </row>
    <row r="51" spans="1:20" ht="15" customHeight="1" x14ac:dyDescent="0.25">
      <c r="A51" s="69" t="s">
        <v>24</v>
      </c>
      <c r="B51" s="100" t="s">
        <v>261</v>
      </c>
      <c r="C51" t="s">
        <v>262</v>
      </c>
      <c r="D51" s="69" t="s">
        <v>4</v>
      </c>
      <c r="E51" s="69" t="s">
        <v>44</v>
      </c>
      <c r="F51" s="75" t="s">
        <v>25</v>
      </c>
      <c r="G51" s="70" t="s">
        <v>6</v>
      </c>
      <c r="H51" s="42">
        <v>5.46</v>
      </c>
      <c r="I51" s="42" t="s">
        <v>75</v>
      </c>
      <c r="J51" s="70">
        <f>H51-2.64</f>
        <v>2.82</v>
      </c>
      <c r="K51" s="42">
        <f>H51+2.64</f>
        <v>8.1</v>
      </c>
      <c r="L51" s="42" t="s">
        <v>69</v>
      </c>
      <c r="M51" s="42" t="s">
        <v>6</v>
      </c>
      <c r="N51" s="68" t="s">
        <v>52</v>
      </c>
      <c r="O51" s="68" t="s">
        <v>54</v>
      </c>
      <c r="P51" s="68" t="s">
        <v>132</v>
      </c>
      <c r="Q51" s="68">
        <v>24</v>
      </c>
      <c r="R51" s="68">
        <v>3</v>
      </c>
      <c r="S51" s="68" t="s">
        <v>134</v>
      </c>
      <c r="T51" s="42"/>
    </row>
    <row r="52" spans="1:20" ht="15" customHeight="1" x14ac:dyDescent="0.25">
      <c r="A52" s="69" t="s">
        <v>24</v>
      </c>
      <c r="B52" s="100" t="s">
        <v>261</v>
      </c>
      <c r="C52" t="s">
        <v>262</v>
      </c>
      <c r="D52" s="69" t="s">
        <v>4</v>
      </c>
      <c r="E52" s="69" t="s">
        <v>44</v>
      </c>
      <c r="F52" s="75" t="s">
        <v>25</v>
      </c>
      <c r="G52" s="70" t="s">
        <v>6</v>
      </c>
      <c r="H52" s="42">
        <v>7.28</v>
      </c>
      <c r="I52" s="42" t="s">
        <v>75</v>
      </c>
      <c r="J52" s="70">
        <f>H52-1.98</f>
        <v>5.3000000000000007</v>
      </c>
      <c r="K52" s="42">
        <f>H52+1.98</f>
        <v>9.26</v>
      </c>
      <c r="L52" s="42" t="s">
        <v>69</v>
      </c>
      <c r="M52" s="42" t="s">
        <v>6</v>
      </c>
      <c r="N52" s="68" t="s">
        <v>52</v>
      </c>
      <c r="O52" s="68" t="s">
        <v>57</v>
      </c>
      <c r="P52" s="68" t="s">
        <v>132</v>
      </c>
      <c r="Q52" s="68">
        <v>24</v>
      </c>
      <c r="R52" s="68">
        <v>3</v>
      </c>
      <c r="S52" s="68" t="s">
        <v>133</v>
      </c>
      <c r="T52" s="42"/>
    </row>
    <row r="53" spans="1:20" ht="15" customHeight="1" x14ac:dyDescent="0.25">
      <c r="A53" s="69" t="s">
        <v>24</v>
      </c>
      <c r="B53" s="100" t="s">
        <v>261</v>
      </c>
      <c r="C53" t="s">
        <v>262</v>
      </c>
      <c r="D53" s="69" t="s">
        <v>8</v>
      </c>
      <c r="E53" s="69" t="s">
        <v>44</v>
      </c>
      <c r="F53" s="75" t="s">
        <v>27</v>
      </c>
      <c r="G53" s="70" t="s">
        <v>6</v>
      </c>
      <c r="H53" s="42">
        <v>9.33</v>
      </c>
      <c r="I53" s="42" t="s">
        <v>75</v>
      </c>
      <c r="J53" s="70">
        <f>H53-20.8</f>
        <v>-11.47</v>
      </c>
      <c r="K53" s="42">
        <f>H53+20.8</f>
        <v>30.130000000000003</v>
      </c>
      <c r="L53" s="42" t="s">
        <v>69</v>
      </c>
      <c r="M53" s="42" t="s">
        <v>6</v>
      </c>
      <c r="N53" s="68" t="s">
        <v>52</v>
      </c>
      <c r="O53" s="68" t="s">
        <v>54</v>
      </c>
      <c r="P53" s="68" t="s">
        <v>132</v>
      </c>
      <c r="Q53" s="68">
        <v>24</v>
      </c>
      <c r="R53" s="68">
        <v>3</v>
      </c>
      <c r="S53" s="68" t="s">
        <v>133</v>
      </c>
      <c r="T53" s="42"/>
    </row>
    <row r="54" spans="1:20" ht="15" customHeight="1" x14ac:dyDescent="0.25">
      <c r="A54" s="69" t="s">
        <v>24</v>
      </c>
      <c r="B54" s="100" t="s">
        <v>261</v>
      </c>
      <c r="C54" t="s">
        <v>262</v>
      </c>
      <c r="D54" s="69" t="s">
        <v>8</v>
      </c>
      <c r="E54" s="69" t="s">
        <v>44</v>
      </c>
      <c r="F54" s="75" t="s">
        <v>27</v>
      </c>
      <c r="G54" s="70" t="s">
        <v>6</v>
      </c>
      <c r="H54" s="42">
        <v>13.7</v>
      </c>
      <c r="I54" s="42" t="s">
        <v>75</v>
      </c>
      <c r="J54" s="70">
        <f>H54-14.2</f>
        <v>-0.5</v>
      </c>
      <c r="K54" s="42">
        <f>H54+14.2</f>
        <v>27.9</v>
      </c>
      <c r="L54" s="42" t="s">
        <v>69</v>
      </c>
      <c r="M54" s="42" t="s">
        <v>6</v>
      </c>
      <c r="N54" s="68" t="s">
        <v>52</v>
      </c>
      <c r="O54" s="68" t="s">
        <v>54</v>
      </c>
      <c r="P54" s="68" t="s">
        <v>132</v>
      </c>
      <c r="Q54" s="68">
        <v>24</v>
      </c>
      <c r="R54" s="68">
        <v>3</v>
      </c>
      <c r="S54" s="68" t="s">
        <v>135</v>
      </c>
      <c r="T54" s="42"/>
    </row>
    <row r="55" spans="1:20" ht="15" customHeight="1" x14ac:dyDescent="0.25">
      <c r="A55" s="69" t="s">
        <v>24</v>
      </c>
      <c r="B55" s="100" t="s">
        <v>261</v>
      </c>
      <c r="C55" t="s">
        <v>262</v>
      </c>
      <c r="D55" s="69" t="s">
        <v>8</v>
      </c>
      <c r="E55" s="69" t="s">
        <v>44</v>
      </c>
      <c r="F55" s="75" t="s">
        <v>27</v>
      </c>
      <c r="G55" s="70" t="s">
        <v>6</v>
      </c>
      <c r="H55" s="42">
        <v>5.74</v>
      </c>
      <c r="I55" s="42" t="s">
        <v>75</v>
      </c>
      <c r="J55" s="70">
        <f>H55-4.59</f>
        <v>1.1500000000000004</v>
      </c>
      <c r="K55" s="42">
        <f>H55+4.59</f>
        <v>10.33</v>
      </c>
      <c r="L55" s="42" t="s">
        <v>69</v>
      </c>
      <c r="M55" s="42" t="s">
        <v>6</v>
      </c>
      <c r="N55" s="68" t="s">
        <v>52</v>
      </c>
      <c r="O55" s="68" t="s">
        <v>54</v>
      </c>
      <c r="P55" s="68" t="s">
        <v>132</v>
      </c>
      <c r="Q55" s="68">
        <v>24</v>
      </c>
      <c r="R55" s="68">
        <v>3</v>
      </c>
      <c r="S55" s="68" t="s">
        <v>134</v>
      </c>
      <c r="T55" s="42"/>
    </row>
    <row r="56" spans="1:20" ht="15" customHeight="1" x14ac:dyDescent="0.25">
      <c r="A56" s="69" t="s">
        <v>24</v>
      </c>
      <c r="B56" s="100" t="s">
        <v>261</v>
      </c>
      <c r="C56" t="s">
        <v>262</v>
      </c>
      <c r="D56" s="69" t="s">
        <v>8</v>
      </c>
      <c r="E56" s="69" t="s">
        <v>44</v>
      </c>
      <c r="F56" s="75" t="s">
        <v>27</v>
      </c>
      <c r="G56" s="70" t="s">
        <v>6</v>
      </c>
      <c r="H56" s="42">
        <v>7.98</v>
      </c>
      <c r="I56" s="42" t="s">
        <v>75</v>
      </c>
      <c r="J56" s="70">
        <f>H56-2.21</f>
        <v>5.7700000000000005</v>
      </c>
      <c r="K56" s="42">
        <f>H56+2.21</f>
        <v>10.190000000000001</v>
      </c>
      <c r="L56" s="42" t="s">
        <v>69</v>
      </c>
      <c r="M56" s="42" t="s">
        <v>6</v>
      </c>
      <c r="N56" s="68" t="s">
        <v>52</v>
      </c>
      <c r="O56" s="68" t="s">
        <v>57</v>
      </c>
      <c r="P56" s="68" t="s">
        <v>132</v>
      </c>
      <c r="Q56" s="68">
        <v>24</v>
      </c>
      <c r="R56" s="68">
        <v>3</v>
      </c>
      <c r="S56" s="68" t="s">
        <v>133</v>
      </c>
      <c r="T56" s="42"/>
    </row>
    <row r="57" spans="1:20" ht="15" customHeight="1" x14ac:dyDescent="0.25">
      <c r="A57" s="69" t="s">
        <v>29</v>
      </c>
      <c r="B57" s="100" t="s">
        <v>221</v>
      </c>
      <c r="C57" t="s">
        <v>222</v>
      </c>
      <c r="D57" s="69" t="s">
        <v>4</v>
      </c>
      <c r="E57" s="69" t="s">
        <v>44</v>
      </c>
      <c r="F57" s="75" t="s">
        <v>30</v>
      </c>
      <c r="G57" s="70" t="s">
        <v>6</v>
      </c>
      <c r="H57" s="42">
        <v>5.17</v>
      </c>
      <c r="I57" s="42" t="s">
        <v>75</v>
      </c>
      <c r="J57" s="70">
        <f>H57-0.32</f>
        <v>4.8499999999999996</v>
      </c>
      <c r="K57" s="42">
        <f>H57+0.32</f>
        <v>5.49</v>
      </c>
      <c r="L57" s="42" t="s">
        <v>69</v>
      </c>
      <c r="M57" s="42" t="s">
        <v>6</v>
      </c>
      <c r="N57" s="68" t="s">
        <v>52</v>
      </c>
      <c r="O57" s="68" t="s">
        <v>57</v>
      </c>
      <c r="P57" s="68" t="s">
        <v>132</v>
      </c>
      <c r="Q57" s="68">
        <v>24</v>
      </c>
      <c r="R57" s="68">
        <v>3</v>
      </c>
      <c r="S57" s="68" t="s">
        <v>133</v>
      </c>
      <c r="T57" s="42"/>
    </row>
    <row r="58" spans="1:20" ht="15" customHeight="1" x14ac:dyDescent="0.25">
      <c r="A58" s="69" t="s">
        <v>29</v>
      </c>
      <c r="B58" s="100" t="s">
        <v>221</v>
      </c>
      <c r="C58" t="s">
        <v>222</v>
      </c>
      <c r="D58" s="69" t="s">
        <v>4</v>
      </c>
      <c r="E58" s="69" t="s">
        <v>44</v>
      </c>
      <c r="F58" s="75" t="s">
        <v>30</v>
      </c>
      <c r="G58" s="70" t="s">
        <v>6</v>
      </c>
      <c r="H58" s="42">
        <v>17.899999999999999</v>
      </c>
      <c r="I58" s="42" t="s">
        <v>75</v>
      </c>
      <c r="J58" s="70">
        <f>H58-2.7</f>
        <v>15.2</v>
      </c>
      <c r="K58" s="42">
        <f>H58+2.7</f>
        <v>20.599999999999998</v>
      </c>
      <c r="L58" s="42" t="s">
        <v>69</v>
      </c>
      <c r="M58" s="42" t="s">
        <v>6</v>
      </c>
      <c r="N58" s="68" t="s">
        <v>52</v>
      </c>
      <c r="O58" s="68" t="s">
        <v>54</v>
      </c>
      <c r="P58" s="68" t="s">
        <v>132</v>
      </c>
      <c r="Q58" s="68">
        <v>24</v>
      </c>
      <c r="R58" s="68">
        <v>3</v>
      </c>
      <c r="S58" s="68" t="s">
        <v>135</v>
      </c>
      <c r="T58" s="42"/>
    </row>
    <row r="59" spans="1:20" ht="15" customHeight="1" x14ac:dyDescent="0.25">
      <c r="A59" s="69" t="s">
        <v>29</v>
      </c>
      <c r="B59" s="100" t="s">
        <v>221</v>
      </c>
      <c r="C59" t="s">
        <v>222</v>
      </c>
      <c r="D59" s="69" t="s">
        <v>4</v>
      </c>
      <c r="E59" s="69" t="s">
        <v>44</v>
      </c>
      <c r="F59" s="75" t="s">
        <v>30</v>
      </c>
      <c r="G59" s="70" t="s">
        <v>6</v>
      </c>
      <c r="H59" s="42">
        <v>43.7</v>
      </c>
      <c r="I59" s="42" t="s">
        <v>75</v>
      </c>
      <c r="J59" s="70">
        <f>H59-27.2</f>
        <v>16.500000000000004</v>
      </c>
      <c r="K59" s="42">
        <f>H59+27.2</f>
        <v>70.900000000000006</v>
      </c>
      <c r="L59" s="42" t="s">
        <v>69</v>
      </c>
      <c r="M59" s="42" t="s">
        <v>6</v>
      </c>
      <c r="N59" s="68" t="s">
        <v>52</v>
      </c>
      <c r="O59" s="68" t="s">
        <v>54</v>
      </c>
      <c r="P59" s="68" t="s">
        <v>132</v>
      </c>
      <c r="Q59" s="68">
        <v>24</v>
      </c>
      <c r="R59" s="68">
        <v>3</v>
      </c>
      <c r="S59" s="68" t="s">
        <v>134</v>
      </c>
      <c r="T59" s="42"/>
    </row>
    <row r="60" spans="1:20" ht="15" customHeight="1" x14ac:dyDescent="0.25">
      <c r="A60" s="69" t="s">
        <v>29</v>
      </c>
      <c r="B60" s="100" t="s">
        <v>221</v>
      </c>
      <c r="C60" t="s">
        <v>222</v>
      </c>
      <c r="D60" s="69" t="s">
        <v>4</v>
      </c>
      <c r="E60" s="69" t="s">
        <v>44</v>
      </c>
      <c r="F60" s="75" t="s">
        <v>30</v>
      </c>
      <c r="G60" s="70" t="s">
        <v>6</v>
      </c>
      <c r="H60" s="42">
        <v>29.4</v>
      </c>
      <c r="I60" s="42" t="s">
        <v>75</v>
      </c>
      <c r="J60" s="70">
        <f>H60-9</f>
        <v>20.399999999999999</v>
      </c>
      <c r="K60" s="42">
        <f>H60+9</f>
        <v>38.4</v>
      </c>
      <c r="L60" s="42" t="s">
        <v>69</v>
      </c>
      <c r="M60" s="42" t="s">
        <v>6</v>
      </c>
      <c r="N60" s="68" t="s">
        <v>52</v>
      </c>
      <c r="O60" s="68" t="s">
        <v>54</v>
      </c>
      <c r="P60" s="68" t="s">
        <v>132</v>
      </c>
      <c r="Q60" s="68">
        <v>24</v>
      </c>
      <c r="R60" s="68">
        <v>3</v>
      </c>
      <c r="S60" s="68" t="s">
        <v>133</v>
      </c>
      <c r="T60" s="42"/>
    </row>
    <row r="61" spans="1:20" ht="15" customHeight="1" x14ac:dyDescent="0.25">
      <c r="A61" s="69" t="s">
        <v>29</v>
      </c>
      <c r="B61" s="100" t="s">
        <v>221</v>
      </c>
      <c r="C61" t="s">
        <v>222</v>
      </c>
      <c r="D61" s="69" t="s">
        <v>8</v>
      </c>
      <c r="E61" s="69" t="s">
        <v>44</v>
      </c>
      <c r="F61" s="75" t="s">
        <v>30</v>
      </c>
      <c r="G61" s="70" t="s">
        <v>6</v>
      </c>
      <c r="H61" s="42">
        <v>215</v>
      </c>
      <c r="I61" s="42" t="s">
        <v>75</v>
      </c>
      <c r="J61" s="70">
        <f>H61-10</f>
        <v>205</v>
      </c>
      <c r="K61" s="42">
        <f>H61+10</f>
        <v>225</v>
      </c>
      <c r="L61" s="42" t="s">
        <v>69</v>
      </c>
      <c r="M61" s="42" t="s">
        <v>6</v>
      </c>
      <c r="N61" s="68" t="s">
        <v>60</v>
      </c>
      <c r="O61" s="68" t="s">
        <v>54</v>
      </c>
      <c r="P61" s="68" t="s">
        <v>132</v>
      </c>
      <c r="Q61" s="68">
        <v>24</v>
      </c>
      <c r="R61" s="68">
        <v>3</v>
      </c>
      <c r="S61" s="68" t="s">
        <v>137</v>
      </c>
      <c r="T61" s="42"/>
    </row>
    <row r="62" spans="1:20" ht="15" customHeight="1" x14ac:dyDescent="0.25">
      <c r="A62" s="69" t="s">
        <v>29</v>
      </c>
      <c r="B62" s="100" t="s">
        <v>221</v>
      </c>
      <c r="C62" t="s">
        <v>222</v>
      </c>
      <c r="D62" s="69" t="s">
        <v>8</v>
      </c>
      <c r="E62" s="69" t="s">
        <v>44</v>
      </c>
      <c r="F62" s="75" t="s">
        <v>32</v>
      </c>
      <c r="G62" s="70" t="s">
        <v>7</v>
      </c>
      <c r="H62" s="42">
        <v>246</v>
      </c>
      <c r="I62" s="42" t="s">
        <v>75</v>
      </c>
      <c r="J62" s="70">
        <f>H62-28</f>
        <v>218</v>
      </c>
      <c r="K62" s="42">
        <f>H62+28</f>
        <v>274</v>
      </c>
      <c r="L62" s="42" t="s">
        <v>69</v>
      </c>
      <c r="M62" s="42" t="s">
        <v>6</v>
      </c>
      <c r="N62" s="68" t="s">
        <v>52</v>
      </c>
      <c r="O62" s="68" t="s">
        <v>57</v>
      </c>
      <c r="P62" s="68" t="s">
        <v>132</v>
      </c>
      <c r="Q62" s="68">
        <v>24</v>
      </c>
      <c r="R62" s="68">
        <v>3</v>
      </c>
      <c r="S62" s="68" t="s">
        <v>133</v>
      </c>
      <c r="T62" s="42"/>
    </row>
    <row r="63" spans="1:20" ht="15" customHeight="1" x14ac:dyDescent="0.25">
      <c r="A63" s="69" t="s">
        <v>29</v>
      </c>
      <c r="B63" s="100" t="s">
        <v>221</v>
      </c>
      <c r="C63" t="s">
        <v>222</v>
      </c>
      <c r="D63" s="69" t="s">
        <v>8</v>
      </c>
      <c r="E63" s="69" t="s">
        <v>44</v>
      </c>
      <c r="F63" s="75" t="s">
        <v>30</v>
      </c>
      <c r="G63" s="70" t="s">
        <v>6</v>
      </c>
      <c r="H63" s="42">
        <v>258</v>
      </c>
      <c r="I63" s="42" t="s">
        <v>75</v>
      </c>
      <c r="J63" s="70">
        <f>H63-12</f>
        <v>246</v>
      </c>
      <c r="K63" s="42">
        <f>H63+12</f>
        <v>270</v>
      </c>
      <c r="L63" s="42" t="s">
        <v>69</v>
      </c>
      <c r="M63" s="42" t="s">
        <v>6</v>
      </c>
      <c r="N63" s="68" t="s">
        <v>60</v>
      </c>
      <c r="O63" s="68" t="s">
        <v>54</v>
      </c>
      <c r="P63" s="68" t="s">
        <v>132</v>
      </c>
      <c r="Q63" s="68">
        <v>24</v>
      </c>
      <c r="R63" s="68">
        <v>3</v>
      </c>
      <c r="S63" s="68" t="s">
        <v>138</v>
      </c>
      <c r="T63" s="42"/>
    </row>
    <row r="64" spans="1:20" ht="15" customHeight="1" x14ac:dyDescent="0.25">
      <c r="A64" s="69" t="s">
        <v>29</v>
      </c>
      <c r="B64" s="100" t="s">
        <v>221</v>
      </c>
      <c r="C64" t="s">
        <v>222</v>
      </c>
      <c r="D64" s="69" t="s">
        <v>8</v>
      </c>
      <c r="E64" s="69" t="s">
        <v>44</v>
      </c>
      <c r="F64" s="75" t="s">
        <v>30</v>
      </c>
      <c r="G64" s="70" t="s">
        <v>6</v>
      </c>
      <c r="H64" s="42">
        <v>300</v>
      </c>
      <c r="I64" s="42" t="s">
        <v>75</v>
      </c>
      <c r="J64" s="70">
        <f>H64-17</f>
        <v>283</v>
      </c>
      <c r="K64" s="42">
        <f>H64+17</f>
        <v>317</v>
      </c>
      <c r="L64" s="42" t="s">
        <v>69</v>
      </c>
      <c r="M64" s="42" t="s">
        <v>6</v>
      </c>
      <c r="N64" s="68" t="s">
        <v>60</v>
      </c>
      <c r="O64" s="68" t="s">
        <v>54</v>
      </c>
      <c r="P64" s="68" t="s">
        <v>132</v>
      </c>
      <c r="Q64" s="68">
        <v>24</v>
      </c>
      <c r="R64" s="68">
        <v>3</v>
      </c>
      <c r="S64" s="68" t="s">
        <v>136</v>
      </c>
      <c r="T64" s="42"/>
    </row>
    <row r="65" spans="1:20" s="3" customFormat="1" ht="15" customHeight="1" x14ac:dyDescent="0.25">
      <c r="A65" s="71" t="s">
        <v>24</v>
      </c>
      <c r="B65" s="100" t="s">
        <v>261</v>
      </c>
      <c r="C65" t="s">
        <v>262</v>
      </c>
      <c r="D65" s="71" t="s">
        <v>4</v>
      </c>
      <c r="E65" s="71" t="s">
        <v>44</v>
      </c>
      <c r="F65" s="73" t="s">
        <v>25</v>
      </c>
      <c r="G65" s="72" t="s">
        <v>6</v>
      </c>
      <c r="H65" s="68">
        <v>0.7</v>
      </c>
      <c r="I65" s="68" t="s">
        <v>75</v>
      </c>
      <c r="J65" s="68">
        <f>H65-0.3</f>
        <v>0.39999999999999997</v>
      </c>
      <c r="K65" s="68">
        <f>H65+0.3</f>
        <v>1</v>
      </c>
      <c r="L65" s="72" t="s">
        <v>95</v>
      </c>
      <c r="M65" s="68" t="s">
        <v>7</v>
      </c>
      <c r="N65" s="68" t="s">
        <v>52</v>
      </c>
      <c r="O65" s="68" t="s">
        <v>54</v>
      </c>
      <c r="P65" s="68" t="s">
        <v>130</v>
      </c>
      <c r="Q65" s="68">
        <v>23</v>
      </c>
      <c r="R65" s="68">
        <v>4</v>
      </c>
      <c r="S65" s="68" t="s">
        <v>131</v>
      </c>
      <c r="T65" s="68" t="s">
        <v>180</v>
      </c>
    </row>
    <row r="66" spans="1:20" s="3" customFormat="1" ht="15" customHeight="1" x14ac:dyDescent="0.25">
      <c r="A66" s="71" t="s">
        <v>24</v>
      </c>
      <c r="B66" s="100" t="s">
        <v>261</v>
      </c>
      <c r="C66" t="s">
        <v>262</v>
      </c>
      <c r="D66" s="71" t="s">
        <v>4</v>
      </c>
      <c r="E66" s="71" t="s">
        <v>44</v>
      </c>
      <c r="F66" s="73" t="s">
        <v>25</v>
      </c>
      <c r="G66" s="72" t="s">
        <v>6</v>
      </c>
      <c r="H66" s="68">
        <v>0.5</v>
      </c>
      <c r="I66" s="68" t="s">
        <v>75</v>
      </c>
      <c r="J66" s="68">
        <f>H66-0.1</f>
        <v>0.4</v>
      </c>
      <c r="K66" s="68">
        <f>H66+0.1</f>
        <v>0.6</v>
      </c>
      <c r="L66" s="72" t="s">
        <v>95</v>
      </c>
      <c r="M66" s="68" t="s">
        <v>7</v>
      </c>
      <c r="N66" s="68" t="s">
        <v>52</v>
      </c>
      <c r="O66" s="68" t="s">
        <v>54</v>
      </c>
      <c r="P66" s="68" t="s">
        <v>130</v>
      </c>
      <c r="Q66" s="68">
        <v>23</v>
      </c>
      <c r="R66" s="68">
        <v>4</v>
      </c>
      <c r="S66" s="68" t="s">
        <v>108</v>
      </c>
      <c r="T66" s="68" t="s">
        <v>180</v>
      </c>
    </row>
    <row r="67" spans="1:20" s="3" customFormat="1" ht="15" customHeight="1" x14ac:dyDescent="0.25">
      <c r="A67" s="71" t="s">
        <v>24</v>
      </c>
      <c r="B67" s="100" t="s">
        <v>261</v>
      </c>
      <c r="C67" t="s">
        <v>262</v>
      </c>
      <c r="D67" s="71" t="s">
        <v>8</v>
      </c>
      <c r="E67" s="71" t="s">
        <v>44</v>
      </c>
      <c r="F67" s="73" t="s">
        <v>27</v>
      </c>
      <c r="G67" s="72" t="s">
        <v>6</v>
      </c>
      <c r="H67" s="68">
        <v>1.7</v>
      </c>
      <c r="I67" s="68" t="s">
        <v>75</v>
      </c>
      <c r="J67" s="68">
        <f>H67-0.6</f>
        <v>1.1000000000000001</v>
      </c>
      <c r="K67" s="68">
        <f>H67+0.6</f>
        <v>2.2999999999999998</v>
      </c>
      <c r="L67" s="72" t="s">
        <v>95</v>
      </c>
      <c r="M67" s="68" t="s">
        <v>7</v>
      </c>
      <c r="N67" s="68" t="s">
        <v>52</v>
      </c>
      <c r="O67" s="68" t="s">
        <v>54</v>
      </c>
      <c r="P67" s="68" t="s">
        <v>130</v>
      </c>
      <c r="Q67" s="68">
        <v>23</v>
      </c>
      <c r="R67" s="68">
        <v>4</v>
      </c>
      <c r="S67" s="68" t="s">
        <v>108</v>
      </c>
      <c r="T67" s="68" t="s">
        <v>180</v>
      </c>
    </row>
    <row r="68" spans="1:20" s="3" customFormat="1" ht="15" customHeight="1" x14ac:dyDescent="0.25">
      <c r="A68" s="71" t="s">
        <v>24</v>
      </c>
      <c r="B68" s="100" t="s">
        <v>261</v>
      </c>
      <c r="C68" t="s">
        <v>262</v>
      </c>
      <c r="D68" s="71" t="s">
        <v>8</v>
      </c>
      <c r="E68" s="71" t="s">
        <v>44</v>
      </c>
      <c r="F68" s="73" t="s">
        <v>27</v>
      </c>
      <c r="G68" s="72" t="s">
        <v>6</v>
      </c>
      <c r="H68" s="68">
        <v>1.5</v>
      </c>
      <c r="I68" s="68" t="s">
        <v>75</v>
      </c>
      <c r="J68" s="68">
        <f>H68-0.2</f>
        <v>1.3</v>
      </c>
      <c r="K68" s="68">
        <f>H68+0.2</f>
        <v>1.7</v>
      </c>
      <c r="L68" s="72" t="s">
        <v>95</v>
      </c>
      <c r="M68" s="68" t="s">
        <v>7</v>
      </c>
      <c r="N68" s="68" t="s">
        <v>52</v>
      </c>
      <c r="O68" s="68" t="s">
        <v>54</v>
      </c>
      <c r="P68" s="68" t="s">
        <v>130</v>
      </c>
      <c r="Q68" s="68">
        <v>23</v>
      </c>
      <c r="R68" s="68">
        <v>4</v>
      </c>
      <c r="S68" s="68" t="s">
        <v>131</v>
      </c>
      <c r="T68" s="68" t="s">
        <v>180</v>
      </c>
    </row>
    <row r="69" spans="1:20" s="3" customFormat="1" ht="15.75" customHeight="1" x14ac:dyDescent="0.25">
      <c r="A69" s="71" t="s">
        <v>43</v>
      </c>
      <c r="B69" s="100" t="s">
        <v>253</v>
      </c>
      <c r="C69" t="s">
        <v>394</v>
      </c>
      <c r="D69" s="71" t="s">
        <v>4</v>
      </c>
      <c r="E69" s="71" t="s">
        <v>46</v>
      </c>
      <c r="F69" s="68">
        <v>3.3</v>
      </c>
      <c r="G69" s="68" t="s">
        <v>7</v>
      </c>
      <c r="H69" s="68">
        <v>79.599999999999994</v>
      </c>
      <c r="I69" s="68" t="s">
        <v>75</v>
      </c>
      <c r="J69" s="68"/>
      <c r="K69" s="68"/>
      <c r="L69" s="68"/>
      <c r="M69" s="68" t="s">
        <v>6</v>
      </c>
      <c r="N69" s="68" t="s">
        <v>52</v>
      </c>
      <c r="O69" s="68" t="s">
        <v>57</v>
      </c>
      <c r="P69" s="68" t="s">
        <v>164</v>
      </c>
      <c r="Q69" s="68">
        <v>22</v>
      </c>
      <c r="R69" s="68">
        <v>3</v>
      </c>
      <c r="S69" s="68" t="s">
        <v>173</v>
      </c>
      <c r="T69" s="68"/>
    </row>
    <row r="70" spans="1:20" s="3" customFormat="1" ht="15" customHeight="1" x14ac:dyDescent="0.25">
      <c r="A70" s="71" t="s">
        <v>43</v>
      </c>
      <c r="B70" s="100" t="s">
        <v>253</v>
      </c>
      <c r="C70" t="s">
        <v>394</v>
      </c>
      <c r="D70" s="71" t="s">
        <v>8</v>
      </c>
      <c r="E70" s="71" t="s">
        <v>46</v>
      </c>
      <c r="F70" s="68">
        <v>2.7</v>
      </c>
      <c r="G70" s="68" t="s">
        <v>7</v>
      </c>
      <c r="H70" s="68">
        <v>64.099999999999994</v>
      </c>
      <c r="I70" s="68" t="s">
        <v>75</v>
      </c>
      <c r="J70" s="68"/>
      <c r="K70" s="68"/>
      <c r="L70" s="68"/>
      <c r="M70" s="68" t="s">
        <v>6</v>
      </c>
      <c r="N70" s="68" t="s">
        <v>52</v>
      </c>
      <c r="O70" s="68" t="s">
        <v>57</v>
      </c>
      <c r="P70" s="68" t="s">
        <v>164</v>
      </c>
      <c r="Q70" s="68">
        <v>22</v>
      </c>
      <c r="R70" s="68">
        <v>3</v>
      </c>
      <c r="S70" s="68" t="s">
        <v>173</v>
      </c>
      <c r="T70" s="68"/>
    </row>
    <row r="71" spans="1:20" s="3" customFormat="1" ht="15" customHeight="1" x14ac:dyDescent="0.25">
      <c r="A71" s="71" t="s">
        <v>43</v>
      </c>
      <c r="B71" s="100" t="s">
        <v>253</v>
      </c>
      <c r="C71" t="s">
        <v>394</v>
      </c>
      <c r="D71" s="71" t="s">
        <v>4</v>
      </c>
      <c r="E71" s="71" t="s">
        <v>45</v>
      </c>
      <c r="F71" s="72">
        <v>1</v>
      </c>
      <c r="G71" s="68" t="s">
        <v>7</v>
      </c>
      <c r="H71" s="68">
        <v>24.2</v>
      </c>
      <c r="I71" s="68" t="s">
        <v>75</v>
      </c>
      <c r="J71" s="68"/>
      <c r="K71" s="68"/>
      <c r="L71" s="68"/>
      <c r="M71" s="68" t="s">
        <v>6</v>
      </c>
      <c r="N71" s="68" t="s">
        <v>52</v>
      </c>
      <c r="O71" s="68" t="s">
        <v>54</v>
      </c>
      <c r="P71" s="68" t="s">
        <v>164</v>
      </c>
      <c r="Q71" s="68">
        <v>22</v>
      </c>
      <c r="R71" s="68">
        <v>3</v>
      </c>
      <c r="S71" s="68" t="s">
        <v>173</v>
      </c>
      <c r="T71" s="68"/>
    </row>
    <row r="72" spans="1:20" s="3" customFormat="1" ht="15" customHeight="1" x14ac:dyDescent="0.25">
      <c r="A72" s="71" t="s">
        <v>43</v>
      </c>
      <c r="B72" s="100" t="s">
        <v>253</v>
      </c>
      <c r="C72" t="s">
        <v>394</v>
      </c>
      <c r="D72" s="71" t="s">
        <v>8</v>
      </c>
      <c r="E72" s="71" t="s">
        <v>45</v>
      </c>
      <c r="F72" s="72">
        <v>1.5</v>
      </c>
      <c r="G72" s="68" t="s">
        <v>7</v>
      </c>
      <c r="H72" s="68">
        <v>36.9</v>
      </c>
      <c r="I72" s="68" t="s">
        <v>75</v>
      </c>
      <c r="J72" s="68"/>
      <c r="K72" s="68"/>
      <c r="L72" s="68"/>
      <c r="M72" s="68" t="s">
        <v>6</v>
      </c>
      <c r="N72" s="68" t="s">
        <v>52</v>
      </c>
      <c r="O72" s="68" t="s">
        <v>54</v>
      </c>
      <c r="P72" s="68" t="s">
        <v>164</v>
      </c>
      <c r="Q72" s="68">
        <v>22</v>
      </c>
      <c r="R72" s="68">
        <v>3</v>
      </c>
      <c r="S72" s="68" t="s">
        <v>173</v>
      </c>
      <c r="T72" s="68"/>
    </row>
    <row r="73" spans="1:20" s="3" customFormat="1" ht="15" customHeight="1" x14ac:dyDescent="0.25">
      <c r="A73" s="71" t="s">
        <v>43</v>
      </c>
      <c r="B73" s="100" t="s">
        <v>253</v>
      </c>
      <c r="C73" t="s">
        <v>394</v>
      </c>
      <c r="D73" s="71" t="s">
        <v>4</v>
      </c>
      <c r="E73" s="71" t="s">
        <v>44</v>
      </c>
      <c r="F73" s="68">
        <v>2.8</v>
      </c>
      <c r="G73" s="72" t="s">
        <v>7</v>
      </c>
      <c r="H73" s="68">
        <v>22.6</v>
      </c>
      <c r="I73" s="68" t="s">
        <v>75</v>
      </c>
      <c r="J73" s="72"/>
      <c r="K73" s="68"/>
      <c r="L73" s="68"/>
      <c r="M73" s="68" t="s">
        <v>6</v>
      </c>
      <c r="N73" s="68" t="s">
        <v>52</v>
      </c>
      <c r="O73" s="68" t="s">
        <v>57</v>
      </c>
      <c r="P73" s="68" t="s">
        <v>164</v>
      </c>
      <c r="Q73" s="68">
        <v>22</v>
      </c>
      <c r="R73" s="68">
        <v>3</v>
      </c>
      <c r="S73" s="68" t="s">
        <v>173</v>
      </c>
      <c r="T73" s="68"/>
    </row>
    <row r="74" spans="1:20" s="3" customFormat="1" ht="15" customHeight="1" x14ac:dyDescent="0.25">
      <c r="A74" s="71" t="s">
        <v>43</v>
      </c>
      <c r="B74" s="100" t="s">
        <v>253</v>
      </c>
      <c r="C74" t="s">
        <v>394</v>
      </c>
      <c r="D74" s="71" t="s">
        <v>4</v>
      </c>
      <c r="E74" s="71" t="s">
        <v>44</v>
      </c>
      <c r="F74" s="68">
        <v>2.8</v>
      </c>
      <c r="G74" s="72" t="s">
        <v>7</v>
      </c>
      <c r="H74" s="68">
        <v>67.400000000000006</v>
      </c>
      <c r="I74" s="68" t="s">
        <v>75</v>
      </c>
      <c r="J74" s="68"/>
      <c r="K74" s="68"/>
      <c r="L74" s="68"/>
      <c r="M74" s="68" t="s">
        <v>6</v>
      </c>
      <c r="N74" s="68" t="s">
        <v>52</v>
      </c>
      <c r="O74" s="68" t="s">
        <v>54</v>
      </c>
      <c r="P74" s="68" t="s">
        <v>164</v>
      </c>
      <c r="Q74" s="68">
        <v>22</v>
      </c>
      <c r="R74" s="68">
        <v>3</v>
      </c>
      <c r="S74" s="68" t="s">
        <v>173</v>
      </c>
      <c r="T74" s="68"/>
    </row>
    <row r="75" spans="1:20" s="3" customFormat="1" ht="15" customHeight="1" x14ac:dyDescent="0.25">
      <c r="A75" s="71" t="s">
        <v>43</v>
      </c>
      <c r="B75" s="100" t="s">
        <v>253</v>
      </c>
      <c r="C75" t="s">
        <v>394</v>
      </c>
      <c r="D75" s="71" t="s">
        <v>8</v>
      </c>
      <c r="E75" s="71" t="s">
        <v>44</v>
      </c>
      <c r="F75" s="68">
        <v>3</v>
      </c>
      <c r="G75" s="72" t="s">
        <v>7</v>
      </c>
      <c r="H75" s="68">
        <v>89.1</v>
      </c>
      <c r="I75" s="68" t="s">
        <v>75</v>
      </c>
      <c r="J75" s="72"/>
      <c r="K75" s="68"/>
      <c r="L75" s="68"/>
      <c r="M75" s="68" t="s">
        <v>6</v>
      </c>
      <c r="N75" s="68" t="s">
        <v>52</v>
      </c>
      <c r="O75" s="68" t="s">
        <v>57</v>
      </c>
      <c r="P75" s="68" t="s">
        <v>164</v>
      </c>
      <c r="Q75" s="68">
        <v>22</v>
      </c>
      <c r="R75" s="68">
        <v>3</v>
      </c>
      <c r="S75" s="68" t="s">
        <v>173</v>
      </c>
      <c r="T75" s="68"/>
    </row>
    <row r="76" spans="1:20" s="3" customFormat="1" ht="15" customHeight="1" x14ac:dyDescent="0.25">
      <c r="A76" s="71" t="s">
        <v>43</v>
      </c>
      <c r="B76" s="100" t="s">
        <v>253</v>
      </c>
      <c r="C76" t="s">
        <v>394</v>
      </c>
      <c r="D76" s="71" t="s">
        <v>8</v>
      </c>
      <c r="E76" s="71" t="s">
        <v>44</v>
      </c>
      <c r="F76" s="68">
        <v>3</v>
      </c>
      <c r="G76" s="72" t="s">
        <v>7</v>
      </c>
      <c r="H76" s="68">
        <v>72.2</v>
      </c>
      <c r="I76" s="68" t="s">
        <v>75</v>
      </c>
      <c r="J76" s="68"/>
      <c r="K76" s="68"/>
      <c r="L76" s="68"/>
      <c r="M76" s="68" t="s">
        <v>6</v>
      </c>
      <c r="N76" s="68" t="s">
        <v>52</v>
      </c>
      <c r="O76" s="68" t="s">
        <v>54</v>
      </c>
      <c r="P76" s="68" t="s">
        <v>164</v>
      </c>
      <c r="Q76" s="68">
        <v>22</v>
      </c>
      <c r="R76" s="68">
        <v>3</v>
      </c>
      <c r="S76" s="68" t="s">
        <v>173</v>
      </c>
      <c r="T76" s="68"/>
    </row>
    <row r="77" spans="1:20" s="3" customFormat="1" ht="15" customHeight="1" x14ac:dyDescent="0.25">
      <c r="A77" s="69" t="s">
        <v>10</v>
      </c>
      <c r="B77" s="100" t="s">
        <v>202</v>
      </c>
      <c r="C77" t="s">
        <v>203</v>
      </c>
      <c r="D77" s="69" t="s">
        <v>4</v>
      </c>
      <c r="E77" s="69" t="s">
        <v>44</v>
      </c>
      <c r="F77" s="70">
        <v>1.8</v>
      </c>
      <c r="G77" s="70" t="s">
        <v>7</v>
      </c>
      <c r="H77" s="42">
        <v>1.56</v>
      </c>
      <c r="I77" s="42" t="s">
        <v>74</v>
      </c>
      <c r="J77" s="42">
        <f>H77-0.04</f>
        <v>1.52</v>
      </c>
      <c r="K77" s="42">
        <f>H77+0.04</f>
        <v>1.6</v>
      </c>
      <c r="L77" s="70" t="s">
        <v>69</v>
      </c>
      <c r="M77" s="42" t="s">
        <v>7</v>
      </c>
      <c r="N77" s="68" t="s">
        <v>52</v>
      </c>
      <c r="O77" s="68" t="s">
        <v>57</v>
      </c>
      <c r="P77" s="68" t="s">
        <v>101</v>
      </c>
      <c r="Q77" s="68">
        <v>21</v>
      </c>
      <c r="R77" s="68">
        <v>3</v>
      </c>
      <c r="S77" s="68" t="s">
        <v>107</v>
      </c>
      <c r="T77" s="42"/>
    </row>
    <row r="78" spans="1:20" s="3" customFormat="1" ht="15" customHeight="1" x14ac:dyDescent="0.25">
      <c r="A78" s="69" t="s">
        <v>10</v>
      </c>
      <c r="B78" s="100" t="s">
        <v>202</v>
      </c>
      <c r="C78" t="s">
        <v>203</v>
      </c>
      <c r="D78" s="69" t="s">
        <v>8</v>
      </c>
      <c r="E78" s="69" t="s">
        <v>44</v>
      </c>
      <c r="F78" s="70">
        <v>6.8</v>
      </c>
      <c r="G78" s="70" t="s">
        <v>7</v>
      </c>
      <c r="H78" s="42">
        <v>33.799999999999997</v>
      </c>
      <c r="I78" s="42" t="s">
        <v>74</v>
      </c>
      <c r="J78" s="42">
        <f>H78-6.4</f>
        <v>27.4</v>
      </c>
      <c r="K78" s="42">
        <f>H78+6.4</f>
        <v>40.199999999999996</v>
      </c>
      <c r="L78" s="70" t="s">
        <v>69</v>
      </c>
      <c r="M78" s="42" t="s">
        <v>7</v>
      </c>
      <c r="N78" s="68" t="s">
        <v>52</v>
      </c>
      <c r="O78" s="68" t="s">
        <v>57</v>
      </c>
      <c r="P78" s="68" t="s">
        <v>101</v>
      </c>
      <c r="Q78" s="68">
        <v>21</v>
      </c>
      <c r="R78" s="68">
        <v>3</v>
      </c>
      <c r="S78" s="68" t="s">
        <v>107</v>
      </c>
      <c r="T78" s="42"/>
    </row>
    <row r="79" spans="1:20" s="3" customFormat="1" ht="15" customHeight="1" x14ac:dyDescent="0.25">
      <c r="A79" s="69" t="s">
        <v>3</v>
      </c>
      <c r="B79" s="100" t="s">
        <v>193</v>
      </c>
      <c r="C79" t="s">
        <v>194</v>
      </c>
      <c r="D79" s="69" t="s">
        <v>4</v>
      </c>
      <c r="E79" s="69" t="s">
        <v>44</v>
      </c>
      <c r="F79" s="70" t="s">
        <v>5</v>
      </c>
      <c r="G79" s="70" t="s">
        <v>6</v>
      </c>
      <c r="H79" s="70">
        <v>0.95</v>
      </c>
      <c r="I79" s="70" t="s">
        <v>74</v>
      </c>
      <c r="J79" s="42">
        <f>H79-0.1</f>
        <v>0.85</v>
      </c>
      <c r="K79" s="42">
        <f>H79+0.1</f>
        <v>1.05</v>
      </c>
      <c r="L79" s="70" t="s">
        <v>69</v>
      </c>
      <c r="M79" s="42" t="s">
        <v>6</v>
      </c>
      <c r="N79" s="42" t="s">
        <v>52</v>
      </c>
      <c r="O79" s="68" t="s">
        <v>57</v>
      </c>
      <c r="P79" s="68" t="s">
        <v>157</v>
      </c>
      <c r="Q79" s="68">
        <v>20</v>
      </c>
      <c r="R79" s="68">
        <v>3</v>
      </c>
      <c r="S79" s="68" t="s">
        <v>104</v>
      </c>
      <c r="T79" s="42"/>
    </row>
    <row r="80" spans="1:20" s="3" customFormat="1" ht="15" customHeight="1" x14ac:dyDescent="0.25">
      <c r="A80" s="69" t="s">
        <v>3</v>
      </c>
      <c r="B80" s="100" t="s">
        <v>193</v>
      </c>
      <c r="C80" t="s">
        <v>194</v>
      </c>
      <c r="D80" s="69" t="s">
        <v>8</v>
      </c>
      <c r="E80" s="69" t="s">
        <v>44</v>
      </c>
      <c r="F80" s="70" t="s">
        <v>9</v>
      </c>
      <c r="G80" s="70" t="s">
        <v>6</v>
      </c>
      <c r="H80" s="42">
        <v>4.8899999999999997</v>
      </c>
      <c r="I80" s="70" t="s">
        <v>74</v>
      </c>
      <c r="J80" s="42">
        <f>H80-1.67</f>
        <v>3.2199999999999998</v>
      </c>
      <c r="K80" s="42">
        <f>H80+1.67</f>
        <v>6.56</v>
      </c>
      <c r="L80" s="70" t="s">
        <v>69</v>
      </c>
      <c r="M80" s="42" t="s">
        <v>6</v>
      </c>
      <c r="N80" s="68" t="s">
        <v>52</v>
      </c>
      <c r="O80" s="68" t="s">
        <v>54</v>
      </c>
      <c r="P80" s="68" t="s">
        <v>157</v>
      </c>
      <c r="Q80" s="68">
        <v>20</v>
      </c>
      <c r="R80" s="68">
        <v>3</v>
      </c>
      <c r="S80" s="68" t="s">
        <v>103</v>
      </c>
      <c r="T80" s="42"/>
    </row>
    <row r="81" spans="1:20" s="3" customFormat="1" ht="15" customHeight="1" x14ac:dyDescent="0.25">
      <c r="A81" s="69" t="s">
        <v>3</v>
      </c>
      <c r="B81" s="100" t="s">
        <v>193</v>
      </c>
      <c r="C81" t="s">
        <v>194</v>
      </c>
      <c r="D81" s="69" t="s">
        <v>8</v>
      </c>
      <c r="E81" s="69" t="s">
        <v>44</v>
      </c>
      <c r="F81" s="70" t="s">
        <v>5</v>
      </c>
      <c r="G81" s="70" t="s">
        <v>6</v>
      </c>
      <c r="H81" s="70">
        <v>4.22</v>
      </c>
      <c r="I81" s="70" t="s">
        <v>74</v>
      </c>
      <c r="J81" s="42">
        <f>H81-0.28</f>
        <v>3.9399999999999995</v>
      </c>
      <c r="K81" s="42">
        <f>H81+0.28</f>
        <v>4.5</v>
      </c>
      <c r="L81" s="70" t="s">
        <v>69</v>
      </c>
      <c r="M81" s="42" t="s">
        <v>6</v>
      </c>
      <c r="N81" s="42" t="s">
        <v>52</v>
      </c>
      <c r="O81" s="68" t="s">
        <v>57</v>
      </c>
      <c r="P81" s="68" t="s">
        <v>157</v>
      </c>
      <c r="Q81" s="68">
        <v>20</v>
      </c>
      <c r="R81" s="68">
        <v>3</v>
      </c>
      <c r="S81" s="68" t="s">
        <v>103</v>
      </c>
      <c r="T81" s="42"/>
    </row>
    <row r="82" spans="1:20" s="3" customFormat="1" ht="15" customHeight="1" x14ac:dyDescent="0.25">
      <c r="A82" s="69" t="s">
        <v>3</v>
      </c>
      <c r="B82" s="100" t="s">
        <v>193</v>
      </c>
      <c r="C82" t="s">
        <v>194</v>
      </c>
      <c r="D82" s="69" t="s">
        <v>8</v>
      </c>
      <c r="E82" s="69" t="s">
        <v>44</v>
      </c>
      <c r="F82" s="70" t="s">
        <v>9</v>
      </c>
      <c r="G82" s="70" t="s">
        <v>6</v>
      </c>
      <c r="H82" s="42">
        <v>5.25</v>
      </c>
      <c r="I82" s="70" t="s">
        <v>74</v>
      </c>
      <c r="J82" s="42">
        <f>H82-1.19</f>
        <v>4.0600000000000005</v>
      </c>
      <c r="K82" s="42">
        <f>H82+1.19</f>
        <v>6.4399999999999995</v>
      </c>
      <c r="L82" s="70" t="s">
        <v>69</v>
      </c>
      <c r="M82" s="42" t="s">
        <v>6</v>
      </c>
      <c r="N82" s="68" t="s">
        <v>52</v>
      </c>
      <c r="O82" s="68" t="s">
        <v>54</v>
      </c>
      <c r="P82" s="68" t="s">
        <v>157</v>
      </c>
      <c r="Q82" s="68">
        <v>20</v>
      </c>
      <c r="R82" s="68">
        <v>3</v>
      </c>
      <c r="S82" s="68" t="s">
        <v>106</v>
      </c>
      <c r="T82" s="42"/>
    </row>
    <row r="83" spans="1:20" s="3" customFormat="1" ht="15" customHeight="1" x14ac:dyDescent="0.25">
      <c r="A83" s="69" t="s">
        <v>3</v>
      </c>
      <c r="B83" s="100" t="s">
        <v>193</v>
      </c>
      <c r="C83" t="s">
        <v>194</v>
      </c>
      <c r="D83" s="69" t="s">
        <v>8</v>
      </c>
      <c r="E83" s="69" t="s">
        <v>44</v>
      </c>
      <c r="F83" s="70" t="s">
        <v>9</v>
      </c>
      <c r="G83" s="70" t="s">
        <v>6</v>
      </c>
      <c r="H83" s="42">
        <v>5.36</v>
      </c>
      <c r="I83" s="70" t="s">
        <v>74</v>
      </c>
      <c r="J83" s="42">
        <f>H83-1.24</f>
        <v>4.12</v>
      </c>
      <c r="K83" s="42">
        <f>H83+1.24</f>
        <v>6.6000000000000005</v>
      </c>
      <c r="L83" s="70" t="s">
        <v>69</v>
      </c>
      <c r="M83" s="42" t="s">
        <v>6</v>
      </c>
      <c r="N83" s="68" t="s">
        <v>52</v>
      </c>
      <c r="O83" s="68" t="s">
        <v>54</v>
      </c>
      <c r="P83" s="68" t="s">
        <v>157</v>
      </c>
      <c r="Q83" s="68">
        <v>20</v>
      </c>
      <c r="R83" s="68">
        <v>3</v>
      </c>
      <c r="S83" s="68" t="s">
        <v>105</v>
      </c>
      <c r="T83" s="42"/>
    </row>
    <row r="84" spans="1:20" s="3" customFormat="1" ht="15" customHeight="1" x14ac:dyDescent="0.25">
      <c r="A84" s="69" t="s">
        <v>15</v>
      </c>
      <c r="B84" s="100" t="s">
        <v>208</v>
      </c>
      <c r="C84" t="s">
        <v>209</v>
      </c>
      <c r="D84" s="69" t="s">
        <v>4</v>
      </c>
      <c r="E84" s="69" t="s">
        <v>44</v>
      </c>
      <c r="F84" s="70" t="s">
        <v>16</v>
      </c>
      <c r="G84" s="70" t="s">
        <v>7</v>
      </c>
      <c r="H84" s="42">
        <v>32.799999999999997</v>
      </c>
      <c r="I84" s="42" t="s">
        <v>74</v>
      </c>
      <c r="J84" s="42">
        <f>H84-3.7</f>
        <v>29.099999999999998</v>
      </c>
      <c r="K84" s="42">
        <f>H84+3.7</f>
        <v>36.5</v>
      </c>
      <c r="L84" s="70" t="s">
        <v>69</v>
      </c>
      <c r="M84" s="42" t="s">
        <v>7</v>
      </c>
      <c r="N84" s="68" t="s">
        <v>52</v>
      </c>
      <c r="O84" s="68" t="s">
        <v>57</v>
      </c>
      <c r="P84" s="68" t="s">
        <v>157</v>
      </c>
      <c r="Q84" s="68">
        <v>20</v>
      </c>
      <c r="R84" s="68">
        <v>3</v>
      </c>
      <c r="S84" s="68" t="s">
        <v>108</v>
      </c>
      <c r="T84" s="42"/>
    </row>
    <row r="85" spans="1:20" s="3" customFormat="1" ht="15" customHeight="1" x14ac:dyDescent="0.25">
      <c r="A85" s="69" t="s">
        <v>15</v>
      </c>
      <c r="B85" s="100" t="s">
        <v>208</v>
      </c>
      <c r="C85" t="s">
        <v>209</v>
      </c>
      <c r="D85" s="69" t="s">
        <v>4</v>
      </c>
      <c r="E85" s="69" t="s">
        <v>44</v>
      </c>
      <c r="F85" s="70" t="s">
        <v>16</v>
      </c>
      <c r="G85" s="70" t="s">
        <v>7</v>
      </c>
      <c r="H85" s="42">
        <v>36</v>
      </c>
      <c r="I85" s="42" t="s">
        <v>74</v>
      </c>
      <c r="J85" s="42">
        <f>H85-4</f>
        <v>32</v>
      </c>
      <c r="K85" s="42">
        <f>H85+4</f>
        <v>40</v>
      </c>
      <c r="L85" s="70" t="s">
        <v>69</v>
      </c>
      <c r="M85" s="42" t="s">
        <v>7</v>
      </c>
      <c r="N85" s="68" t="s">
        <v>52</v>
      </c>
      <c r="O85" s="68" t="s">
        <v>54</v>
      </c>
      <c r="P85" s="68" t="s">
        <v>157</v>
      </c>
      <c r="Q85" s="68">
        <v>20</v>
      </c>
      <c r="R85" s="68">
        <v>3</v>
      </c>
      <c r="S85" s="68" t="s">
        <v>105</v>
      </c>
      <c r="T85" s="42"/>
    </row>
    <row r="86" spans="1:20" s="3" customFormat="1" ht="15" customHeight="1" x14ac:dyDescent="0.25">
      <c r="A86" s="69" t="s">
        <v>15</v>
      </c>
      <c r="B86" s="100" t="s">
        <v>208</v>
      </c>
      <c r="C86" t="s">
        <v>209</v>
      </c>
      <c r="D86" s="69" t="s">
        <v>4</v>
      </c>
      <c r="E86" s="69" t="s">
        <v>44</v>
      </c>
      <c r="F86" s="70" t="s">
        <v>16</v>
      </c>
      <c r="G86" s="70" t="s">
        <v>7</v>
      </c>
      <c r="H86" s="42">
        <v>40.700000000000003</v>
      </c>
      <c r="I86" s="42" t="s">
        <v>74</v>
      </c>
      <c r="J86" s="42">
        <f>H86-3.5</f>
        <v>37.200000000000003</v>
      </c>
      <c r="K86" s="42">
        <f>H86+3.5</f>
        <v>44.2</v>
      </c>
      <c r="L86" s="70" t="s">
        <v>69</v>
      </c>
      <c r="M86" s="42" t="s">
        <v>7</v>
      </c>
      <c r="N86" s="68" t="s">
        <v>52</v>
      </c>
      <c r="O86" s="68" t="s">
        <v>54</v>
      </c>
      <c r="P86" s="68" t="s">
        <v>157</v>
      </c>
      <c r="Q86" s="68">
        <v>20</v>
      </c>
      <c r="R86" s="68">
        <v>3</v>
      </c>
      <c r="S86" s="68" t="s">
        <v>108</v>
      </c>
      <c r="T86" s="42"/>
    </row>
    <row r="87" spans="1:20" s="3" customFormat="1" ht="15" customHeight="1" x14ac:dyDescent="0.25">
      <c r="A87" s="69" t="s">
        <v>15</v>
      </c>
      <c r="B87" s="100" t="s">
        <v>208</v>
      </c>
      <c r="C87" t="s">
        <v>209</v>
      </c>
      <c r="D87" s="69" t="s">
        <v>4</v>
      </c>
      <c r="E87" s="69" t="s">
        <v>44</v>
      </c>
      <c r="F87" s="70" t="s">
        <v>16</v>
      </c>
      <c r="G87" s="70" t="s">
        <v>7</v>
      </c>
      <c r="H87" s="42">
        <v>40</v>
      </c>
      <c r="I87" s="42" t="s">
        <v>74</v>
      </c>
      <c r="J87" s="42">
        <f>H87-2.5</f>
        <v>37.5</v>
      </c>
      <c r="K87" s="42">
        <f>H87+2.5</f>
        <v>42.5</v>
      </c>
      <c r="L87" s="70" t="s">
        <v>69</v>
      </c>
      <c r="M87" s="42" t="s">
        <v>7</v>
      </c>
      <c r="N87" s="68" t="s">
        <v>52</v>
      </c>
      <c r="O87" s="68" t="s">
        <v>54</v>
      </c>
      <c r="P87" s="68" t="s">
        <v>157</v>
      </c>
      <c r="Q87" s="68">
        <v>20</v>
      </c>
      <c r="R87" s="68">
        <v>3</v>
      </c>
      <c r="S87" s="68" t="s">
        <v>102</v>
      </c>
      <c r="T87" s="42"/>
    </row>
    <row r="88" spans="1:20" s="3" customFormat="1" ht="15" customHeight="1" x14ac:dyDescent="0.25">
      <c r="A88" s="69" t="s">
        <v>15</v>
      </c>
      <c r="B88" s="100" t="s">
        <v>208</v>
      </c>
      <c r="C88" t="s">
        <v>209</v>
      </c>
      <c r="D88" s="69" t="s">
        <v>8</v>
      </c>
      <c r="E88" s="69" t="s">
        <v>44</v>
      </c>
      <c r="F88" s="70" t="s">
        <v>19</v>
      </c>
      <c r="G88" s="70" t="s">
        <v>7</v>
      </c>
      <c r="H88" s="42">
        <v>33.4</v>
      </c>
      <c r="I88" s="42" t="s">
        <v>74</v>
      </c>
      <c r="J88" s="42">
        <f>H88-4.2</f>
        <v>29.2</v>
      </c>
      <c r="K88" s="42">
        <f>H88+4.2</f>
        <v>37.6</v>
      </c>
      <c r="L88" s="70" t="s">
        <v>69</v>
      </c>
      <c r="M88" s="42" t="s">
        <v>7</v>
      </c>
      <c r="N88" s="68" t="s">
        <v>52</v>
      </c>
      <c r="O88" s="68" t="s">
        <v>54</v>
      </c>
      <c r="P88" s="68" t="s">
        <v>157</v>
      </c>
      <c r="Q88" s="68">
        <v>20</v>
      </c>
      <c r="R88" s="68">
        <v>3</v>
      </c>
      <c r="S88" s="68" t="s">
        <v>102</v>
      </c>
      <c r="T88" s="42"/>
    </row>
    <row r="89" spans="1:20" s="3" customFormat="1" ht="15" customHeight="1" x14ac:dyDescent="0.25">
      <c r="A89" s="69" t="s">
        <v>15</v>
      </c>
      <c r="B89" s="100" t="s">
        <v>208</v>
      </c>
      <c r="C89" t="s">
        <v>209</v>
      </c>
      <c r="D89" s="69" t="s">
        <v>8</v>
      </c>
      <c r="E89" s="69" t="s">
        <v>44</v>
      </c>
      <c r="F89" s="70" t="s">
        <v>19</v>
      </c>
      <c r="G89" s="70" t="s">
        <v>7</v>
      </c>
      <c r="H89" s="42">
        <v>35.799999999999997</v>
      </c>
      <c r="I89" s="42" t="s">
        <v>74</v>
      </c>
      <c r="J89" s="42">
        <f>H89-4.2</f>
        <v>31.599999999999998</v>
      </c>
      <c r="K89" s="42">
        <f>H89+4.2</f>
        <v>40</v>
      </c>
      <c r="L89" s="70" t="s">
        <v>69</v>
      </c>
      <c r="M89" s="42" t="s">
        <v>7</v>
      </c>
      <c r="N89" s="68" t="s">
        <v>52</v>
      </c>
      <c r="O89" s="68" t="s">
        <v>54</v>
      </c>
      <c r="P89" s="68" t="s">
        <v>157</v>
      </c>
      <c r="Q89" s="68">
        <v>20</v>
      </c>
      <c r="R89" s="68">
        <v>3</v>
      </c>
      <c r="S89" s="68" t="s">
        <v>105</v>
      </c>
      <c r="T89" s="42"/>
    </row>
    <row r="90" spans="1:20" s="3" customFormat="1" ht="15" customHeight="1" x14ac:dyDescent="0.25">
      <c r="A90" s="69" t="s">
        <v>15</v>
      </c>
      <c r="B90" s="100" t="s">
        <v>208</v>
      </c>
      <c r="C90" t="s">
        <v>209</v>
      </c>
      <c r="D90" s="69" t="s">
        <v>8</v>
      </c>
      <c r="E90" s="69" t="s">
        <v>44</v>
      </c>
      <c r="F90" s="70" t="s">
        <v>19</v>
      </c>
      <c r="G90" s="70" t="s">
        <v>7</v>
      </c>
      <c r="H90" s="42">
        <v>40.5</v>
      </c>
      <c r="I90" s="42" t="s">
        <v>74</v>
      </c>
      <c r="J90" s="42">
        <f>H90-5.5</f>
        <v>35</v>
      </c>
      <c r="K90" s="42">
        <f>H90+5.5</f>
        <v>46</v>
      </c>
      <c r="L90" s="70" t="s">
        <v>69</v>
      </c>
      <c r="M90" s="42" t="s">
        <v>7</v>
      </c>
      <c r="N90" s="68" t="s">
        <v>52</v>
      </c>
      <c r="O90" s="68" t="s">
        <v>54</v>
      </c>
      <c r="P90" s="68" t="s">
        <v>157</v>
      </c>
      <c r="Q90" s="68">
        <v>20</v>
      </c>
      <c r="R90" s="68">
        <v>3</v>
      </c>
      <c r="S90" s="68" t="s">
        <v>108</v>
      </c>
      <c r="T90" s="42"/>
    </row>
    <row r="91" spans="1:20" s="3" customFormat="1" ht="15" customHeight="1" x14ac:dyDescent="0.25">
      <c r="A91" s="69" t="s">
        <v>15</v>
      </c>
      <c r="B91" s="100" t="s">
        <v>208</v>
      </c>
      <c r="C91" t="s">
        <v>209</v>
      </c>
      <c r="D91" s="69" t="s">
        <v>8</v>
      </c>
      <c r="E91" s="69" t="s">
        <v>44</v>
      </c>
      <c r="F91" s="70" t="s">
        <v>19</v>
      </c>
      <c r="G91" s="70" t="s">
        <v>7</v>
      </c>
      <c r="H91" s="42">
        <v>39.700000000000003</v>
      </c>
      <c r="I91" s="42" t="s">
        <v>74</v>
      </c>
      <c r="J91" s="42">
        <f>H91-4.4</f>
        <v>35.300000000000004</v>
      </c>
      <c r="K91" s="42">
        <f>H91+4.4</f>
        <v>44.1</v>
      </c>
      <c r="L91" s="70" t="s">
        <v>69</v>
      </c>
      <c r="M91" s="42" t="s">
        <v>7</v>
      </c>
      <c r="N91" s="68" t="s">
        <v>52</v>
      </c>
      <c r="O91" s="68" t="s">
        <v>57</v>
      </c>
      <c r="P91" s="68" t="s">
        <v>157</v>
      </c>
      <c r="Q91" s="68">
        <v>20</v>
      </c>
      <c r="R91" s="68">
        <v>3</v>
      </c>
      <c r="S91" s="68" t="s">
        <v>108</v>
      </c>
      <c r="T91" s="42"/>
    </row>
    <row r="92" spans="1:20" s="3" customFormat="1" ht="15" customHeight="1" x14ac:dyDescent="0.25">
      <c r="A92" s="77" t="s">
        <v>155</v>
      </c>
      <c r="B92" s="100" t="s">
        <v>390</v>
      </c>
      <c r="C92" t="s">
        <v>391</v>
      </c>
      <c r="D92" s="69" t="s">
        <v>4</v>
      </c>
      <c r="E92" s="69" t="s">
        <v>44</v>
      </c>
      <c r="F92" s="75"/>
      <c r="G92" s="70"/>
      <c r="H92" s="42">
        <v>9.48</v>
      </c>
      <c r="I92" s="42" t="s">
        <v>75</v>
      </c>
      <c r="J92" s="70">
        <f>H92-5.05</f>
        <v>4.4300000000000006</v>
      </c>
      <c r="K92" s="42">
        <f>H92+5.05</f>
        <v>14.530000000000001</v>
      </c>
      <c r="L92" s="42" t="s">
        <v>69</v>
      </c>
      <c r="M92" s="42" t="s">
        <v>6</v>
      </c>
      <c r="N92" s="68" t="s">
        <v>52</v>
      </c>
      <c r="O92" s="68" t="s">
        <v>54</v>
      </c>
      <c r="P92" s="68" t="s">
        <v>156</v>
      </c>
      <c r="Q92" s="68">
        <v>19</v>
      </c>
      <c r="R92" s="68">
        <v>3</v>
      </c>
      <c r="S92" s="68" t="s">
        <v>162</v>
      </c>
      <c r="T92" s="42"/>
    </row>
    <row r="93" spans="1:20" s="3" customFormat="1" ht="15" customHeight="1" x14ac:dyDescent="0.25">
      <c r="A93" s="77" t="s">
        <v>155</v>
      </c>
      <c r="B93" s="100" t="s">
        <v>390</v>
      </c>
      <c r="C93" t="s">
        <v>391</v>
      </c>
      <c r="D93" s="69" t="s">
        <v>4</v>
      </c>
      <c r="E93" s="69" t="s">
        <v>44</v>
      </c>
      <c r="F93" s="75"/>
      <c r="G93" s="70"/>
      <c r="H93" s="42">
        <v>5.4</v>
      </c>
      <c r="I93" s="42" t="s">
        <v>75</v>
      </c>
      <c r="J93" s="70">
        <f>H93-0.76</f>
        <v>4.6400000000000006</v>
      </c>
      <c r="K93" s="42">
        <f>H93+0.76</f>
        <v>6.16</v>
      </c>
      <c r="L93" s="42" t="s">
        <v>69</v>
      </c>
      <c r="M93" s="42" t="s">
        <v>6</v>
      </c>
      <c r="N93" s="68" t="s">
        <v>52</v>
      </c>
      <c r="O93" s="68" t="s">
        <v>54</v>
      </c>
      <c r="P93" s="68" t="s">
        <v>156</v>
      </c>
      <c r="Q93" s="68">
        <v>19</v>
      </c>
      <c r="R93" s="68">
        <v>3</v>
      </c>
      <c r="S93" s="68" t="s">
        <v>163</v>
      </c>
      <c r="T93" s="42"/>
    </row>
    <row r="94" spans="1:20" s="3" customFormat="1" ht="13.5" customHeight="1" x14ac:dyDescent="0.25">
      <c r="A94" s="77" t="s">
        <v>155</v>
      </c>
      <c r="B94" s="100" t="s">
        <v>390</v>
      </c>
      <c r="C94" t="s">
        <v>391</v>
      </c>
      <c r="D94" s="69" t="s">
        <v>4</v>
      </c>
      <c r="E94" s="69" t="s">
        <v>44</v>
      </c>
      <c r="F94" s="75"/>
      <c r="G94" s="70"/>
      <c r="H94" s="42">
        <v>7.52</v>
      </c>
      <c r="I94" s="42" t="s">
        <v>75</v>
      </c>
      <c r="J94" s="70">
        <f>H94-2.5</f>
        <v>5.0199999999999996</v>
      </c>
      <c r="K94" s="42">
        <f>H94+2.5</f>
        <v>10.02</v>
      </c>
      <c r="L94" s="42" t="s">
        <v>69</v>
      </c>
      <c r="M94" s="42" t="s">
        <v>6</v>
      </c>
      <c r="N94" s="68" t="s">
        <v>52</v>
      </c>
      <c r="O94" s="68" t="s">
        <v>54</v>
      </c>
      <c r="P94" s="68" t="s">
        <v>156</v>
      </c>
      <c r="Q94" s="68">
        <v>19</v>
      </c>
      <c r="R94" s="68">
        <v>3</v>
      </c>
      <c r="S94" s="68" t="s">
        <v>161</v>
      </c>
      <c r="T94" s="42"/>
    </row>
    <row r="95" spans="1:20" s="3" customFormat="1" ht="15" customHeight="1" x14ac:dyDescent="0.25">
      <c r="A95" s="77" t="s">
        <v>155</v>
      </c>
      <c r="B95" s="100" t="s">
        <v>390</v>
      </c>
      <c r="C95" t="s">
        <v>391</v>
      </c>
      <c r="D95" s="69" t="s">
        <v>4</v>
      </c>
      <c r="E95" s="69" t="s">
        <v>44</v>
      </c>
      <c r="F95" s="75"/>
      <c r="G95" s="70"/>
      <c r="H95" s="42">
        <v>7.33</v>
      </c>
      <c r="I95" s="42" t="s">
        <v>75</v>
      </c>
      <c r="J95" s="70">
        <f>H95-1.38</f>
        <v>5.95</v>
      </c>
      <c r="K95" s="42">
        <f>H95+1.38</f>
        <v>8.7100000000000009</v>
      </c>
      <c r="L95" s="42" t="s">
        <v>69</v>
      </c>
      <c r="M95" s="42" t="s">
        <v>6</v>
      </c>
      <c r="N95" s="68" t="s">
        <v>52</v>
      </c>
      <c r="O95" s="68" t="s">
        <v>57</v>
      </c>
      <c r="P95" s="68" t="s">
        <v>156</v>
      </c>
      <c r="Q95" s="68">
        <v>19</v>
      </c>
      <c r="R95" s="68">
        <v>3</v>
      </c>
      <c r="S95" s="68" t="s">
        <v>161</v>
      </c>
      <c r="T95" s="42"/>
    </row>
    <row r="96" spans="1:20" s="3" customFormat="1" ht="15" customHeight="1" x14ac:dyDescent="0.25">
      <c r="A96" s="77" t="s">
        <v>155</v>
      </c>
      <c r="B96" s="100" t="s">
        <v>390</v>
      </c>
      <c r="C96" t="s">
        <v>391</v>
      </c>
      <c r="D96" s="69" t="s">
        <v>8</v>
      </c>
      <c r="E96" s="69" t="s">
        <v>44</v>
      </c>
      <c r="F96" s="75"/>
      <c r="G96" s="70"/>
      <c r="H96" s="42">
        <v>13</v>
      </c>
      <c r="I96" s="42" t="s">
        <v>75</v>
      </c>
      <c r="J96" s="70">
        <f>H96-11.3</f>
        <v>1.6999999999999993</v>
      </c>
      <c r="K96" s="42">
        <f>H96+11.3</f>
        <v>24.3</v>
      </c>
      <c r="L96" s="42" t="s">
        <v>69</v>
      </c>
      <c r="M96" s="42" t="s">
        <v>6</v>
      </c>
      <c r="N96" s="68" t="s">
        <v>52</v>
      </c>
      <c r="O96" s="68" t="s">
        <v>54</v>
      </c>
      <c r="P96" s="68" t="s">
        <v>156</v>
      </c>
      <c r="Q96" s="68">
        <v>19</v>
      </c>
      <c r="R96" s="68">
        <v>3</v>
      </c>
      <c r="S96" s="68" t="s">
        <v>158</v>
      </c>
      <c r="T96" s="42"/>
    </row>
    <row r="97" spans="1:20" s="3" customFormat="1" ht="15" customHeight="1" x14ac:dyDescent="0.25">
      <c r="A97" s="77" t="s">
        <v>155</v>
      </c>
      <c r="B97" s="100" t="s">
        <v>390</v>
      </c>
      <c r="C97" t="s">
        <v>391</v>
      </c>
      <c r="D97" s="69" t="s">
        <v>8</v>
      </c>
      <c r="E97" s="69" t="s">
        <v>44</v>
      </c>
      <c r="F97" s="75"/>
      <c r="G97" s="70"/>
      <c r="H97" s="42">
        <v>5.16</v>
      </c>
      <c r="I97" s="42" t="s">
        <v>75</v>
      </c>
      <c r="J97" s="70">
        <f>H97-1.16</f>
        <v>4</v>
      </c>
      <c r="K97" s="42">
        <f>H97+1.16</f>
        <v>6.32</v>
      </c>
      <c r="L97" s="42" t="s">
        <v>69</v>
      </c>
      <c r="M97" s="42" t="s">
        <v>6</v>
      </c>
      <c r="N97" s="68" t="s">
        <v>52</v>
      </c>
      <c r="O97" s="68" t="s">
        <v>54</v>
      </c>
      <c r="P97" s="68" t="s">
        <v>156</v>
      </c>
      <c r="Q97" s="68">
        <v>19</v>
      </c>
      <c r="R97" s="68">
        <v>3</v>
      </c>
      <c r="S97" s="68" t="s">
        <v>159</v>
      </c>
      <c r="T97" s="42"/>
    </row>
    <row r="98" spans="1:20" s="3" customFormat="1" ht="15" customHeight="1" x14ac:dyDescent="0.25">
      <c r="A98" s="77" t="s">
        <v>155</v>
      </c>
      <c r="B98" s="100" t="s">
        <v>390</v>
      </c>
      <c r="C98" t="s">
        <v>391</v>
      </c>
      <c r="D98" s="69" t="s">
        <v>8</v>
      </c>
      <c r="E98" s="69" t="s">
        <v>44</v>
      </c>
      <c r="F98" s="75"/>
      <c r="G98" s="70"/>
      <c r="H98" s="42">
        <v>6.65</v>
      </c>
      <c r="I98" s="42" t="s">
        <v>75</v>
      </c>
      <c r="J98" s="70">
        <f>H98-1.2</f>
        <v>5.45</v>
      </c>
      <c r="K98" s="42">
        <f>H98+1.2</f>
        <v>7.8500000000000005</v>
      </c>
      <c r="L98" s="42" t="s">
        <v>69</v>
      </c>
      <c r="M98" s="42" t="s">
        <v>6</v>
      </c>
      <c r="N98" s="68" t="s">
        <v>52</v>
      </c>
      <c r="O98" s="68" t="s">
        <v>54</v>
      </c>
      <c r="P98" s="68" t="s">
        <v>156</v>
      </c>
      <c r="Q98" s="68">
        <v>19</v>
      </c>
      <c r="R98" s="68">
        <v>3</v>
      </c>
      <c r="S98" s="68" t="s">
        <v>160</v>
      </c>
      <c r="T98" s="42"/>
    </row>
    <row r="99" spans="1:20" ht="15" customHeight="1" x14ac:dyDescent="0.25">
      <c r="A99" s="77" t="s">
        <v>155</v>
      </c>
      <c r="B99" s="100" t="s">
        <v>390</v>
      </c>
      <c r="C99" t="s">
        <v>391</v>
      </c>
      <c r="D99" s="69" t="s">
        <v>8</v>
      </c>
      <c r="E99" s="69" t="s">
        <v>44</v>
      </c>
      <c r="F99" s="75"/>
      <c r="G99" s="70"/>
      <c r="H99" s="42">
        <v>6.62</v>
      </c>
      <c r="I99" s="42" t="s">
        <v>75</v>
      </c>
      <c r="J99" s="70">
        <f>H99-0.95</f>
        <v>5.67</v>
      </c>
      <c r="K99" s="42">
        <f>H99+0.95</f>
        <v>7.57</v>
      </c>
      <c r="L99" s="42" t="s">
        <v>69</v>
      </c>
      <c r="M99" s="42" t="s">
        <v>6</v>
      </c>
      <c r="N99" s="68" t="s">
        <v>52</v>
      </c>
      <c r="O99" s="68" t="s">
        <v>57</v>
      </c>
      <c r="P99" s="68" t="s">
        <v>156</v>
      </c>
      <c r="Q99" s="68">
        <v>19</v>
      </c>
      <c r="R99" s="68">
        <v>3</v>
      </c>
      <c r="S99" s="68" t="s">
        <v>158</v>
      </c>
      <c r="T99" s="42"/>
    </row>
    <row r="100" spans="1:20" ht="15" customHeight="1" x14ac:dyDescent="0.25">
      <c r="A100" s="71" t="s">
        <v>28</v>
      </c>
      <c r="B100" s="100" t="s">
        <v>199</v>
      </c>
      <c r="C100" t="s">
        <v>200</v>
      </c>
      <c r="D100" s="71" t="s">
        <v>4</v>
      </c>
      <c r="E100" s="71" t="s">
        <v>44</v>
      </c>
      <c r="F100" s="74">
        <v>1.2</v>
      </c>
      <c r="G100" s="72" t="s">
        <v>6</v>
      </c>
      <c r="H100" s="68">
        <v>2.1</v>
      </c>
      <c r="I100" s="68" t="s">
        <v>75</v>
      </c>
      <c r="J100" s="72"/>
      <c r="K100" s="68"/>
      <c r="L100" s="68"/>
      <c r="M100" s="68" t="s">
        <v>6</v>
      </c>
      <c r="N100" s="68" t="s">
        <v>60</v>
      </c>
      <c r="O100" s="68" t="s">
        <v>126</v>
      </c>
      <c r="P100" s="68" t="s">
        <v>125</v>
      </c>
      <c r="Q100" s="68">
        <v>18</v>
      </c>
      <c r="R100" s="68">
        <v>3</v>
      </c>
      <c r="S100" s="68" t="s">
        <v>143</v>
      </c>
      <c r="T100" s="68" t="s">
        <v>181</v>
      </c>
    </row>
    <row r="101" spans="1:20" ht="15" customHeight="1" x14ac:dyDescent="0.25">
      <c r="A101" s="71" t="s">
        <v>28</v>
      </c>
      <c r="B101" s="100" t="s">
        <v>199</v>
      </c>
      <c r="C101" t="s">
        <v>200</v>
      </c>
      <c r="D101" s="71" t="s">
        <v>4</v>
      </c>
      <c r="E101" s="71" t="s">
        <v>44</v>
      </c>
      <c r="F101" s="74">
        <v>1.2</v>
      </c>
      <c r="G101" s="72" t="s">
        <v>6</v>
      </c>
      <c r="H101" s="68">
        <v>1.2</v>
      </c>
      <c r="I101" s="68" t="s">
        <v>75</v>
      </c>
      <c r="J101" s="72"/>
      <c r="K101" s="68"/>
      <c r="L101" s="68"/>
      <c r="M101" s="68" t="s">
        <v>6</v>
      </c>
      <c r="N101" s="68" t="s">
        <v>60</v>
      </c>
      <c r="O101" s="68" t="s">
        <v>126</v>
      </c>
      <c r="P101" s="68" t="s">
        <v>125</v>
      </c>
      <c r="Q101" s="68">
        <v>18</v>
      </c>
      <c r="R101" s="68">
        <v>3</v>
      </c>
      <c r="S101" s="68" t="s">
        <v>144</v>
      </c>
      <c r="T101" s="68" t="s">
        <v>181</v>
      </c>
    </row>
    <row r="102" spans="1:20" s="3" customFormat="1" ht="15" customHeight="1" x14ac:dyDescent="0.25">
      <c r="A102" s="71" t="s">
        <v>28</v>
      </c>
      <c r="B102" s="100" t="s">
        <v>199</v>
      </c>
      <c r="C102" t="s">
        <v>200</v>
      </c>
      <c r="D102" s="71" t="s">
        <v>8</v>
      </c>
      <c r="E102" s="71" t="s">
        <v>44</v>
      </c>
      <c r="F102" s="74">
        <v>2.4</v>
      </c>
      <c r="G102" s="72" t="s">
        <v>6</v>
      </c>
      <c r="H102" s="68">
        <v>15.4</v>
      </c>
      <c r="I102" s="68" t="s">
        <v>75</v>
      </c>
      <c r="J102" s="72"/>
      <c r="K102" s="68"/>
      <c r="L102" s="68"/>
      <c r="M102" s="68" t="s">
        <v>6</v>
      </c>
      <c r="N102" s="68" t="s">
        <v>60</v>
      </c>
      <c r="O102" s="68" t="s">
        <v>126</v>
      </c>
      <c r="P102" s="68" t="s">
        <v>125</v>
      </c>
      <c r="Q102" s="68">
        <v>18</v>
      </c>
      <c r="R102" s="68">
        <v>3</v>
      </c>
      <c r="S102" s="68" t="s">
        <v>143</v>
      </c>
      <c r="T102" s="68" t="s">
        <v>181</v>
      </c>
    </row>
    <row r="103" spans="1:20" s="3" customFormat="1" ht="15" customHeight="1" x14ac:dyDescent="0.25">
      <c r="A103" s="71" t="s">
        <v>28</v>
      </c>
      <c r="B103" s="100" t="s">
        <v>199</v>
      </c>
      <c r="C103" t="s">
        <v>200</v>
      </c>
      <c r="D103" s="71" t="s">
        <v>8</v>
      </c>
      <c r="E103" s="71" t="s">
        <v>44</v>
      </c>
      <c r="F103" s="74">
        <v>2.4</v>
      </c>
      <c r="G103" s="72" t="s">
        <v>6</v>
      </c>
      <c r="H103" s="68">
        <v>23.3</v>
      </c>
      <c r="I103" s="68" t="s">
        <v>75</v>
      </c>
      <c r="J103" s="72"/>
      <c r="K103" s="68"/>
      <c r="L103" s="68"/>
      <c r="M103" s="68" t="s">
        <v>6</v>
      </c>
      <c r="N103" s="68" t="s">
        <v>60</v>
      </c>
      <c r="O103" s="68" t="s">
        <v>126</v>
      </c>
      <c r="P103" s="68" t="s">
        <v>125</v>
      </c>
      <c r="Q103" s="68">
        <v>18</v>
      </c>
      <c r="R103" s="68">
        <v>3</v>
      </c>
      <c r="S103" s="68" t="s">
        <v>144</v>
      </c>
      <c r="T103" s="68" t="s">
        <v>181</v>
      </c>
    </row>
    <row r="104" spans="1:20" ht="15" customHeight="1" x14ac:dyDescent="0.25">
      <c r="A104" s="71" t="s">
        <v>24</v>
      </c>
      <c r="B104" s="100" t="s">
        <v>261</v>
      </c>
      <c r="C104" t="s">
        <v>262</v>
      </c>
      <c r="D104" s="71" t="s">
        <v>4</v>
      </c>
      <c r="E104" s="71" t="s">
        <v>44</v>
      </c>
      <c r="F104" s="73" t="s">
        <v>25</v>
      </c>
      <c r="G104" s="72" t="s">
        <v>6</v>
      </c>
      <c r="H104" s="68">
        <v>0.5</v>
      </c>
      <c r="I104" s="68" t="s">
        <v>75</v>
      </c>
      <c r="J104" s="72"/>
      <c r="K104" s="68"/>
      <c r="L104" s="68"/>
      <c r="M104" s="68" t="s">
        <v>6</v>
      </c>
      <c r="N104" s="68" t="s">
        <v>60</v>
      </c>
      <c r="O104" s="68" t="s">
        <v>126</v>
      </c>
      <c r="P104" s="68" t="s">
        <v>125</v>
      </c>
      <c r="Q104" s="68">
        <v>18</v>
      </c>
      <c r="R104" s="68">
        <v>3</v>
      </c>
      <c r="S104" s="68" t="s">
        <v>145</v>
      </c>
      <c r="T104" s="68"/>
    </row>
    <row r="105" spans="1:20" ht="15" customHeight="1" x14ac:dyDescent="0.25">
      <c r="A105" s="71" t="s">
        <v>24</v>
      </c>
      <c r="B105" s="100" t="s">
        <v>261</v>
      </c>
      <c r="C105" t="s">
        <v>262</v>
      </c>
      <c r="D105" s="71" t="s">
        <v>8</v>
      </c>
      <c r="E105" s="71" t="s">
        <v>44</v>
      </c>
      <c r="F105" s="73" t="s">
        <v>27</v>
      </c>
      <c r="G105" s="72" t="s">
        <v>6</v>
      </c>
      <c r="H105" s="68">
        <v>1.3</v>
      </c>
      <c r="I105" s="68" t="s">
        <v>75</v>
      </c>
      <c r="J105" s="72"/>
      <c r="K105" s="68"/>
      <c r="L105" s="68"/>
      <c r="M105" s="68" t="s">
        <v>6</v>
      </c>
      <c r="N105" s="68" t="s">
        <v>60</v>
      </c>
      <c r="O105" s="68" t="s">
        <v>126</v>
      </c>
      <c r="P105" s="68" t="s">
        <v>125</v>
      </c>
      <c r="Q105" s="68">
        <v>18</v>
      </c>
      <c r="R105" s="68">
        <v>3</v>
      </c>
      <c r="S105" s="68" t="s">
        <v>145</v>
      </c>
      <c r="T105" s="68"/>
    </row>
    <row r="106" spans="1:20" ht="15" customHeight="1" x14ac:dyDescent="0.25">
      <c r="A106" s="76" t="s">
        <v>128</v>
      </c>
      <c r="B106" s="100" t="s">
        <v>388</v>
      </c>
      <c r="C106" t="s">
        <v>389</v>
      </c>
      <c r="D106" s="71" t="s">
        <v>4</v>
      </c>
      <c r="E106" s="71" t="s">
        <v>44</v>
      </c>
      <c r="F106" s="73"/>
      <c r="G106" s="72" t="s">
        <v>6</v>
      </c>
      <c r="H106" s="68">
        <v>66.599999999999994</v>
      </c>
      <c r="I106" s="68" t="s">
        <v>75</v>
      </c>
      <c r="J106" s="72"/>
      <c r="K106" s="68"/>
      <c r="L106" s="68"/>
      <c r="M106" s="68" t="s">
        <v>7</v>
      </c>
      <c r="N106" s="68" t="s">
        <v>60</v>
      </c>
      <c r="O106" s="68" t="s">
        <v>126</v>
      </c>
      <c r="P106" s="68" t="s">
        <v>142</v>
      </c>
      <c r="Q106" s="68">
        <v>17</v>
      </c>
      <c r="R106" s="68">
        <v>10</v>
      </c>
      <c r="S106" s="68" t="s">
        <v>176</v>
      </c>
      <c r="T106" s="68"/>
    </row>
    <row r="107" spans="1:20" ht="15" customHeight="1" x14ac:dyDescent="0.25">
      <c r="A107" s="76" t="s">
        <v>128</v>
      </c>
      <c r="B107" s="100" t="s">
        <v>388</v>
      </c>
      <c r="C107" t="s">
        <v>389</v>
      </c>
      <c r="D107" s="71" t="s">
        <v>4</v>
      </c>
      <c r="E107" s="71" t="s">
        <v>44</v>
      </c>
      <c r="F107" s="73"/>
      <c r="G107" s="72" t="s">
        <v>6</v>
      </c>
      <c r="H107" s="68">
        <v>59.2</v>
      </c>
      <c r="I107" s="68" t="s">
        <v>75</v>
      </c>
      <c r="J107" s="72"/>
      <c r="K107" s="68"/>
      <c r="L107" s="68"/>
      <c r="M107" s="68" t="s">
        <v>7</v>
      </c>
      <c r="N107" s="68" t="s">
        <v>60</v>
      </c>
      <c r="O107" s="68" t="s">
        <v>126</v>
      </c>
      <c r="P107" s="68" t="s">
        <v>142</v>
      </c>
      <c r="Q107" s="68">
        <v>17</v>
      </c>
      <c r="R107" s="68">
        <v>10</v>
      </c>
      <c r="S107" s="68" t="s">
        <v>177</v>
      </c>
      <c r="T107" s="68"/>
    </row>
    <row r="108" spans="1:20" ht="15" customHeight="1" x14ac:dyDescent="0.25">
      <c r="A108" s="76" t="s">
        <v>128</v>
      </c>
      <c r="B108" s="100" t="s">
        <v>388</v>
      </c>
      <c r="C108" t="s">
        <v>389</v>
      </c>
      <c r="D108" s="71" t="s">
        <v>8</v>
      </c>
      <c r="E108" s="71" t="s">
        <v>44</v>
      </c>
      <c r="F108" s="73"/>
      <c r="G108" s="72" t="s">
        <v>6</v>
      </c>
      <c r="H108" s="68">
        <v>64.2</v>
      </c>
      <c r="I108" s="68" t="s">
        <v>75</v>
      </c>
      <c r="J108" s="72"/>
      <c r="K108" s="68"/>
      <c r="L108" s="68"/>
      <c r="M108" s="68" t="s">
        <v>7</v>
      </c>
      <c r="N108" s="68" t="s">
        <v>60</v>
      </c>
      <c r="O108" s="68" t="s">
        <v>126</v>
      </c>
      <c r="P108" s="68" t="s">
        <v>142</v>
      </c>
      <c r="Q108" s="68">
        <v>17</v>
      </c>
      <c r="R108" s="68">
        <v>10</v>
      </c>
      <c r="S108" s="68" t="s">
        <v>178</v>
      </c>
      <c r="T108" s="68"/>
    </row>
    <row r="109" spans="1:20" ht="15" customHeight="1" x14ac:dyDescent="0.25">
      <c r="A109" s="76" t="s">
        <v>128</v>
      </c>
      <c r="B109" s="100" t="s">
        <v>388</v>
      </c>
      <c r="C109" t="s">
        <v>389</v>
      </c>
      <c r="D109" s="71" t="s">
        <v>8</v>
      </c>
      <c r="E109" s="71" t="s">
        <v>44</v>
      </c>
      <c r="F109" s="73"/>
      <c r="G109" s="72" t="s">
        <v>6</v>
      </c>
      <c r="H109" s="68">
        <v>54.6</v>
      </c>
      <c r="I109" s="68" t="s">
        <v>75</v>
      </c>
      <c r="J109" s="72"/>
      <c r="K109" s="68"/>
      <c r="L109" s="68"/>
      <c r="M109" s="68" t="s">
        <v>7</v>
      </c>
      <c r="N109" s="68" t="s">
        <v>60</v>
      </c>
      <c r="O109" s="68" t="s">
        <v>126</v>
      </c>
      <c r="P109" s="68" t="s">
        <v>142</v>
      </c>
      <c r="Q109" s="68">
        <v>17</v>
      </c>
      <c r="R109" s="68">
        <v>10</v>
      </c>
      <c r="S109" s="68" t="s">
        <v>177</v>
      </c>
      <c r="T109" s="68"/>
    </row>
    <row r="110" spans="1:20" ht="15" customHeight="1" x14ac:dyDescent="0.25">
      <c r="A110" s="76" t="s">
        <v>128</v>
      </c>
      <c r="B110" s="100" t="s">
        <v>388</v>
      </c>
      <c r="C110" t="s">
        <v>389</v>
      </c>
      <c r="D110" s="71" t="s">
        <v>8</v>
      </c>
      <c r="E110" s="71" t="s">
        <v>44</v>
      </c>
      <c r="F110" s="73"/>
      <c r="G110" s="72" t="s">
        <v>6</v>
      </c>
      <c r="H110" s="68">
        <v>49.1</v>
      </c>
      <c r="I110" s="68" t="s">
        <v>75</v>
      </c>
      <c r="J110" s="72"/>
      <c r="K110" s="68"/>
      <c r="L110" s="68"/>
      <c r="M110" s="68" t="s">
        <v>7</v>
      </c>
      <c r="N110" s="68" t="s">
        <v>60</v>
      </c>
      <c r="O110" s="68" t="s">
        <v>126</v>
      </c>
      <c r="P110" s="68" t="s">
        <v>142</v>
      </c>
      <c r="Q110" s="68">
        <v>17</v>
      </c>
      <c r="R110" s="68">
        <v>10</v>
      </c>
      <c r="S110" s="68" t="s">
        <v>179</v>
      </c>
      <c r="T110" s="68"/>
    </row>
    <row r="111" spans="1:20" ht="15" customHeight="1" x14ac:dyDescent="0.25">
      <c r="A111" s="69" t="s">
        <v>10</v>
      </c>
      <c r="B111" s="100" t="s">
        <v>202</v>
      </c>
      <c r="C111" t="s">
        <v>203</v>
      </c>
      <c r="D111" s="69" t="s">
        <v>4</v>
      </c>
      <c r="E111" s="69" t="s">
        <v>44</v>
      </c>
      <c r="F111" s="70">
        <v>1.8</v>
      </c>
      <c r="G111" s="70" t="s">
        <v>7</v>
      </c>
      <c r="H111" s="42">
        <v>0.88</v>
      </c>
      <c r="I111" s="42" t="s">
        <v>75</v>
      </c>
      <c r="J111" s="42">
        <f>H111-0.07</f>
        <v>0.81</v>
      </c>
      <c r="K111" s="42">
        <f>H111+0.07</f>
        <v>0.95</v>
      </c>
      <c r="L111" s="70" t="s">
        <v>69</v>
      </c>
      <c r="M111" s="42" t="s">
        <v>7</v>
      </c>
      <c r="N111" s="68" t="s">
        <v>52</v>
      </c>
      <c r="O111" s="68" t="s">
        <v>57</v>
      </c>
      <c r="P111" s="68" t="s">
        <v>118</v>
      </c>
      <c r="Q111" s="68">
        <v>16</v>
      </c>
      <c r="R111" s="68">
        <v>3</v>
      </c>
      <c r="S111" s="68"/>
      <c r="T111" s="42"/>
    </row>
    <row r="112" spans="1:20" ht="15" customHeight="1" x14ac:dyDescent="0.25">
      <c r="A112" s="69" t="s">
        <v>10</v>
      </c>
      <c r="B112" s="100" t="s">
        <v>202</v>
      </c>
      <c r="C112" t="s">
        <v>203</v>
      </c>
      <c r="D112" s="69" t="s">
        <v>4</v>
      </c>
      <c r="E112" s="69" t="s">
        <v>44</v>
      </c>
      <c r="F112" s="70">
        <v>1.8</v>
      </c>
      <c r="G112" s="70" t="s">
        <v>7</v>
      </c>
      <c r="H112" s="42">
        <v>1.72</v>
      </c>
      <c r="I112" s="42" t="s">
        <v>75</v>
      </c>
      <c r="J112" s="42">
        <f>H112-0.11</f>
        <v>1.6099999999999999</v>
      </c>
      <c r="K112" s="42">
        <f>H112+0.11</f>
        <v>1.83</v>
      </c>
      <c r="L112" s="70" t="s">
        <v>69</v>
      </c>
      <c r="M112" s="42" t="s">
        <v>7</v>
      </c>
      <c r="N112" s="68" t="s">
        <v>52</v>
      </c>
      <c r="O112" s="68" t="s">
        <v>54</v>
      </c>
      <c r="P112" s="68" t="s">
        <v>118</v>
      </c>
      <c r="Q112" s="68">
        <v>16</v>
      </c>
      <c r="R112" s="68">
        <v>3</v>
      </c>
      <c r="S112" s="68"/>
      <c r="T112" s="42"/>
    </row>
    <row r="113" spans="1:20" ht="15" customHeight="1" x14ac:dyDescent="0.25">
      <c r="A113" s="69" t="s">
        <v>10</v>
      </c>
      <c r="B113" s="100" t="s">
        <v>202</v>
      </c>
      <c r="C113" t="s">
        <v>203</v>
      </c>
      <c r="D113" s="69" t="s">
        <v>8</v>
      </c>
      <c r="E113" s="69" t="s">
        <v>44</v>
      </c>
      <c r="F113" s="70">
        <v>6.8</v>
      </c>
      <c r="G113" s="70" t="s">
        <v>7</v>
      </c>
      <c r="H113" s="42">
        <v>20.7</v>
      </c>
      <c r="I113" s="42" t="s">
        <v>75</v>
      </c>
      <c r="J113" s="42">
        <f>H113-3.96</f>
        <v>16.739999999999998</v>
      </c>
      <c r="K113" s="42">
        <f>H113+3.96</f>
        <v>24.66</v>
      </c>
      <c r="L113" s="70" t="s">
        <v>69</v>
      </c>
      <c r="M113" s="42" t="s">
        <v>7</v>
      </c>
      <c r="N113" s="68" t="s">
        <v>52</v>
      </c>
      <c r="O113" s="68" t="s">
        <v>57</v>
      </c>
      <c r="P113" s="68" t="s">
        <v>118</v>
      </c>
      <c r="Q113" s="68">
        <v>16</v>
      </c>
      <c r="R113" s="68">
        <v>3</v>
      </c>
      <c r="S113" s="68"/>
      <c r="T113" s="42"/>
    </row>
    <row r="114" spans="1:20" ht="15" customHeight="1" x14ac:dyDescent="0.25">
      <c r="A114" s="69" t="s">
        <v>10</v>
      </c>
      <c r="B114" s="100" t="s">
        <v>202</v>
      </c>
      <c r="C114" t="s">
        <v>203</v>
      </c>
      <c r="D114" s="69" t="s">
        <v>8</v>
      </c>
      <c r="E114" s="69" t="s">
        <v>44</v>
      </c>
      <c r="F114" s="70">
        <v>6.8</v>
      </c>
      <c r="G114" s="70" t="s">
        <v>7</v>
      </c>
      <c r="H114" s="42">
        <v>26.9</v>
      </c>
      <c r="I114" s="42" t="s">
        <v>75</v>
      </c>
      <c r="J114" s="42">
        <f>H114-0.37</f>
        <v>26.529999999999998</v>
      </c>
      <c r="K114" s="42">
        <f>H114+0.37</f>
        <v>27.27</v>
      </c>
      <c r="L114" s="70" t="s">
        <v>69</v>
      </c>
      <c r="M114" s="42" t="s">
        <v>7</v>
      </c>
      <c r="N114" s="68" t="s">
        <v>52</v>
      </c>
      <c r="O114" s="68" t="s">
        <v>54</v>
      </c>
      <c r="P114" s="68" t="s">
        <v>118</v>
      </c>
      <c r="Q114" s="68">
        <v>16</v>
      </c>
      <c r="R114" s="68">
        <v>3</v>
      </c>
      <c r="S114" s="68"/>
      <c r="T114" s="42"/>
    </row>
    <row r="115" spans="1:20" ht="15" customHeight="1" x14ac:dyDescent="0.25">
      <c r="A115" s="69" t="s">
        <v>29</v>
      </c>
      <c r="B115" s="100" t="s">
        <v>221</v>
      </c>
      <c r="C115" t="s">
        <v>222</v>
      </c>
      <c r="D115" s="69" t="s">
        <v>4</v>
      </c>
      <c r="E115" s="69" t="s">
        <v>44</v>
      </c>
      <c r="F115" s="75" t="s">
        <v>30</v>
      </c>
      <c r="G115" s="70" t="s">
        <v>6</v>
      </c>
      <c r="H115" s="42">
        <v>0.15</v>
      </c>
      <c r="I115" s="42" t="s">
        <v>75</v>
      </c>
      <c r="J115" s="70">
        <f>H115-0.01</f>
        <v>0.13999999999999999</v>
      </c>
      <c r="K115" s="42">
        <f>H115+0.01</f>
        <v>0.16</v>
      </c>
      <c r="L115" s="42" t="s">
        <v>69</v>
      </c>
      <c r="M115" s="42" t="s">
        <v>7</v>
      </c>
      <c r="N115" s="68" t="s">
        <v>60</v>
      </c>
      <c r="O115" s="68" t="s">
        <v>54</v>
      </c>
      <c r="P115" s="68" t="s">
        <v>118</v>
      </c>
      <c r="Q115" s="68">
        <v>16</v>
      </c>
      <c r="R115" s="68">
        <v>3</v>
      </c>
      <c r="S115" s="42"/>
      <c r="T115" s="42"/>
    </row>
    <row r="116" spans="1:20" ht="15" customHeight="1" x14ac:dyDescent="0.25">
      <c r="A116" s="69" t="s">
        <v>29</v>
      </c>
      <c r="B116" s="100" t="s">
        <v>221</v>
      </c>
      <c r="C116" t="s">
        <v>222</v>
      </c>
      <c r="D116" s="69" t="s">
        <v>4</v>
      </c>
      <c r="E116" s="69" t="s">
        <v>44</v>
      </c>
      <c r="F116" s="75" t="s">
        <v>30</v>
      </c>
      <c r="G116" s="70" t="s">
        <v>6</v>
      </c>
      <c r="H116" s="42">
        <v>0.19</v>
      </c>
      <c r="I116" s="42" t="s">
        <v>75</v>
      </c>
      <c r="J116" s="70">
        <f>H116-0.01</f>
        <v>0.18</v>
      </c>
      <c r="K116" s="42">
        <f>H116+0.01</f>
        <v>0.2</v>
      </c>
      <c r="L116" s="42" t="s">
        <v>69</v>
      </c>
      <c r="M116" s="42" t="s">
        <v>7</v>
      </c>
      <c r="N116" s="68" t="s">
        <v>60</v>
      </c>
      <c r="O116" s="68" t="s">
        <v>57</v>
      </c>
      <c r="P116" s="68" t="s">
        <v>118</v>
      </c>
      <c r="Q116" s="68">
        <v>16</v>
      </c>
      <c r="R116" s="68">
        <v>3</v>
      </c>
      <c r="S116" s="42"/>
      <c r="T116" s="42"/>
    </row>
    <row r="117" spans="1:20" ht="15" customHeight="1" x14ac:dyDescent="0.25">
      <c r="A117" s="69" t="s">
        <v>29</v>
      </c>
      <c r="B117" s="100" t="s">
        <v>221</v>
      </c>
      <c r="C117" t="s">
        <v>222</v>
      </c>
      <c r="D117" s="69" t="s">
        <v>8</v>
      </c>
      <c r="E117" s="69" t="s">
        <v>44</v>
      </c>
      <c r="F117" s="75" t="s">
        <v>32</v>
      </c>
      <c r="G117" s="70" t="s">
        <v>7</v>
      </c>
      <c r="H117" s="42">
        <v>1.64</v>
      </c>
      <c r="I117" s="42" t="s">
        <v>75</v>
      </c>
      <c r="J117" s="70">
        <f>H117-0.44</f>
        <v>1.2</v>
      </c>
      <c r="K117" s="42">
        <f>H117+0.44</f>
        <v>2.08</v>
      </c>
      <c r="L117" s="42" t="s">
        <v>69</v>
      </c>
      <c r="M117" s="42" t="s">
        <v>7</v>
      </c>
      <c r="N117" s="68" t="s">
        <v>60</v>
      </c>
      <c r="O117" s="68" t="s">
        <v>57</v>
      </c>
      <c r="P117" s="68" t="s">
        <v>118</v>
      </c>
      <c r="Q117" s="68">
        <v>16</v>
      </c>
      <c r="R117" s="68">
        <v>3</v>
      </c>
      <c r="S117" s="42"/>
      <c r="T117" s="42"/>
    </row>
    <row r="118" spans="1:20" ht="15" customHeight="1" x14ac:dyDescent="0.25">
      <c r="A118" s="69" t="s">
        <v>29</v>
      </c>
      <c r="B118" s="100" t="s">
        <v>221</v>
      </c>
      <c r="C118" t="s">
        <v>222</v>
      </c>
      <c r="D118" s="69" t="s">
        <v>8</v>
      </c>
      <c r="E118" s="69" t="s">
        <v>44</v>
      </c>
      <c r="F118" s="75" t="s">
        <v>32</v>
      </c>
      <c r="G118" s="70" t="s">
        <v>7</v>
      </c>
      <c r="H118" s="42">
        <v>1.83</v>
      </c>
      <c r="I118" s="42" t="s">
        <v>75</v>
      </c>
      <c r="J118" s="70">
        <f>H118-0.47</f>
        <v>1.36</v>
      </c>
      <c r="K118" s="42">
        <f>H118+0.47</f>
        <v>2.2999999999999998</v>
      </c>
      <c r="L118" s="42" t="s">
        <v>69</v>
      </c>
      <c r="M118" s="42" t="s">
        <v>7</v>
      </c>
      <c r="N118" s="68" t="s">
        <v>60</v>
      </c>
      <c r="O118" s="68" t="s">
        <v>54</v>
      </c>
      <c r="P118" s="68" t="s">
        <v>118</v>
      </c>
      <c r="Q118" s="68">
        <v>16</v>
      </c>
      <c r="R118" s="68">
        <v>3</v>
      </c>
      <c r="S118" s="42"/>
      <c r="T118" s="42"/>
    </row>
    <row r="119" spans="1:20" ht="15" customHeight="1" x14ac:dyDescent="0.25">
      <c r="A119" s="69" t="s">
        <v>15</v>
      </c>
      <c r="B119" s="100" t="s">
        <v>208</v>
      </c>
      <c r="C119" t="s">
        <v>209</v>
      </c>
      <c r="D119" s="69" t="s">
        <v>4</v>
      </c>
      <c r="E119" s="69" t="s">
        <v>44</v>
      </c>
      <c r="F119" s="70" t="s">
        <v>16</v>
      </c>
      <c r="G119" s="70" t="s">
        <v>7</v>
      </c>
      <c r="H119" s="42">
        <v>23.5</v>
      </c>
      <c r="I119" s="42" t="s">
        <v>75</v>
      </c>
      <c r="J119" s="42">
        <f>H119-1.75</f>
        <v>21.75</v>
      </c>
      <c r="K119" s="42">
        <f>H119+1.75</f>
        <v>25.25</v>
      </c>
      <c r="L119" s="70" t="s">
        <v>69</v>
      </c>
      <c r="M119" s="42" t="s">
        <v>7</v>
      </c>
      <c r="N119" s="68" t="s">
        <v>52</v>
      </c>
      <c r="O119" s="68" t="s">
        <v>54</v>
      </c>
      <c r="P119" s="68" t="s">
        <v>118</v>
      </c>
      <c r="Q119" s="68">
        <v>16</v>
      </c>
      <c r="R119" s="68">
        <v>3</v>
      </c>
      <c r="S119" s="68"/>
      <c r="T119" s="42"/>
    </row>
    <row r="120" spans="1:20" ht="15" customHeight="1" x14ac:dyDescent="0.25">
      <c r="A120" s="69" t="s">
        <v>15</v>
      </c>
      <c r="B120" s="100" t="s">
        <v>208</v>
      </c>
      <c r="C120" t="s">
        <v>209</v>
      </c>
      <c r="D120" s="69" t="s">
        <v>4</v>
      </c>
      <c r="E120" s="69" t="s">
        <v>44</v>
      </c>
      <c r="F120" s="70" t="s">
        <v>16</v>
      </c>
      <c r="G120" s="70" t="s">
        <v>7</v>
      </c>
      <c r="H120" s="42">
        <v>24.8</v>
      </c>
      <c r="I120" s="42" t="s">
        <v>75</v>
      </c>
      <c r="J120" s="42">
        <f>H120-1.52</f>
        <v>23.28</v>
      </c>
      <c r="K120" s="42">
        <f>H120+1.52</f>
        <v>26.32</v>
      </c>
      <c r="L120" s="70" t="s">
        <v>69</v>
      </c>
      <c r="M120" s="42" t="s">
        <v>7</v>
      </c>
      <c r="N120" s="68" t="s">
        <v>52</v>
      </c>
      <c r="O120" s="68" t="s">
        <v>57</v>
      </c>
      <c r="P120" s="68" t="s">
        <v>118</v>
      </c>
      <c r="Q120" s="68">
        <v>16</v>
      </c>
      <c r="R120" s="68">
        <v>3</v>
      </c>
      <c r="S120" s="68"/>
      <c r="T120" s="42"/>
    </row>
    <row r="121" spans="1:20" ht="15" customHeight="1" x14ac:dyDescent="0.25">
      <c r="A121" s="69" t="s">
        <v>15</v>
      </c>
      <c r="B121" s="100" t="s">
        <v>208</v>
      </c>
      <c r="C121" t="s">
        <v>209</v>
      </c>
      <c r="D121" s="69" t="s">
        <v>8</v>
      </c>
      <c r="E121" s="69" t="s">
        <v>44</v>
      </c>
      <c r="F121" s="70" t="s">
        <v>16</v>
      </c>
      <c r="G121" s="70" t="s">
        <v>7</v>
      </c>
      <c r="H121" s="42">
        <v>26.44</v>
      </c>
      <c r="I121" s="42" t="s">
        <v>75</v>
      </c>
      <c r="J121" s="42">
        <f>H121-2.77</f>
        <v>23.67</v>
      </c>
      <c r="K121" s="42">
        <f>H121+2.77</f>
        <v>29.21</v>
      </c>
      <c r="L121" s="70" t="s">
        <v>69</v>
      </c>
      <c r="M121" s="42" t="s">
        <v>7</v>
      </c>
      <c r="N121" s="68" t="s">
        <v>52</v>
      </c>
      <c r="O121" s="68" t="s">
        <v>54</v>
      </c>
      <c r="P121" s="68" t="s">
        <v>118</v>
      </c>
      <c r="Q121" s="68">
        <v>16</v>
      </c>
      <c r="R121" s="68">
        <v>3</v>
      </c>
      <c r="S121" s="68"/>
      <c r="T121" s="42"/>
    </row>
    <row r="122" spans="1:20" ht="15" customHeight="1" x14ac:dyDescent="0.25">
      <c r="A122" s="69" t="s">
        <v>15</v>
      </c>
      <c r="B122" s="100" t="s">
        <v>208</v>
      </c>
      <c r="C122" t="s">
        <v>209</v>
      </c>
      <c r="D122" s="69" t="s">
        <v>8</v>
      </c>
      <c r="E122" s="69" t="s">
        <v>44</v>
      </c>
      <c r="F122" s="70" t="s">
        <v>16</v>
      </c>
      <c r="G122" s="70" t="s">
        <v>7</v>
      </c>
      <c r="H122" s="42">
        <v>28.7</v>
      </c>
      <c r="I122" s="42" t="s">
        <v>75</v>
      </c>
      <c r="J122" s="42">
        <f>H122-1.85</f>
        <v>26.849999999999998</v>
      </c>
      <c r="K122" s="42">
        <f>H122+1.85</f>
        <v>30.55</v>
      </c>
      <c r="L122" s="70" t="s">
        <v>69</v>
      </c>
      <c r="M122" s="42" t="s">
        <v>7</v>
      </c>
      <c r="N122" s="68" t="s">
        <v>52</v>
      </c>
      <c r="O122" s="68" t="s">
        <v>57</v>
      </c>
      <c r="P122" s="68" t="s">
        <v>118</v>
      </c>
      <c r="Q122" s="68">
        <v>16</v>
      </c>
      <c r="R122" s="68">
        <v>3</v>
      </c>
      <c r="S122" s="68"/>
      <c r="T122" s="42"/>
    </row>
    <row r="123" spans="1:20" ht="15" customHeight="1" x14ac:dyDescent="0.25">
      <c r="A123" s="71" t="s">
        <v>39</v>
      </c>
      <c r="B123" s="100" t="s">
        <v>196</v>
      </c>
      <c r="C123" t="s">
        <v>197</v>
      </c>
      <c r="D123" s="71" t="s">
        <v>4</v>
      </c>
      <c r="E123" s="71" t="s">
        <v>44</v>
      </c>
      <c r="F123" s="72" t="s">
        <v>40</v>
      </c>
      <c r="G123" s="72" t="s">
        <v>7</v>
      </c>
      <c r="H123" s="68">
        <v>50.03</v>
      </c>
      <c r="I123" s="68" t="s">
        <v>75</v>
      </c>
      <c r="J123" s="72">
        <f>H123-2.28</f>
        <v>47.75</v>
      </c>
      <c r="K123" s="68">
        <f>H123+2.28</f>
        <v>52.31</v>
      </c>
      <c r="L123" s="68" t="s">
        <v>95</v>
      </c>
      <c r="M123" s="68" t="s">
        <v>7</v>
      </c>
      <c r="N123" s="68" t="s">
        <v>60</v>
      </c>
      <c r="O123" s="68" t="s">
        <v>57</v>
      </c>
      <c r="P123" s="68" t="s">
        <v>154</v>
      </c>
      <c r="Q123" s="68">
        <v>15</v>
      </c>
      <c r="R123" s="68">
        <v>5</v>
      </c>
      <c r="S123" s="68" t="s">
        <v>148</v>
      </c>
      <c r="T123" s="68" t="s">
        <v>180</v>
      </c>
    </row>
    <row r="124" spans="1:20" ht="15" customHeight="1" x14ac:dyDescent="0.25">
      <c r="A124" s="71" t="s">
        <v>39</v>
      </c>
      <c r="B124" s="100" t="s">
        <v>196</v>
      </c>
      <c r="C124" t="s">
        <v>197</v>
      </c>
      <c r="D124" s="71" t="s">
        <v>4</v>
      </c>
      <c r="E124" s="71" t="s">
        <v>44</v>
      </c>
      <c r="F124" s="72" t="s">
        <v>40</v>
      </c>
      <c r="G124" s="72" t="s">
        <v>7</v>
      </c>
      <c r="H124" s="68">
        <v>74.62</v>
      </c>
      <c r="I124" s="68" t="s">
        <v>75</v>
      </c>
      <c r="J124" s="72">
        <f>H124-10.22</f>
        <v>64.400000000000006</v>
      </c>
      <c r="K124" s="68">
        <f>H124+10.22</f>
        <v>84.84</v>
      </c>
      <c r="L124" s="68" t="s">
        <v>95</v>
      </c>
      <c r="M124" s="68" t="s">
        <v>7</v>
      </c>
      <c r="N124" s="68" t="s">
        <v>60</v>
      </c>
      <c r="O124" s="68" t="s">
        <v>54</v>
      </c>
      <c r="P124" s="68" t="s">
        <v>154</v>
      </c>
      <c r="Q124" s="68">
        <v>15</v>
      </c>
      <c r="R124" s="68">
        <v>5</v>
      </c>
      <c r="S124" s="68" t="s">
        <v>148</v>
      </c>
      <c r="T124" s="68" t="s">
        <v>180</v>
      </c>
    </row>
    <row r="125" spans="1:20" ht="15" customHeight="1" x14ac:dyDescent="0.25">
      <c r="A125" s="71" t="s">
        <v>39</v>
      </c>
      <c r="B125" s="100" t="s">
        <v>196</v>
      </c>
      <c r="C125" t="s">
        <v>197</v>
      </c>
      <c r="D125" s="71" t="s">
        <v>8</v>
      </c>
      <c r="E125" s="71" t="s">
        <v>44</v>
      </c>
      <c r="F125" s="72" t="s">
        <v>41</v>
      </c>
      <c r="G125" s="72" t="s">
        <v>7</v>
      </c>
      <c r="H125" s="68">
        <v>80.040000000000006</v>
      </c>
      <c r="I125" s="68" t="s">
        <v>75</v>
      </c>
      <c r="J125" s="72">
        <f>H125-5.51</f>
        <v>74.53</v>
      </c>
      <c r="K125" s="68">
        <f>H125+5.51</f>
        <v>85.550000000000011</v>
      </c>
      <c r="L125" s="68" t="s">
        <v>95</v>
      </c>
      <c r="M125" s="68" t="s">
        <v>7</v>
      </c>
      <c r="N125" s="68" t="s">
        <v>60</v>
      </c>
      <c r="O125" s="68" t="s">
        <v>54</v>
      </c>
      <c r="P125" s="68" t="s">
        <v>154</v>
      </c>
      <c r="Q125" s="68">
        <v>15</v>
      </c>
      <c r="R125" s="68">
        <v>5</v>
      </c>
      <c r="S125" s="68" t="s">
        <v>148</v>
      </c>
      <c r="T125" s="68" t="s">
        <v>180</v>
      </c>
    </row>
    <row r="126" spans="1:20" ht="15" customHeight="1" x14ac:dyDescent="0.25">
      <c r="A126" s="71" t="s">
        <v>39</v>
      </c>
      <c r="B126" s="100" t="s">
        <v>196</v>
      </c>
      <c r="C126" t="s">
        <v>197</v>
      </c>
      <c r="D126" s="71" t="s">
        <v>8</v>
      </c>
      <c r="E126" s="71" t="s">
        <v>44</v>
      </c>
      <c r="F126" s="72" t="s">
        <v>41</v>
      </c>
      <c r="G126" s="72" t="s">
        <v>7</v>
      </c>
      <c r="H126" s="68">
        <v>109.44</v>
      </c>
      <c r="I126" s="68" t="s">
        <v>75</v>
      </c>
      <c r="J126" s="72">
        <f>H126-18.72</f>
        <v>90.72</v>
      </c>
      <c r="K126" s="68">
        <f>H126+18.72</f>
        <v>128.16</v>
      </c>
      <c r="L126" s="68" t="s">
        <v>95</v>
      </c>
      <c r="M126" s="68" t="s">
        <v>7</v>
      </c>
      <c r="N126" s="68" t="s">
        <v>60</v>
      </c>
      <c r="O126" s="68" t="s">
        <v>57</v>
      </c>
      <c r="P126" s="68" t="s">
        <v>154</v>
      </c>
      <c r="Q126" s="68">
        <v>15</v>
      </c>
      <c r="R126" s="68">
        <v>5</v>
      </c>
      <c r="S126" s="68" t="s">
        <v>148</v>
      </c>
      <c r="T126" s="68" t="s">
        <v>180</v>
      </c>
    </row>
    <row r="127" spans="1:20" ht="15" customHeight="1" x14ac:dyDescent="0.25">
      <c r="A127" s="71" t="s">
        <v>33</v>
      </c>
      <c r="B127" s="100" t="s">
        <v>205</v>
      </c>
      <c r="C127" t="s">
        <v>206</v>
      </c>
      <c r="D127" s="71" t="s">
        <v>4</v>
      </c>
      <c r="E127" s="71" t="s">
        <v>44</v>
      </c>
      <c r="F127" s="72" t="s">
        <v>34</v>
      </c>
      <c r="G127" s="72" t="s">
        <v>7</v>
      </c>
      <c r="H127" s="68">
        <v>4.4400000000000004</v>
      </c>
      <c r="I127" s="68" t="s">
        <v>75</v>
      </c>
      <c r="J127" s="72">
        <f>H127-0.16</f>
        <v>4.28</v>
      </c>
      <c r="K127" s="68">
        <f>H127+0.16</f>
        <v>4.6000000000000005</v>
      </c>
      <c r="L127" s="68" t="s">
        <v>95</v>
      </c>
      <c r="M127" s="68" t="s">
        <v>7</v>
      </c>
      <c r="N127" s="68" t="s">
        <v>52</v>
      </c>
      <c r="O127" s="68" t="s">
        <v>57</v>
      </c>
      <c r="P127" s="68" t="s">
        <v>154</v>
      </c>
      <c r="Q127" s="68">
        <v>15</v>
      </c>
      <c r="R127" s="68">
        <v>5</v>
      </c>
      <c r="S127" s="68" t="s">
        <v>149</v>
      </c>
      <c r="T127" s="68" t="s">
        <v>180</v>
      </c>
    </row>
    <row r="128" spans="1:20" ht="15" customHeight="1" x14ac:dyDescent="0.25">
      <c r="A128" s="71" t="s">
        <v>33</v>
      </c>
      <c r="B128" s="100" t="s">
        <v>205</v>
      </c>
      <c r="C128" t="s">
        <v>206</v>
      </c>
      <c r="D128" s="71" t="s">
        <v>4</v>
      </c>
      <c r="E128" s="71" t="s">
        <v>44</v>
      </c>
      <c r="F128" s="72" t="s">
        <v>34</v>
      </c>
      <c r="G128" s="72" t="s">
        <v>7</v>
      </c>
      <c r="H128" s="68">
        <v>6.4</v>
      </c>
      <c r="I128" s="68" t="s">
        <v>75</v>
      </c>
      <c r="J128" s="72">
        <f>H128-1.11</f>
        <v>5.29</v>
      </c>
      <c r="K128" s="68">
        <f>H128+1.11</f>
        <v>7.5100000000000007</v>
      </c>
      <c r="L128" s="68" t="s">
        <v>95</v>
      </c>
      <c r="M128" s="68" t="s">
        <v>7</v>
      </c>
      <c r="N128" s="68" t="s">
        <v>52</v>
      </c>
      <c r="O128" s="68" t="s">
        <v>54</v>
      </c>
      <c r="P128" s="68" t="s">
        <v>154</v>
      </c>
      <c r="Q128" s="68">
        <v>15</v>
      </c>
      <c r="R128" s="68">
        <v>5</v>
      </c>
      <c r="S128" s="68" t="s">
        <v>149</v>
      </c>
      <c r="T128" s="68" t="s">
        <v>180</v>
      </c>
    </row>
    <row r="129" spans="1:20" ht="15" customHeight="1" x14ac:dyDescent="0.25">
      <c r="A129" s="71" t="s">
        <v>33</v>
      </c>
      <c r="B129" s="100" t="s">
        <v>205</v>
      </c>
      <c r="C129" t="s">
        <v>206</v>
      </c>
      <c r="D129" s="71" t="s">
        <v>8</v>
      </c>
      <c r="E129" s="71" t="s">
        <v>44</v>
      </c>
      <c r="F129" s="72" t="s">
        <v>37</v>
      </c>
      <c r="G129" s="72" t="s">
        <v>7</v>
      </c>
      <c r="H129" s="68">
        <v>40.200000000000003</v>
      </c>
      <c r="I129" s="68" t="s">
        <v>75</v>
      </c>
      <c r="J129" s="72">
        <f>H129-18.68</f>
        <v>21.520000000000003</v>
      </c>
      <c r="K129" s="68">
        <f>H129+18.68</f>
        <v>58.88</v>
      </c>
      <c r="L129" s="68" t="s">
        <v>95</v>
      </c>
      <c r="M129" s="68" t="s">
        <v>7</v>
      </c>
      <c r="N129" s="68" t="s">
        <v>52</v>
      </c>
      <c r="O129" s="68" t="s">
        <v>57</v>
      </c>
      <c r="P129" s="68" t="s">
        <v>154</v>
      </c>
      <c r="Q129" s="68">
        <v>15</v>
      </c>
      <c r="R129" s="68">
        <v>5</v>
      </c>
      <c r="S129" s="68" t="s">
        <v>149</v>
      </c>
      <c r="T129" s="68" t="s">
        <v>180</v>
      </c>
    </row>
    <row r="130" spans="1:20" ht="15" customHeight="1" x14ac:dyDescent="0.25">
      <c r="A130" s="71" t="s">
        <v>33</v>
      </c>
      <c r="B130" s="100" t="s">
        <v>205</v>
      </c>
      <c r="C130" t="s">
        <v>206</v>
      </c>
      <c r="D130" s="71" t="s">
        <v>8</v>
      </c>
      <c r="E130" s="71" t="s">
        <v>44</v>
      </c>
      <c r="F130" s="72" t="s">
        <v>37</v>
      </c>
      <c r="G130" s="72" t="s">
        <v>7</v>
      </c>
      <c r="H130" s="68">
        <v>54.57</v>
      </c>
      <c r="I130" s="68" t="s">
        <v>75</v>
      </c>
      <c r="J130" s="72">
        <f>H130-2.54</f>
        <v>52.03</v>
      </c>
      <c r="K130" s="68">
        <f>H130+2.54</f>
        <v>57.11</v>
      </c>
      <c r="L130" s="68" t="s">
        <v>95</v>
      </c>
      <c r="M130" s="68" t="s">
        <v>7</v>
      </c>
      <c r="N130" s="68" t="s">
        <v>52</v>
      </c>
      <c r="O130" s="68" t="s">
        <v>54</v>
      </c>
      <c r="P130" s="68" t="s">
        <v>154</v>
      </c>
      <c r="Q130" s="68">
        <v>15</v>
      </c>
      <c r="R130" s="68">
        <v>5</v>
      </c>
      <c r="S130" s="68" t="s">
        <v>149</v>
      </c>
      <c r="T130" s="68" t="s">
        <v>180</v>
      </c>
    </row>
    <row r="131" spans="1:20" ht="15" customHeight="1" x14ac:dyDescent="0.25">
      <c r="A131" s="69" t="s">
        <v>3</v>
      </c>
      <c r="B131" s="100" t="s">
        <v>193</v>
      </c>
      <c r="C131" t="s">
        <v>194</v>
      </c>
      <c r="D131" s="69" t="s">
        <v>4</v>
      </c>
      <c r="E131" s="69" t="s">
        <v>45</v>
      </c>
      <c r="F131" s="70">
        <v>4.5</v>
      </c>
      <c r="G131" s="70" t="s">
        <v>6</v>
      </c>
      <c r="H131" s="42">
        <v>4.5</v>
      </c>
      <c r="I131" s="42" t="s">
        <v>75</v>
      </c>
      <c r="J131" s="42">
        <v>3.7</v>
      </c>
      <c r="K131" s="42">
        <v>5.4</v>
      </c>
      <c r="L131" s="42" t="s">
        <v>72</v>
      </c>
      <c r="M131" s="42" t="s">
        <v>6</v>
      </c>
      <c r="N131" s="68" t="s">
        <v>60</v>
      </c>
      <c r="O131" s="68" t="s">
        <v>54</v>
      </c>
      <c r="P131" s="68" t="s">
        <v>165</v>
      </c>
      <c r="Q131" s="68">
        <v>14</v>
      </c>
      <c r="R131" s="68">
        <v>3</v>
      </c>
      <c r="S131" s="68" t="s">
        <v>166</v>
      </c>
      <c r="T131" s="42"/>
    </row>
    <row r="132" spans="1:20" ht="15" customHeight="1" x14ac:dyDescent="0.25">
      <c r="A132" s="69" t="s">
        <v>3</v>
      </c>
      <c r="B132" s="100" t="s">
        <v>193</v>
      </c>
      <c r="C132" t="s">
        <v>194</v>
      </c>
      <c r="D132" s="69" t="s">
        <v>8</v>
      </c>
      <c r="E132" s="69" t="s">
        <v>45</v>
      </c>
      <c r="F132" s="70">
        <v>5.8</v>
      </c>
      <c r="G132" s="70" t="s">
        <v>6</v>
      </c>
      <c r="H132" s="42">
        <v>5.8</v>
      </c>
      <c r="I132" s="42" t="s">
        <v>75</v>
      </c>
      <c r="J132" s="42">
        <v>4.9000000000000004</v>
      </c>
      <c r="K132" s="42">
        <v>6.8</v>
      </c>
      <c r="L132" s="42" t="s">
        <v>72</v>
      </c>
      <c r="M132" s="42" t="s">
        <v>6</v>
      </c>
      <c r="N132" s="68" t="s">
        <v>60</v>
      </c>
      <c r="O132" s="68" t="s">
        <v>54</v>
      </c>
      <c r="P132" s="68" t="s">
        <v>165</v>
      </c>
      <c r="Q132" s="68">
        <v>15</v>
      </c>
      <c r="R132" s="68">
        <v>3</v>
      </c>
      <c r="S132" s="68" t="s">
        <v>166</v>
      </c>
      <c r="T132" s="42"/>
    </row>
    <row r="133" spans="1:20" ht="15" customHeight="1" x14ac:dyDescent="0.25">
      <c r="A133" s="69" t="s">
        <v>10</v>
      </c>
      <c r="B133" s="100" t="s">
        <v>202</v>
      </c>
      <c r="C133" t="s">
        <v>203</v>
      </c>
      <c r="D133" s="69" t="s">
        <v>4</v>
      </c>
      <c r="E133" s="69" t="s">
        <v>47</v>
      </c>
      <c r="F133" s="70" t="s">
        <v>12</v>
      </c>
      <c r="G133" s="70" t="s">
        <v>13</v>
      </c>
      <c r="H133" s="42">
        <v>5.3</v>
      </c>
      <c r="I133" s="42" t="s">
        <v>75</v>
      </c>
      <c r="J133" s="70">
        <v>4.5999999999999996</v>
      </c>
      <c r="K133" s="42">
        <v>6</v>
      </c>
      <c r="L133" s="42" t="s">
        <v>72</v>
      </c>
      <c r="M133" s="42" t="s">
        <v>63</v>
      </c>
      <c r="N133" s="68" t="s">
        <v>60</v>
      </c>
      <c r="O133" s="68" t="s">
        <v>59</v>
      </c>
      <c r="P133" s="68" t="s">
        <v>78</v>
      </c>
      <c r="Q133" s="68">
        <v>13</v>
      </c>
      <c r="R133" s="68">
        <v>3</v>
      </c>
      <c r="S133" s="68" t="s">
        <v>185</v>
      </c>
      <c r="T133" s="68"/>
    </row>
    <row r="134" spans="1:20" ht="15" customHeight="1" x14ac:dyDescent="0.25">
      <c r="A134" s="69" t="s">
        <v>10</v>
      </c>
      <c r="B134" s="100" t="s">
        <v>202</v>
      </c>
      <c r="C134" t="s">
        <v>203</v>
      </c>
      <c r="D134" s="69" t="s">
        <v>8</v>
      </c>
      <c r="E134" s="69" t="s">
        <v>47</v>
      </c>
      <c r="F134" s="70" t="s">
        <v>12</v>
      </c>
      <c r="G134" s="70" t="s">
        <v>13</v>
      </c>
      <c r="H134" s="42">
        <v>5.3</v>
      </c>
      <c r="I134" s="42" t="s">
        <v>75</v>
      </c>
      <c r="J134" s="70">
        <v>4.5999999999999996</v>
      </c>
      <c r="K134" s="42">
        <v>6</v>
      </c>
      <c r="L134" s="42" t="s">
        <v>72</v>
      </c>
      <c r="M134" s="42" t="s">
        <v>63</v>
      </c>
      <c r="N134" s="68" t="s">
        <v>60</v>
      </c>
      <c r="O134" s="68" t="s">
        <v>59</v>
      </c>
      <c r="P134" s="68" t="s">
        <v>78</v>
      </c>
      <c r="Q134" s="68">
        <v>13</v>
      </c>
      <c r="R134" s="68">
        <v>3</v>
      </c>
      <c r="S134" s="68" t="s">
        <v>185</v>
      </c>
      <c r="T134" s="42"/>
    </row>
    <row r="135" spans="1:20" ht="15" customHeight="1" x14ac:dyDescent="0.25">
      <c r="A135" s="69" t="s">
        <v>10</v>
      </c>
      <c r="B135" s="100" t="s">
        <v>202</v>
      </c>
      <c r="C135" t="s">
        <v>203</v>
      </c>
      <c r="D135" s="69" t="s">
        <v>4</v>
      </c>
      <c r="E135" s="69" t="s">
        <v>47</v>
      </c>
      <c r="F135" s="70" t="s">
        <v>12</v>
      </c>
      <c r="G135" s="70" t="s">
        <v>13</v>
      </c>
      <c r="H135" s="42">
        <v>4.7</v>
      </c>
      <c r="I135" s="42" t="s">
        <v>75</v>
      </c>
      <c r="J135" s="70">
        <v>3.9</v>
      </c>
      <c r="K135" s="42">
        <v>5.9</v>
      </c>
      <c r="L135" s="42" t="s">
        <v>72</v>
      </c>
      <c r="M135" s="42" t="s">
        <v>63</v>
      </c>
      <c r="N135" s="68" t="s">
        <v>60</v>
      </c>
      <c r="O135" s="68" t="s">
        <v>59</v>
      </c>
      <c r="P135" s="68" t="s">
        <v>78</v>
      </c>
      <c r="Q135" s="68">
        <v>13</v>
      </c>
      <c r="R135" s="68">
        <v>3</v>
      </c>
      <c r="S135" s="68" t="s">
        <v>76</v>
      </c>
      <c r="T135" s="42"/>
    </row>
    <row r="136" spans="1:20" ht="15" customHeight="1" x14ac:dyDescent="0.25">
      <c r="A136" s="69" t="s">
        <v>10</v>
      </c>
      <c r="B136" s="100" t="s">
        <v>202</v>
      </c>
      <c r="C136" t="s">
        <v>203</v>
      </c>
      <c r="D136" s="69" t="s">
        <v>8</v>
      </c>
      <c r="E136" s="69" t="s">
        <v>47</v>
      </c>
      <c r="F136" s="70" t="s">
        <v>12</v>
      </c>
      <c r="G136" s="70" t="s">
        <v>13</v>
      </c>
      <c r="H136" s="42">
        <v>7.4</v>
      </c>
      <c r="I136" s="42" t="s">
        <v>75</v>
      </c>
      <c r="J136" s="70">
        <v>6</v>
      </c>
      <c r="K136" s="42">
        <v>9.6999999999999993</v>
      </c>
      <c r="L136" s="42" t="s">
        <v>72</v>
      </c>
      <c r="M136" s="42" t="s">
        <v>63</v>
      </c>
      <c r="N136" s="68" t="s">
        <v>60</v>
      </c>
      <c r="O136" s="68" t="s">
        <v>59</v>
      </c>
      <c r="P136" s="68" t="s">
        <v>78</v>
      </c>
      <c r="Q136" s="68">
        <v>13</v>
      </c>
      <c r="R136" s="68">
        <v>3</v>
      </c>
      <c r="S136" s="68" t="s">
        <v>77</v>
      </c>
      <c r="T136" s="42"/>
    </row>
    <row r="137" spans="1:20" ht="15" customHeight="1" x14ac:dyDescent="0.25">
      <c r="A137" s="69" t="s">
        <v>29</v>
      </c>
      <c r="B137" s="100" t="s">
        <v>221</v>
      </c>
      <c r="C137" t="s">
        <v>222</v>
      </c>
      <c r="D137" s="69" t="s">
        <v>79</v>
      </c>
      <c r="E137" s="69" t="s">
        <v>47</v>
      </c>
      <c r="F137" s="70" t="s">
        <v>31</v>
      </c>
      <c r="G137" s="70" t="s">
        <v>13</v>
      </c>
      <c r="H137" s="42">
        <v>2.7</v>
      </c>
      <c r="I137" s="42" t="s">
        <v>75</v>
      </c>
      <c r="J137" s="42">
        <v>2.5</v>
      </c>
      <c r="K137" s="42">
        <v>2.9</v>
      </c>
      <c r="L137" s="42" t="s">
        <v>72</v>
      </c>
      <c r="M137" s="42" t="s">
        <v>63</v>
      </c>
      <c r="N137" s="68" t="s">
        <v>60</v>
      </c>
      <c r="O137" s="68" t="s">
        <v>59</v>
      </c>
      <c r="P137" s="68" t="s">
        <v>78</v>
      </c>
      <c r="Q137" s="68">
        <v>13</v>
      </c>
      <c r="R137" s="68">
        <v>3</v>
      </c>
      <c r="S137" s="68"/>
      <c r="T137" s="68"/>
    </row>
    <row r="138" spans="1:20" ht="15" customHeight="1" x14ac:dyDescent="0.25">
      <c r="A138" s="69" t="s">
        <v>29</v>
      </c>
      <c r="B138" s="100" t="s">
        <v>221</v>
      </c>
      <c r="C138" t="s">
        <v>222</v>
      </c>
      <c r="D138" s="69" t="s">
        <v>4</v>
      </c>
      <c r="E138" s="69" t="s">
        <v>47</v>
      </c>
      <c r="F138" s="70" t="s">
        <v>31</v>
      </c>
      <c r="G138" s="70" t="s">
        <v>13</v>
      </c>
      <c r="H138" s="42">
        <v>2.4</v>
      </c>
      <c r="I138" s="42" t="s">
        <v>75</v>
      </c>
      <c r="J138" s="42">
        <v>2</v>
      </c>
      <c r="K138" s="42">
        <v>3</v>
      </c>
      <c r="L138" s="42" t="s">
        <v>72</v>
      </c>
      <c r="M138" s="42" t="s">
        <v>63</v>
      </c>
      <c r="N138" s="68" t="s">
        <v>60</v>
      </c>
      <c r="O138" s="68" t="s">
        <v>59</v>
      </c>
      <c r="P138" s="68" t="s">
        <v>78</v>
      </c>
      <c r="Q138" s="68">
        <v>13</v>
      </c>
      <c r="R138" s="68">
        <v>3</v>
      </c>
      <c r="S138" s="68" t="s">
        <v>76</v>
      </c>
      <c r="T138" s="68"/>
    </row>
    <row r="139" spans="1:20" s="3" customFormat="1" ht="15" customHeight="1" x14ac:dyDescent="0.25">
      <c r="A139" s="69" t="s">
        <v>29</v>
      </c>
      <c r="B139" s="100" t="s">
        <v>221</v>
      </c>
      <c r="C139" t="s">
        <v>222</v>
      </c>
      <c r="D139" s="69" t="s">
        <v>8</v>
      </c>
      <c r="E139" s="69" t="s">
        <v>47</v>
      </c>
      <c r="F139" s="70" t="s">
        <v>31</v>
      </c>
      <c r="G139" s="70" t="s">
        <v>13</v>
      </c>
      <c r="H139" s="42">
        <v>2.8</v>
      </c>
      <c r="I139" s="42" t="s">
        <v>75</v>
      </c>
      <c r="J139" s="42">
        <v>2.4</v>
      </c>
      <c r="K139" s="42">
        <v>3.4</v>
      </c>
      <c r="L139" s="42" t="s">
        <v>72</v>
      </c>
      <c r="M139" s="42" t="s">
        <v>63</v>
      </c>
      <c r="N139" s="68" t="s">
        <v>60</v>
      </c>
      <c r="O139" s="68" t="s">
        <v>59</v>
      </c>
      <c r="P139" s="68" t="s">
        <v>78</v>
      </c>
      <c r="Q139" s="68">
        <v>13</v>
      </c>
      <c r="R139" s="68">
        <v>3</v>
      </c>
      <c r="S139" s="68" t="s">
        <v>77</v>
      </c>
      <c r="T139" s="42"/>
    </row>
    <row r="140" spans="1:20" s="3" customFormat="1" ht="15" customHeight="1" x14ac:dyDescent="0.25">
      <c r="A140" s="69" t="s">
        <v>15</v>
      </c>
      <c r="B140" s="100" t="s">
        <v>208</v>
      </c>
      <c r="C140" t="s">
        <v>209</v>
      </c>
      <c r="D140" s="69" t="s">
        <v>79</v>
      </c>
      <c r="E140" s="69" t="s">
        <v>47</v>
      </c>
      <c r="F140" s="70" t="s">
        <v>18</v>
      </c>
      <c r="G140" s="70" t="s">
        <v>13</v>
      </c>
      <c r="H140" s="42">
        <v>3.4</v>
      </c>
      <c r="I140" s="42" t="s">
        <v>75</v>
      </c>
      <c r="J140" s="42">
        <v>3.1</v>
      </c>
      <c r="K140" s="42">
        <v>3.7</v>
      </c>
      <c r="L140" s="42" t="s">
        <v>72</v>
      </c>
      <c r="M140" s="42" t="s">
        <v>63</v>
      </c>
      <c r="N140" s="68" t="s">
        <v>60</v>
      </c>
      <c r="O140" s="68" t="s">
        <v>59</v>
      </c>
      <c r="P140" s="68" t="s">
        <v>78</v>
      </c>
      <c r="Q140" s="68">
        <v>13</v>
      </c>
      <c r="R140" s="68">
        <v>3</v>
      </c>
      <c r="S140" s="68"/>
      <c r="T140" s="42"/>
    </row>
    <row r="141" spans="1:20" ht="15" customHeight="1" x14ac:dyDescent="0.25">
      <c r="A141" s="69" t="s">
        <v>15</v>
      </c>
      <c r="B141" s="100" t="s">
        <v>208</v>
      </c>
      <c r="C141" t="s">
        <v>209</v>
      </c>
      <c r="D141" s="69" t="s">
        <v>4</v>
      </c>
      <c r="E141" s="69" t="s">
        <v>47</v>
      </c>
      <c r="F141" s="70" t="s">
        <v>18</v>
      </c>
      <c r="G141" s="70" t="s">
        <v>13</v>
      </c>
      <c r="H141" s="42">
        <v>3.1</v>
      </c>
      <c r="I141" s="42" t="s">
        <v>75</v>
      </c>
      <c r="J141" s="42">
        <v>2.7</v>
      </c>
      <c r="K141" s="42">
        <v>3.7</v>
      </c>
      <c r="L141" s="42" t="s">
        <v>72</v>
      </c>
      <c r="M141" s="42" t="s">
        <v>63</v>
      </c>
      <c r="N141" s="68" t="s">
        <v>60</v>
      </c>
      <c r="O141" s="68" t="s">
        <v>59</v>
      </c>
      <c r="P141" s="68" t="s">
        <v>78</v>
      </c>
      <c r="Q141" s="68">
        <v>13</v>
      </c>
      <c r="R141" s="68">
        <v>3</v>
      </c>
      <c r="S141" s="68" t="s">
        <v>76</v>
      </c>
      <c r="T141" s="42"/>
    </row>
    <row r="142" spans="1:20" ht="15" customHeight="1" x14ac:dyDescent="0.25">
      <c r="A142" s="69" t="s">
        <v>15</v>
      </c>
      <c r="B142" s="100" t="s">
        <v>208</v>
      </c>
      <c r="C142" t="s">
        <v>209</v>
      </c>
      <c r="D142" s="69" t="s">
        <v>8</v>
      </c>
      <c r="E142" s="69" t="s">
        <v>47</v>
      </c>
      <c r="F142" s="70" t="s">
        <v>18</v>
      </c>
      <c r="G142" s="70" t="s">
        <v>13</v>
      </c>
      <c r="H142" s="42">
        <v>4.5999999999999996</v>
      </c>
      <c r="I142" s="42" t="s">
        <v>75</v>
      </c>
      <c r="J142" s="42">
        <v>3.7</v>
      </c>
      <c r="K142" s="42">
        <v>6.1</v>
      </c>
      <c r="L142" s="42" t="s">
        <v>72</v>
      </c>
      <c r="M142" s="42" t="s">
        <v>63</v>
      </c>
      <c r="N142" s="68" t="s">
        <v>60</v>
      </c>
      <c r="O142" s="68" t="s">
        <v>59</v>
      </c>
      <c r="P142" s="68" t="s">
        <v>78</v>
      </c>
      <c r="Q142" s="68">
        <v>13</v>
      </c>
      <c r="R142" s="68">
        <v>3</v>
      </c>
      <c r="S142" s="68" t="s">
        <v>77</v>
      </c>
      <c r="T142" s="42"/>
    </row>
    <row r="143" spans="1:20" ht="15" customHeight="1" x14ac:dyDescent="0.25">
      <c r="A143" s="69" t="s">
        <v>29</v>
      </c>
      <c r="B143" s="100" t="s">
        <v>221</v>
      </c>
      <c r="C143" t="s">
        <v>222</v>
      </c>
      <c r="D143" s="69" t="s">
        <v>4</v>
      </c>
      <c r="E143" s="69" t="s">
        <v>45</v>
      </c>
      <c r="F143" s="70">
        <v>16</v>
      </c>
      <c r="G143" s="42" t="s">
        <v>7</v>
      </c>
      <c r="H143" s="42">
        <v>15.6</v>
      </c>
      <c r="I143" s="42" t="s">
        <v>75</v>
      </c>
      <c r="J143" s="42">
        <v>14.7</v>
      </c>
      <c r="K143" s="42">
        <v>16.5</v>
      </c>
      <c r="L143" s="42" t="s">
        <v>72</v>
      </c>
      <c r="M143" s="42" t="s">
        <v>7</v>
      </c>
      <c r="N143" s="68" t="s">
        <v>60</v>
      </c>
      <c r="O143" s="42" t="s">
        <v>54</v>
      </c>
      <c r="P143" s="42" t="s">
        <v>167</v>
      </c>
      <c r="Q143" s="68">
        <v>12</v>
      </c>
      <c r="R143" s="68">
        <v>3</v>
      </c>
      <c r="S143" s="68" t="s">
        <v>168</v>
      </c>
      <c r="T143" s="42"/>
    </row>
    <row r="144" spans="1:20" ht="15" customHeight="1" x14ac:dyDescent="0.25">
      <c r="A144" s="69" t="s">
        <v>29</v>
      </c>
      <c r="B144" s="100" t="s">
        <v>221</v>
      </c>
      <c r="C144" t="s">
        <v>222</v>
      </c>
      <c r="D144" s="69" t="s">
        <v>8</v>
      </c>
      <c r="E144" s="69" t="s">
        <v>45</v>
      </c>
      <c r="F144" s="70">
        <v>22</v>
      </c>
      <c r="G144" s="42" t="s">
        <v>7</v>
      </c>
      <c r="H144" s="42">
        <v>21.7</v>
      </c>
      <c r="I144" s="42" t="s">
        <v>75</v>
      </c>
      <c r="J144" s="42">
        <v>19.5</v>
      </c>
      <c r="K144" s="42">
        <v>24.1</v>
      </c>
      <c r="L144" s="42" t="s">
        <v>72</v>
      </c>
      <c r="M144" s="42" t="s">
        <v>7</v>
      </c>
      <c r="N144" s="68" t="s">
        <v>60</v>
      </c>
      <c r="O144" s="42" t="s">
        <v>54</v>
      </c>
      <c r="P144" s="42" t="s">
        <v>167</v>
      </c>
      <c r="Q144" s="68">
        <v>12</v>
      </c>
      <c r="R144" s="68">
        <v>3</v>
      </c>
      <c r="S144" s="68" t="s">
        <v>168</v>
      </c>
      <c r="T144" s="42"/>
    </row>
    <row r="145" spans="1:20" ht="15" customHeight="1" x14ac:dyDescent="0.25">
      <c r="A145" s="71" t="s">
        <v>39</v>
      </c>
      <c r="B145" s="100" t="s">
        <v>196</v>
      </c>
      <c r="C145" t="s">
        <v>197</v>
      </c>
      <c r="D145" s="71" t="s">
        <v>4</v>
      </c>
      <c r="E145" s="71" t="s">
        <v>44</v>
      </c>
      <c r="F145" s="72" t="s">
        <v>40</v>
      </c>
      <c r="G145" s="72" t="s">
        <v>7</v>
      </c>
      <c r="H145" s="68">
        <v>58.57</v>
      </c>
      <c r="I145" s="68" t="s">
        <v>75</v>
      </c>
      <c r="J145" s="72">
        <f>H145-5.84</f>
        <v>52.730000000000004</v>
      </c>
      <c r="K145" s="68">
        <f>H145+5.84</f>
        <v>64.41</v>
      </c>
      <c r="L145" s="68" t="s">
        <v>95</v>
      </c>
      <c r="M145" s="68" t="s">
        <v>7</v>
      </c>
      <c r="N145" s="68" t="s">
        <v>60</v>
      </c>
      <c r="O145" s="68" t="s">
        <v>54</v>
      </c>
      <c r="P145" s="68" t="s">
        <v>129</v>
      </c>
      <c r="Q145" s="68">
        <v>11</v>
      </c>
      <c r="R145" s="68">
        <v>3</v>
      </c>
      <c r="S145" s="68" t="s">
        <v>114</v>
      </c>
      <c r="T145" s="68" t="s">
        <v>180</v>
      </c>
    </row>
    <row r="146" spans="1:20" ht="15" customHeight="1" x14ac:dyDescent="0.25">
      <c r="A146" s="71" t="s">
        <v>39</v>
      </c>
      <c r="B146" s="100" t="s">
        <v>196</v>
      </c>
      <c r="C146" t="s">
        <v>197</v>
      </c>
      <c r="D146" s="71" t="s">
        <v>8</v>
      </c>
      <c r="E146" s="71" t="s">
        <v>44</v>
      </c>
      <c r="F146" s="72" t="s">
        <v>41</v>
      </c>
      <c r="G146" s="72" t="s">
        <v>7</v>
      </c>
      <c r="H146" s="68">
        <v>39.92</v>
      </c>
      <c r="I146" s="68" t="s">
        <v>75</v>
      </c>
      <c r="J146" s="72">
        <f>H146-8.62</f>
        <v>31.300000000000004</v>
      </c>
      <c r="K146" s="68">
        <f>H146+8.62</f>
        <v>48.54</v>
      </c>
      <c r="L146" s="68" t="s">
        <v>95</v>
      </c>
      <c r="M146" s="68" t="s">
        <v>7</v>
      </c>
      <c r="N146" s="68" t="s">
        <v>60</v>
      </c>
      <c r="O146" s="68" t="s">
        <v>54</v>
      </c>
      <c r="P146" s="68" t="s">
        <v>129</v>
      </c>
      <c r="Q146" s="68">
        <v>11</v>
      </c>
      <c r="R146" s="68">
        <v>3</v>
      </c>
      <c r="S146" s="68" t="s">
        <v>114</v>
      </c>
      <c r="T146" s="68" t="s">
        <v>180</v>
      </c>
    </row>
    <row r="147" spans="1:20" ht="15" customHeight="1" x14ac:dyDescent="0.25">
      <c r="A147" s="71" t="s">
        <v>28</v>
      </c>
      <c r="B147" s="100" t="s">
        <v>199</v>
      </c>
      <c r="C147" t="s">
        <v>200</v>
      </c>
      <c r="D147" s="71" t="s">
        <v>4</v>
      </c>
      <c r="E147" s="71" t="s">
        <v>44</v>
      </c>
      <c r="F147" s="74">
        <v>1.2</v>
      </c>
      <c r="G147" s="72" t="s">
        <v>6</v>
      </c>
      <c r="H147" s="68">
        <v>0.05</v>
      </c>
      <c r="I147" s="68" t="s">
        <v>75</v>
      </c>
      <c r="J147" s="72">
        <f>H147-0.01</f>
        <v>0.04</v>
      </c>
      <c r="K147" s="68">
        <f>H147+0.01</f>
        <v>6.0000000000000005E-2</v>
      </c>
      <c r="L147" s="68" t="s">
        <v>95</v>
      </c>
      <c r="M147" s="68" t="s">
        <v>7</v>
      </c>
      <c r="N147" s="68" t="s">
        <v>60</v>
      </c>
      <c r="O147" s="68" t="s">
        <v>57</v>
      </c>
      <c r="P147" s="68" t="s">
        <v>129</v>
      </c>
      <c r="Q147" s="68">
        <v>11</v>
      </c>
      <c r="R147" s="68">
        <v>3</v>
      </c>
      <c r="S147" s="68" t="s">
        <v>127</v>
      </c>
      <c r="T147" s="68" t="s">
        <v>180</v>
      </c>
    </row>
    <row r="148" spans="1:20" ht="15" customHeight="1" x14ac:dyDescent="0.25">
      <c r="A148" s="71" t="s">
        <v>28</v>
      </c>
      <c r="B148" s="100" t="s">
        <v>199</v>
      </c>
      <c r="C148" t="s">
        <v>200</v>
      </c>
      <c r="D148" s="71" t="s">
        <v>8</v>
      </c>
      <c r="E148" s="71" t="s">
        <v>44</v>
      </c>
      <c r="F148" s="74">
        <v>2.4</v>
      </c>
      <c r="G148" s="72" t="s">
        <v>6</v>
      </c>
      <c r="H148" s="68">
        <v>0.1</v>
      </c>
      <c r="I148" s="68" t="s">
        <v>75</v>
      </c>
      <c r="J148" s="72">
        <f>H148-0.05</f>
        <v>0.05</v>
      </c>
      <c r="K148" s="68">
        <f>H148+0.05</f>
        <v>0.15000000000000002</v>
      </c>
      <c r="L148" s="68" t="s">
        <v>95</v>
      </c>
      <c r="M148" s="68" t="s">
        <v>7</v>
      </c>
      <c r="N148" s="68" t="s">
        <v>60</v>
      </c>
      <c r="O148" s="68" t="s">
        <v>57</v>
      </c>
      <c r="P148" s="68" t="s">
        <v>129</v>
      </c>
      <c r="Q148" s="68">
        <v>11</v>
      </c>
      <c r="R148" s="68">
        <v>3</v>
      </c>
      <c r="S148" s="68" t="s">
        <v>127</v>
      </c>
      <c r="T148" s="68" t="s">
        <v>180</v>
      </c>
    </row>
    <row r="149" spans="1:20" ht="15" customHeight="1" x14ac:dyDescent="0.25">
      <c r="A149" s="71" t="s">
        <v>33</v>
      </c>
      <c r="B149" s="100" t="s">
        <v>205</v>
      </c>
      <c r="C149" t="s">
        <v>206</v>
      </c>
      <c r="D149" s="71" t="s">
        <v>4</v>
      </c>
      <c r="E149" s="71" t="s">
        <v>44</v>
      </c>
      <c r="F149" s="72" t="s">
        <v>34</v>
      </c>
      <c r="G149" s="72" t="s">
        <v>7</v>
      </c>
      <c r="H149" s="68">
        <v>2.44</v>
      </c>
      <c r="I149" s="68" t="s">
        <v>75</v>
      </c>
      <c r="J149" s="72">
        <f>H149-0.41</f>
        <v>2.0299999999999998</v>
      </c>
      <c r="K149" s="68">
        <f>H149+0.41</f>
        <v>2.85</v>
      </c>
      <c r="L149" s="68" t="s">
        <v>95</v>
      </c>
      <c r="M149" s="68" t="s">
        <v>7</v>
      </c>
      <c r="N149" s="68" t="s">
        <v>60</v>
      </c>
      <c r="O149" s="68" t="s">
        <v>57</v>
      </c>
      <c r="P149" s="68" t="s">
        <v>129</v>
      </c>
      <c r="Q149" s="68">
        <v>11</v>
      </c>
      <c r="R149" s="68">
        <v>3</v>
      </c>
      <c r="S149" s="68" t="s">
        <v>114</v>
      </c>
      <c r="T149" s="68" t="s">
        <v>180</v>
      </c>
    </row>
    <row r="150" spans="1:20" ht="15" customHeight="1" x14ac:dyDescent="0.25">
      <c r="A150" s="71" t="s">
        <v>33</v>
      </c>
      <c r="B150" s="100" t="s">
        <v>205</v>
      </c>
      <c r="C150" t="s">
        <v>206</v>
      </c>
      <c r="D150" s="71" t="s">
        <v>8</v>
      </c>
      <c r="E150" s="71" t="s">
        <v>44</v>
      </c>
      <c r="F150" s="72" t="s">
        <v>37</v>
      </c>
      <c r="G150" s="72" t="s">
        <v>7</v>
      </c>
      <c r="H150" s="68">
        <v>29.57</v>
      </c>
      <c r="I150" s="68" t="s">
        <v>75</v>
      </c>
      <c r="J150" s="72">
        <f>H150-2.28</f>
        <v>27.29</v>
      </c>
      <c r="K150" s="68">
        <f>H150+2.28</f>
        <v>31.85</v>
      </c>
      <c r="L150" s="68" t="s">
        <v>95</v>
      </c>
      <c r="M150" s="68" t="s">
        <v>7</v>
      </c>
      <c r="N150" s="68" t="s">
        <v>60</v>
      </c>
      <c r="O150" s="68" t="s">
        <v>57</v>
      </c>
      <c r="P150" s="68" t="s">
        <v>129</v>
      </c>
      <c r="Q150" s="68">
        <v>11</v>
      </c>
      <c r="R150" s="68">
        <v>3</v>
      </c>
      <c r="S150" s="68" t="s">
        <v>114</v>
      </c>
      <c r="T150" s="68" t="s">
        <v>180</v>
      </c>
    </row>
    <row r="151" spans="1:20" ht="15" customHeight="1" x14ac:dyDescent="0.25">
      <c r="A151" s="71" t="s">
        <v>29</v>
      </c>
      <c r="B151" s="100" t="s">
        <v>221</v>
      </c>
      <c r="C151" t="s">
        <v>222</v>
      </c>
      <c r="D151" s="71" t="s">
        <v>4</v>
      </c>
      <c r="E151" s="71" t="s">
        <v>44</v>
      </c>
      <c r="F151" s="73" t="s">
        <v>30</v>
      </c>
      <c r="G151" s="72" t="s">
        <v>6</v>
      </c>
      <c r="H151" s="68">
        <v>0.08</v>
      </c>
      <c r="I151" s="68" t="s">
        <v>75</v>
      </c>
      <c r="J151" s="72">
        <f>H151-0.03</f>
        <v>0.05</v>
      </c>
      <c r="K151" s="68">
        <f>H151+0.03</f>
        <v>0.11</v>
      </c>
      <c r="L151" s="68" t="s">
        <v>95</v>
      </c>
      <c r="M151" s="68" t="s">
        <v>7</v>
      </c>
      <c r="N151" s="68" t="s">
        <v>60</v>
      </c>
      <c r="O151" s="68" t="s">
        <v>57</v>
      </c>
      <c r="P151" s="68" t="s">
        <v>129</v>
      </c>
      <c r="Q151" s="68">
        <v>11</v>
      </c>
      <c r="R151" s="68">
        <v>3</v>
      </c>
      <c r="S151" s="68"/>
      <c r="T151" s="68" t="s">
        <v>180</v>
      </c>
    </row>
    <row r="152" spans="1:20" ht="15" customHeight="1" x14ac:dyDescent="0.25">
      <c r="A152" s="71" t="s">
        <v>29</v>
      </c>
      <c r="B152" s="100" t="s">
        <v>221</v>
      </c>
      <c r="C152" t="s">
        <v>222</v>
      </c>
      <c r="D152" s="71" t="s">
        <v>8</v>
      </c>
      <c r="E152" s="71" t="s">
        <v>44</v>
      </c>
      <c r="F152" s="73" t="s">
        <v>32</v>
      </c>
      <c r="G152" s="72" t="s">
        <v>7</v>
      </c>
      <c r="H152" s="68">
        <v>5.63</v>
      </c>
      <c r="I152" s="68" t="s">
        <v>75</v>
      </c>
      <c r="J152" s="72">
        <f>H152-1.2</f>
        <v>4.43</v>
      </c>
      <c r="K152" s="68">
        <f>H152+1.2</f>
        <v>6.83</v>
      </c>
      <c r="L152" s="68" t="s">
        <v>95</v>
      </c>
      <c r="M152" s="68" t="s">
        <v>7</v>
      </c>
      <c r="N152" s="68" t="s">
        <v>60</v>
      </c>
      <c r="O152" s="68" t="s">
        <v>57</v>
      </c>
      <c r="P152" s="68" t="s">
        <v>129</v>
      </c>
      <c r="Q152" s="68">
        <v>11</v>
      </c>
      <c r="R152" s="68">
        <v>3</v>
      </c>
      <c r="S152" s="68"/>
      <c r="T152" s="68" t="s">
        <v>180</v>
      </c>
    </row>
    <row r="153" spans="1:20" ht="15" customHeight="1" x14ac:dyDescent="0.25">
      <c r="A153" s="69" t="s">
        <v>29</v>
      </c>
      <c r="B153" s="100" t="s">
        <v>221</v>
      </c>
      <c r="C153" t="s">
        <v>222</v>
      </c>
      <c r="D153" s="69" t="s">
        <v>79</v>
      </c>
      <c r="E153" s="69" t="s">
        <v>47</v>
      </c>
      <c r="F153" s="70" t="s">
        <v>31</v>
      </c>
      <c r="G153" s="70" t="s">
        <v>13</v>
      </c>
      <c r="H153" s="42">
        <v>3.5</v>
      </c>
      <c r="I153" s="42" t="s">
        <v>73</v>
      </c>
      <c r="J153" s="42">
        <v>3</v>
      </c>
      <c r="K153" s="42">
        <v>4.0999999999999996</v>
      </c>
      <c r="L153" s="42" t="s">
        <v>72</v>
      </c>
      <c r="M153" s="42" t="s">
        <v>63</v>
      </c>
      <c r="N153" s="68" t="s">
        <v>60</v>
      </c>
      <c r="O153" s="68" t="s">
        <v>59</v>
      </c>
      <c r="P153" s="68" t="s">
        <v>80</v>
      </c>
      <c r="Q153" s="68">
        <v>10</v>
      </c>
      <c r="R153" s="68">
        <v>3</v>
      </c>
      <c r="S153" s="68"/>
      <c r="T153" s="42"/>
    </row>
    <row r="154" spans="1:20" ht="15" customHeight="1" x14ac:dyDescent="0.25">
      <c r="A154" s="69" t="s">
        <v>29</v>
      </c>
      <c r="B154" s="100" t="s">
        <v>221</v>
      </c>
      <c r="C154" t="s">
        <v>222</v>
      </c>
      <c r="D154" s="69" t="s">
        <v>8</v>
      </c>
      <c r="E154" s="69" t="s">
        <v>47</v>
      </c>
      <c r="F154" s="70" t="s">
        <v>31</v>
      </c>
      <c r="G154" s="70" t="s">
        <v>13</v>
      </c>
      <c r="H154" s="42">
        <v>3.5</v>
      </c>
      <c r="I154" s="42" t="s">
        <v>73</v>
      </c>
      <c r="J154" s="42">
        <v>3</v>
      </c>
      <c r="K154" s="42">
        <v>4.0999999999999996</v>
      </c>
      <c r="L154" s="42" t="s">
        <v>72</v>
      </c>
      <c r="M154" s="42" t="s">
        <v>63</v>
      </c>
      <c r="N154" s="68" t="s">
        <v>60</v>
      </c>
      <c r="O154" s="68" t="s">
        <v>59</v>
      </c>
      <c r="P154" s="68" t="s">
        <v>80</v>
      </c>
      <c r="Q154" s="68">
        <v>10</v>
      </c>
      <c r="R154" s="68">
        <v>3</v>
      </c>
      <c r="S154" s="68"/>
      <c r="T154" s="42"/>
    </row>
    <row r="155" spans="1:20" ht="15" customHeight="1" x14ac:dyDescent="0.25">
      <c r="A155" s="69" t="s">
        <v>15</v>
      </c>
      <c r="B155" s="100" t="s">
        <v>208</v>
      </c>
      <c r="C155" t="s">
        <v>209</v>
      </c>
      <c r="D155" s="69" t="s">
        <v>4</v>
      </c>
      <c r="E155" s="69" t="s">
        <v>47</v>
      </c>
      <c r="F155" s="70" t="s">
        <v>18</v>
      </c>
      <c r="G155" s="70" t="s">
        <v>13</v>
      </c>
      <c r="H155" s="42">
        <v>4.8</v>
      </c>
      <c r="I155" s="42" t="s">
        <v>73</v>
      </c>
      <c r="J155" s="42">
        <v>4</v>
      </c>
      <c r="K155" s="42">
        <v>5.8</v>
      </c>
      <c r="L155" s="42" t="s">
        <v>72</v>
      </c>
      <c r="M155" s="42" t="s">
        <v>63</v>
      </c>
      <c r="N155" s="68" t="s">
        <v>60</v>
      </c>
      <c r="O155" s="68" t="s">
        <v>59</v>
      </c>
      <c r="P155" s="68" t="s">
        <v>80</v>
      </c>
      <c r="Q155" s="68">
        <v>10</v>
      </c>
      <c r="R155" s="68">
        <v>3</v>
      </c>
      <c r="S155" s="42"/>
      <c r="T155" s="42"/>
    </row>
    <row r="156" spans="1:20" ht="15" customHeight="1" x14ac:dyDescent="0.25">
      <c r="A156" s="69" t="s">
        <v>15</v>
      </c>
      <c r="B156" s="100" t="s">
        <v>208</v>
      </c>
      <c r="C156" t="s">
        <v>209</v>
      </c>
      <c r="D156" s="69" t="s">
        <v>8</v>
      </c>
      <c r="E156" s="69" t="s">
        <v>47</v>
      </c>
      <c r="F156" s="70" t="s">
        <v>18</v>
      </c>
      <c r="G156" s="70" t="s">
        <v>13</v>
      </c>
      <c r="H156" s="42">
        <v>4.8</v>
      </c>
      <c r="I156" s="42" t="s">
        <v>73</v>
      </c>
      <c r="J156" s="42">
        <v>4</v>
      </c>
      <c r="K156" s="42">
        <v>5.8</v>
      </c>
      <c r="L156" s="42" t="s">
        <v>72</v>
      </c>
      <c r="M156" s="42" t="s">
        <v>63</v>
      </c>
      <c r="N156" s="68" t="s">
        <v>60</v>
      </c>
      <c r="O156" s="68" t="s">
        <v>59</v>
      </c>
      <c r="P156" s="68" t="s">
        <v>80</v>
      </c>
      <c r="Q156" s="68">
        <v>10</v>
      </c>
      <c r="R156" s="68">
        <v>3</v>
      </c>
      <c r="S156" s="42"/>
      <c r="T156" s="42"/>
    </row>
    <row r="157" spans="1:20" ht="15" customHeight="1" x14ac:dyDescent="0.25">
      <c r="A157" s="69" t="s">
        <v>3</v>
      </c>
      <c r="B157" s="100" t="s">
        <v>193</v>
      </c>
      <c r="C157" t="s">
        <v>194</v>
      </c>
      <c r="D157" s="69" t="s">
        <v>4</v>
      </c>
      <c r="E157" s="69" t="s">
        <v>47</v>
      </c>
      <c r="F157" s="42">
        <v>28</v>
      </c>
      <c r="G157" s="42" t="s">
        <v>7</v>
      </c>
      <c r="H157" s="42">
        <v>25.8</v>
      </c>
      <c r="I157" s="42" t="s">
        <v>73</v>
      </c>
      <c r="J157" s="70">
        <v>16.899999999999999</v>
      </c>
      <c r="K157" s="42">
        <v>40.200000000000003</v>
      </c>
      <c r="L157" s="42" t="s">
        <v>72</v>
      </c>
      <c r="M157" s="42" t="s">
        <v>7</v>
      </c>
      <c r="N157" s="42" t="s">
        <v>60</v>
      </c>
      <c r="O157" s="68" t="s">
        <v>59</v>
      </c>
      <c r="P157" s="68" t="s">
        <v>53</v>
      </c>
      <c r="Q157" s="68">
        <v>9</v>
      </c>
      <c r="R157" s="68">
        <v>3</v>
      </c>
      <c r="S157" s="42"/>
      <c r="T157" s="42"/>
    </row>
    <row r="158" spans="1:20" ht="15" customHeight="1" x14ac:dyDescent="0.25">
      <c r="A158" s="69" t="s">
        <v>3</v>
      </c>
      <c r="B158" s="100" t="s">
        <v>193</v>
      </c>
      <c r="C158" t="s">
        <v>194</v>
      </c>
      <c r="D158" s="69" t="s">
        <v>8</v>
      </c>
      <c r="E158" s="69" t="s">
        <v>47</v>
      </c>
      <c r="F158" s="42">
        <v>28</v>
      </c>
      <c r="G158" s="42" t="s">
        <v>7</v>
      </c>
      <c r="H158" s="42">
        <v>27.7</v>
      </c>
      <c r="I158" s="42" t="s">
        <v>73</v>
      </c>
      <c r="J158" s="70">
        <v>16.100000000000001</v>
      </c>
      <c r="K158" s="42">
        <v>39.299999999999997</v>
      </c>
      <c r="L158" s="42" t="s">
        <v>72</v>
      </c>
      <c r="M158" s="42" t="s">
        <v>7</v>
      </c>
      <c r="N158" s="42" t="s">
        <v>60</v>
      </c>
      <c r="O158" s="68" t="s">
        <v>59</v>
      </c>
      <c r="P158" s="68" t="s">
        <v>53</v>
      </c>
      <c r="Q158" s="68">
        <v>9</v>
      </c>
      <c r="R158" s="68">
        <v>3</v>
      </c>
      <c r="S158" s="42"/>
      <c r="T158" s="42"/>
    </row>
    <row r="159" spans="1:20" ht="15" customHeight="1" x14ac:dyDescent="0.25">
      <c r="A159" s="69" t="s">
        <v>3</v>
      </c>
      <c r="B159" s="100" t="s">
        <v>193</v>
      </c>
      <c r="C159" t="s">
        <v>194</v>
      </c>
      <c r="D159" s="69" t="s">
        <v>4</v>
      </c>
      <c r="E159" s="69" t="s">
        <v>46</v>
      </c>
      <c r="F159" s="70">
        <v>3.5</v>
      </c>
      <c r="G159" s="70" t="s">
        <v>7</v>
      </c>
      <c r="H159" s="42">
        <v>83.2</v>
      </c>
      <c r="I159" s="70" t="s">
        <v>74</v>
      </c>
      <c r="J159" s="42">
        <f>H159-41.9</f>
        <v>41.300000000000004</v>
      </c>
      <c r="K159" s="42">
        <f>H159+41.9</f>
        <v>125.1</v>
      </c>
      <c r="L159" s="42" t="s">
        <v>69</v>
      </c>
      <c r="M159" s="42" t="s">
        <v>6</v>
      </c>
      <c r="N159" s="42" t="s">
        <v>58</v>
      </c>
      <c r="O159" s="68" t="s">
        <v>57</v>
      </c>
      <c r="P159" s="68" t="s">
        <v>53</v>
      </c>
      <c r="Q159" s="68">
        <v>9</v>
      </c>
      <c r="R159" s="68">
        <v>3</v>
      </c>
      <c r="S159" s="68" t="s">
        <v>173</v>
      </c>
      <c r="T159" s="42"/>
    </row>
    <row r="160" spans="1:20" ht="15" customHeight="1" x14ac:dyDescent="0.25">
      <c r="A160" s="69" t="s">
        <v>3</v>
      </c>
      <c r="B160" s="100" t="s">
        <v>193</v>
      </c>
      <c r="C160" t="s">
        <v>194</v>
      </c>
      <c r="D160" s="69" t="s">
        <v>8</v>
      </c>
      <c r="E160" s="69" t="s">
        <v>46</v>
      </c>
      <c r="F160" s="70">
        <v>4</v>
      </c>
      <c r="G160" s="70" t="s">
        <v>7</v>
      </c>
      <c r="H160" s="70">
        <v>95.2</v>
      </c>
      <c r="I160" s="70" t="s">
        <v>74</v>
      </c>
      <c r="J160" s="70">
        <f>H160-27.09</f>
        <v>68.11</v>
      </c>
      <c r="K160" s="70">
        <f>H160+27.09</f>
        <v>122.29</v>
      </c>
      <c r="L160" s="42" t="s">
        <v>69</v>
      </c>
      <c r="M160" s="42" t="s">
        <v>6</v>
      </c>
      <c r="N160" s="68" t="s">
        <v>58</v>
      </c>
      <c r="O160" s="72" t="s">
        <v>57</v>
      </c>
      <c r="P160" s="68" t="s">
        <v>53</v>
      </c>
      <c r="Q160" s="68">
        <v>9</v>
      </c>
      <c r="R160" s="68">
        <v>3</v>
      </c>
      <c r="S160" s="68" t="s">
        <v>173</v>
      </c>
      <c r="T160" s="42"/>
    </row>
    <row r="161" spans="1:20" ht="15" customHeight="1" x14ac:dyDescent="0.25">
      <c r="A161" s="71" t="s">
        <v>3</v>
      </c>
      <c r="B161" s="100" t="s">
        <v>193</v>
      </c>
      <c r="C161" t="s">
        <v>194</v>
      </c>
      <c r="D161" s="71" t="s">
        <v>4</v>
      </c>
      <c r="E161" s="71" t="s">
        <v>44</v>
      </c>
      <c r="F161" s="72" t="s">
        <v>5</v>
      </c>
      <c r="G161" s="72" t="s">
        <v>6</v>
      </c>
      <c r="H161" s="72">
        <v>7.42</v>
      </c>
      <c r="I161" s="72" t="s">
        <v>74</v>
      </c>
      <c r="J161" s="72">
        <f>H161-0.79</f>
        <v>6.63</v>
      </c>
      <c r="K161" s="72">
        <f>H161+0.79</f>
        <v>8.2100000000000009</v>
      </c>
      <c r="L161" s="72" t="s">
        <v>69</v>
      </c>
      <c r="M161" s="68" t="s">
        <v>6</v>
      </c>
      <c r="N161" s="68" t="s">
        <v>52</v>
      </c>
      <c r="O161" s="72" t="s">
        <v>54</v>
      </c>
      <c r="P161" s="74" t="s">
        <v>53</v>
      </c>
      <c r="Q161" s="68">
        <v>9</v>
      </c>
      <c r="R161" s="68">
        <v>3</v>
      </c>
      <c r="S161" s="68"/>
      <c r="T161" s="68"/>
    </row>
    <row r="162" spans="1:20" ht="15" customHeight="1" x14ac:dyDescent="0.25">
      <c r="A162" s="71" t="s">
        <v>3</v>
      </c>
      <c r="B162" s="100" t="s">
        <v>193</v>
      </c>
      <c r="C162" t="s">
        <v>194</v>
      </c>
      <c r="D162" s="71" t="s">
        <v>8</v>
      </c>
      <c r="E162" s="71" t="s">
        <v>44</v>
      </c>
      <c r="F162" s="72" t="s">
        <v>9</v>
      </c>
      <c r="G162" s="72" t="s">
        <v>6</v>
      </c>
      <c r="H162" s="68">
        <v>4.68</v>
      </c>
      <c r="I162" s="72" t="s">
        <v>74</v>
      </c>
      <c r="J162" s="68">
        <f>H162-0.43</f>
        <v>4.25</v>
      </c>
      <c r="K162" s="68">
        <f>H162+0.43</f>
        <v>5.1099999999999994</v>
      </c>
      <c r="L162" s="72" t="s">
        <v>69</v>
      </c>
      <c r="M162" s="68" t="s">
        <v>6</v>
      </c>
      <c r="N162" s="68" t="s">
        <v>52</v>
      </c>
      <c r="O162" s="68" t="s">
        <v>54</v>
      </c>
      <c r="P162" s="74" t="s">
        <v>53</v>
      </c>
      <c r="Q162" s="68">
        <v>9</v>
      </c>
      <c r="R162" s="68">
        <v>3</v>
      </c>
      <c r="S162" s="68"/>
      <c r="T162" s="68"/>
    </row>
    <row r="163" spans="1:20" ht="15" customHeight="1" x14ac:dyDescent="0.25">
      <c r="A163" s="69" t="s">
        <v>24</v>
      </c>
      <c r="B163" s="100" t="s">
        <v>261</v>
      </c>
      <c r="C163" t="s">
        <v>262</v>
      </c>
      <c r="D163" s="69" t="s">
        <v>4</v>
      </c>
      <c r="E163" s="69" t="s">
        <v>47</v>
      </c>
      <c r="F163" s="70">
        <v>32</v>
      </c>
      <c r="G163" s="70" t="s">
        <v>7</v>
      </c>
      <c r="H163" s="42">
        <v>32</v>
      </c>
      <c r="I163" s="42" t="s">
        <v>73</v>
      </c>
      <c r="J163" s="42">
        <v>14</v>
      </c>
      <c r="K163" s="42">
        <v>49</v>
      </c>
      <c r="L163" s="42" t="s">
        <v>85</v>
      </c>
      <c r="M163" s="42" t="s">
        <v>7</v>
      </c>
      <c r="N163" s="68" t="s">
        <v>60</v>
      </c>
      <c r="O163" s="68" t="s">
        <v>59</v>
      </c>
      <c r="P163" s="68" t="s">
        <v>86</v>
      </c>
      <c r="Q163" s="68">
        <v>8</v>
      </c>
      <c r="R163" s="68">
        <v>3</v>
      </c>
      <c r="S163" s="42"/>
      <c r="T163" s="42"/>
    </row>
    <row r="164" spans="1:20" ht="15" customHeight="1" x14ac:dyDescent="0.25">
      <c r="A164" s="69" t="s">
        <v>24</v>
      </c>
      <c r="B164" s="100" t="s">
        <v>261</v>
      </c>
      <c r="C164" t="s">
        <v>262</v>
      </c>
      <c r="D164" s="69" t="s">
        <v>8</v>
      </c>
      <c r="E164" s="69" t="s">
        <v>47</v>
      </c>
      <c r="F164" s="70">
        <v>32</v>
      </c>
      <c r="G164" s="70" t="s">
        <v>7</v>
      </c>
      <c r="H164" s="42">
        <v>32</v>
      </c>
      <c r="I164" s="42" t="s">
        <v>73</v>
      </c>
      <c r="J164" s="42">
        <v>14</v>
      </c>
      <c r="K164" s="42">
        <v>49</v>
      </c>
      <c r="L164" s="42" t="s">
        <v>85</v>
      </c>
      <c r="M164" s="42" t="s">
        <v>7</v>
      </c>
      <c r="N164" s="68" t="s">
        <v>60</v>
      </c>
      <c r="O164" s="68" t="s">
        <v>59</v>
      </c>
      <c r="P164" s="68" t="s">
        <v>86</v>
      </c>
      <c r="Q164" s="68">
        <v>8</v>
      </c>
      <c r="R164" s="68">
        <v>3</v>
      </c>
      <c r="S164" s="42"/>
      <c r="T164" s="42"/>
    </row>
    <row r="165" spans="1:20" ht="15" customHeight="1" x14ac:dyDescent="0.25">
      <c r="A165" s="69" t="s">
        <v>42</v>
      </c>
      <c r="B165" s="100" t="s">
        <v>392</v>
      </c>
      <c r="C165" t="s">
        <v>393</v>
      </c>
      <c r="D165" s="69" t="s">
        <v>4</v>
      </c>
      <c r="E165" s="69" t="s">
        <v>47</v>
      </c>
      <c r="F165" s="70">
        <v>15.3</v>
      </c>
      <c r="G165" s="70" t="s">
        <v>13</v>
      </c>
      <c r="H165" s="42">
        <v>18.5</v>
      </c>
      <c r="I165" s="42" t="s">
        <v>74</v>
      </c>
      <c r="J165" s="42">
        <v>10.1</v>
      </c>
      <c r="K165" s="42">
        <v>56.4</v>
      </c>
      <c r="L165" s="68" t="s">
        <v>85</v>
      </c>
      <c r="M165" s="42" t="s">
        <v>63</v>
      </c>
      <c r="N165" s="68" t="s">
        <v>60</v>
      </c>
      <c r="O165" s="68" t="s">
        <v>59</v>
      </c>
      <c r="P165" s="68" t="s">
        <v>91</v>
      </c>
      <c r="Q165" s="68">
        <v>7</v>
      </c>
      <c r="R165" s="68">
        <v>3</v>
      </c>
      <c r="S165" s="68" t="s">
        <v>92</v>
      </c>
      <c r="T165" s="42"/>
    </row>
    <row r="166" spans="1:20" ht="15" customHeight="1" x14ac:dyDescent="0.25">
      <c r="A166" s="69" t="s">
        <v>42</v>
      </c>
      <c r="B166" s="100" t="s">
        <v>392</v>
      </c>
      <c r="C166" t="s">
        <v>393</v>
      </c>
      <c r="D166" s="69" t="s">
        <v>8</v>
      </c>
      <c r="E166" s="69" t="s">
        <v>47</v>
      </c>
      <c r="F166" s="70">
        <v>15.3</v>
      </c>
      <c r="G166" s="70" t="s">
        <v>13</v>
      </c>
      <c r="H166" s="42">
        <v>18.5</v>
      </c>
      <c r="I166" s="42" t="s">
        <v>74</v>
      </c>
      <c r="J166" s="42">
        <v>10.1</v>
      </c>
      <c r="K166" s="42">
        <v>56.4</v>
      </c>
      <c r="L166" s="68" t="s">
        <v>85</v>
      </c>
      <c r="M166" s="42" t="s">
        <v>63</v>
      </c>
      <c r="N166" s="68" t="s">
        <v>60</v>
      </c>
      <c r="O166" s="68" t="s">
        <v>59</v>
      </c>
      <c r="P166" s="68" t="s">
        <v>91</v>
      </c>
      <c r="Q166" s="68">
        <v>7</v>
      </c>
      <c r="R166" s="68">
        <v>3</v>
      </c>
      <c r="S166" s="68" t="s">
        <v>92</v>
      </c>
      <c r="T166" s="42"/>
    </row>
    <row r="167" spans="1:20" ht="15" customHeight="1" x14ac:dyDescent="0.25">
      <c r="A167" s="71" t="s">
        <v>10</v>
      </c>
      <c r="B167" s="100" t="s">
        <v>202</v>
      </c>
      <c r="C167" t="s">
        <v>203</v>
      </c>
      <c r="D167" s="71" t="s">
        <v>4</v>
      </c>
      <c r="E167" s="71" t="s">
        <v>46</v>
      </c>
      <c r="F167" s="72">
        <v>87</v>
      </c>
      <c r="G167" s="72" t="s">
        <v>7</v>
      </c>
      <c r="H167" s="68">
        <v>87</v>
      </c>
      <c r="I167" s="68" t="s">
        <v>75</v>
      </c>
      <c r="J167" s="72">
        <f>H167-27</f>
        <v>60</v>
      </c>
      <c r="K167" s="72">
        <f>H167+27</f>
        <v>114</v>
      </c>
      <c r="L167" s="68" t="s">
        <v>69</v>
      </c>
      <c r="M167" s="68" t="s">
        <v>7</v>
      </c>
      <c r="N167" s="68" t="s">
        <v>60</v>
      </c>
      <c r="O167" s="72" t="s">
        <v>57</v>
      </c>
      <c r="P167" s="68" t="s">
        <v>109</v>
      </c>
      <c r="Q167" s="68">
        <v>6</v>
      </c>
      <c r="R167" s="68">
        <v>3</v>
      </c>
      <c r="S167" s="68" t="s">
        <v>117</v>
      </c>
      <c r="T167" s="68"/>
    </row>
    <row r="168" spans="1:20" ht="15" customHeight="1" x14ac:dyDescent="0.25">
      <c r="A168" s="71" t="s">
        <v>10</v>
      </c>
      <c r="B168" s="100" t="s">
        <v>202</v>
      </c>
      <c r="C168" t="s">
        <v>203</v>
      </c>
      <c r="D168" s="71" t="s">
        <v>8</v>
      </c>
      <c r="E168" s="71" t="s">
        <v>46</v>
      </c>
      <c r="F168" s="72">
        <v>141</v>
      </c>
      <c r="G168" s="72" t="s">
        <v>7</v>
      </c>
      <c r="H168" s="68">
        <v>141</v>
      </c>
      <c r="I168" s="68" t="s">
        <v>75</v>
      </c>
      <c r="J168" s="72">
        <f>H168-30</f>
        <v>111</v>
      </c>
      <c r="K168" s="72">
        <f>H168+30</f>
        <v>171</v>
      </c>
      <c r="L168" s="68" t="s">
        <v>69</v>
      </c>
      <c r="M168" s="68" t="s">
        <v>7</v>
      </c>
      <c r="N168" s="68" t="s">
        <v>60</v>
      </c>
      <c r="O168" s="72" t="s">
        <v>57</v>
      </c>
      <c r="P168" s="68" t="s">
        <v>109</v>
      </c>
      <c r="Q168" s="68">
        <v>6</v>
      </c>
      <c r="R168" s="68">
        <v>3</v>
      </c>
      <c r="S168" s="68" t="s">
        <v>117</v>
      </c>
      <c r="T168" s="68"/>
    </row>
    <row r="169" spans="1:20" ht="15" customHeight="1" x14ac:dyDescent="0.25">
      <c r="A169" s="71" t="s">
        <v>10</v>
      </c>
      <c r="B169" s="100" t="s">
        <v>202</v>
      </c>
      <c r="C169" t="s">
        <v>203</v>
      </c>
      <c r="D169" s="71" t="s">
        <v>4</v>
      </c>
      <c r="E169" s="71" t="s">
        <v>45</v>
      </c>
      <c r="F169" s="68" t="s">
        <v>11</v>
      </c>
      <c r="G169" s="68" t="s">
        <v>7</v>
      </c>
      <c r="H169" s="68">
        <v>26.81</v>
      </c>
      <c r="I169" s="68" t="s">
        <v>75</v>
      </c>
      <c r="J169" s="68"/>
      <c r="K169" s="68"/>
      <c r="L169" s="68"/>
      <c r="M169" s="68" t="s">
        <v>7</v>
      </c>
      <c r="N169" s="68" t="s">
        <v>60</v>
      </c>
      <c r="O169" s="68" t="s">
        <v>54</v>
      </c>
      <c r="P169" s="68" t="s">
        <v>109</v>
      </c>
      <c r="Q169" s="68">
        <v>6</v>
      </c>
      <c r="R169" s="68">
        <v>4</v>
      </c>
      <c r="S169" s="68" t="s">
        <v>115</v>
      </c>
      <c r="T169" s="68"/>
    </row>
    <row r="170" spans="1:20" ht="15" customHeight="1" x14ac:dyDescent="0.25">
      <c r="A170" s="71" t="s">
        <v>10</v>
      </c>
      <c r="B170" s="100" t="s">
        <v>202</v>
      </c>
      <c r="C170" t="s">
        <v>203</v>
      </c>
      <c r="D170" s="71" t="s">
        <v>4</v>
      </c>
      <c r="E170" s="71" t="s">
        <v>45</v>
      </c>
      <c r="F170" s="68" t="s">
        <v>11</v>
      </c>
      <c r="G170" s="68" t="s">
        <v>7</v>
      </c>
      <c r="H170" s="68">
        <v>24.82</v>
      </c>
      <c r="I170" s="68" t="s">
        <v>75</v>
      </c>
      <c r="J170" s="68"/>
      <c r="K170" s="68"/>
      <c r="L170" s="68"/>
      <c r="M170" s="68" t="s">
        <v>7</v>
      </c>
      <c r="N170" s="68" t="s">
        <v>60</v>
      </c>
      <c r="O170" s="68" t="s">
        <v>54</v>
      </c>
      <c r="P170" s="68" t="s">
        <v>109</v>
      </c>
      <c r="Q170" s="68">
        <v>6</v>
      </c>
      <c r="R170" s="68">
        <v>4</v>
      </c>
      <c r="S170" s="68" t="s">
        <v>116</v>
      </c>
      <c r="T170" s="68"/>
    </row>
    <row r="171" spans="1:20" s="3" customFormat="1" ht="15" customHeight="1" x14ac:dyDescent="0.25">
      <c r="A171" s="71" t="s">
        <v>10</v>
      </c>
      <c r="B171" s="100" t="s">
        <v>202</v>
      </c>
      <c r="C171" t="s">
        <v>203</v>
      </c>
      <c r="D171" s="71" t="s">
        <v>8</v>
      </c>
      <c r="E171" s="71" t="s">
        <v>45</v>
      </c>
      <c r="F171" s="68" t="s">
        <v>14</v>
      </c>
      <c r="G171" s="68" t="s">
        <v>7</v>
      </c>
      <c r="H171" s="68">
        <v>27.97</v>
      </c>
      <c r="I171" s="68" t="s">
        <v>75</v>
      </c>
      <c r="J171" s="68"/>
      <c r="K171" s="68"/>
      <c r="L171" s="68"/>
      <c r="M171" s="68" t="s">
        <v>7</v>
      </c>
      <c r="N171" s="68" t="s">
        <v>60</v>
      </c>
      <c r="O171" s="68" t="s">
        <v>54</v>
      </c>
      <c r="P171" s="68" t="s">
        <v>109</v>
      </c>
      <c r="Q171" s="68">
        <v>6</v>
      </c>
      <c r="R171" s="68">
        <v>4</v>
      </c>
      <c r="S171" s="68" t="s">
        <v>115</v>
      </c>
      <c r="T171" s="68"/>
    </row>
    <row r="172" spans="1:20" s="3" customFormat="1" ht="15" customHeight="1" x14ac:dyDescent="0.25">
      <c r="A172" s="71" t="s">
        <v>10</v>
      </c>
      <c r="B172" s="100" t="s">
        <v>202</v>
      </c>
      <c r="C172" t="s">
        <v>203</v>
      </c>
      <c r="D172" s="71" t="s">
        <v>8</v>
      </c>
      <c r="E172" s="71" t="s">
        <v>45</v>
      </c>
      <c r="F172" s="68" t="s">
        <v>14</v>
      </c>
      <c r="G172" s="68" t="s">
        <v>7</v>
      </c>
      <c r="H172" s="68">
        <v>30.5</v>
      </c>
      <c r="I172" s="68" t="s">
        <v>75</v>
      </c>
      <c r="J172" s="68"/>
      <c r="K172" s="68"/>
      <c r="L172" s="68"/>
      <c r="M172" s="68" t="s">
        <v>7</v>
      </c>
      <c r="N172" s="68" t="s">
        <v>60</v>
      </c>
      <c r="O172" s="68" t="s">
        <v>54</v>
      </c>
      <c r="P172" s="68" t="s">
        <v>109</v>
      </c>
      <c r="Q172" s="68">
        <v>6</v>
      </c>
      <c r="R172" s="68">
        <v>4</v>
      </c>
      <c r="S172" s="68" t="s">
        <v>116</v>
      </c>
      <c r="T172" s="68"/>
    </row>
    <row r="173" spans="1:20" s="3" customFormat="1" ht="15" customHeight="1" x14ac:dyDescent="0.25">
      <c r="A173" s="71" t="s">
        <v>10</v>
      </c>
      <c r="B173" s="100" t="s">
        <v>202</v>
      </c>
      <c r="C173" t="s">
        <v>203</v>
      </c>
      <c r="D173" s="71" t="s">
        <v>4</v>
      </c>
      <c r="E173" s="71" t="s">
        <v>44</v>
      </c>
      <c r="F173" s="72">
        <v>1.8</v>
      </c>
      <c r="G173" s="72" t="s">
        <v>7</v>
      </c>
      <c r="H173" s="68">
        <v>0.83</v>
      </c>
      <c r="I173" s="68" t="s">
        <v>75</v>
      </c>
      <c r="J173" s="68">
        <f>H173-0.53</f>
        <v>0.29999999999999993</v>
      </c>
      <c r="K173" s="68">
        <f>H173+0.53</f>
        <v>1.3599999999999999</v>
      </c>
      <c r="L173" s="72" t="s">
        <v>69</v>
      </c>
      <c r="M173" s="68" t="s">
        <v>7</v>
      </c>
      <c r="N173" s="68" t="s">
        <v>52</v>
      </c>
      <c r="O173" s="68" t="s">
        <v>54</v>
      </c>
      <c r="P173" s="68" t="s">
        <v>109</v>
      </c>
      <c r="Q173" s="68">
        <v>6</v>
      </c>
      <c r="R173" s="68">
        <v>3</v>
      </c>
      <c r="S173" s="68" t="s">
        <v>110</v>
      </c>
      <c r="T173" s="68"/>
    </row>
    <row r="174" spans="1:20" s="3" customFormat="1" ht="15" customHeight="1" x14ac:dyDescent="0.25">
      <c r="A174" s="71" t="s">
        <v>10</v>
      </c>
      <c r="B174" s="100" t="s">
        <v>202</v>
      </c>
      <c r="C174" t="s">
        <v>203</v>
      </c>
      <c r="D174" s="71" t="s">
        <v>4</v>
      </c>
      <c r="E174" s="71" t="s">
        <v>44</v>
      </c>
      <c r="F174" s="72">
        <v>1.8</v>
      </c>
      <c r="G174" s="72" t="s">
        <v>7</v>
      </c>
      <c r="H174" s="68">
        <v>1.83</v>
      </c>
      <c r="I174" s="68" t="s">
        <v>75</v>
      </c>
      <c r="J174" s="68">
        <f>H174-0.26</f>
        <v>1.57</v>
      </c>
      <c r="K174" s="68">
        <f>H174+0.26</f>
        <v>2.09</v>
      </c>
      <c r="L174" s="72" t="s">
        <v>69</v>
      </c>
      <c r="M174" s="68" t="s">
        <v>7</v>
      </c>
      <c r="N174" s="68" t="s">
        <v>52</v>
      </c>
      <c r="O174" s="68" t="s">
        <v>57</v>
      </c>
      <c r="P174" s="68" t="s">
        <v>109</v>
      </c>
      <c r="Q174" s="68">
        <v>6</v>
      </c>
      <c r="R174" s="68">
        <v>3</v>
      </c>
      <c r="S174" s="68" t="s">
        <v>111</v>
      </c>
      <c r="T174" s="68"/>
    </row>
    <row r="175" spans="1:20" s="3" customFormat="1" ht="15" customHeight="1" x14ac:dyDescent="0.25">
      <c r="A175" s="71" t="s">
        <v>10</v>
      </c>
      <c r="B175" s="100" t="s">
        <v>202</v>
      </c>
      <c r="C175" t="s">
        <v>203</v>
      </c>
      <c r="D175" s="71" t="s">
        <v>8</v>
      </c>
      <c r="E175" s="71" t="s">
        <v>44</v>
      </c>
      <c r="F175" s="72">
        <v>6.8</v>
      </c>
      <c r="G175" s="72" t="s">
        <v>7</v>
      </c>
      <c r="H175" s="68">
        <v>29.1</v>
      </c>
      <c r="I175" s="68" t="s">
        <v>75</v>
      </c>
      <c r="J175" s="68">
        <f>H175-0.6</f>
        <v>28.5</v>
      </c>
      <c r="K175" s="68">
        <f>H175+0.6</f>
        <v>29.700000000000003</v>
      </c>
      <c r="L175" s="72" t="s">
        <v>69</v>
      </c>
      <c r="M175" s="68" t="s">
        <v>7</v>
      </c>
      <c r="N175" s="68" t="s">
        <v>52</v>
      </c>
      <c r="O175" s="68" t="s">
        <v>57</v>
      </c>
      <c r="P175" s="68" t="s">
        <v>109</v>
      </c>
      <c r="Q175" s="68">
        <v>6</v>
      </c>
      <c r="R175" s="68">
        <v>3</v>
      </c>
      <c r="S175" s="68" t="s">
        <v>113</v>
      </c>
      <c r="T175" s="68"/>
    </row>
    <row r="176" spans="1:20" s="3" customFormat="1" ht="15" customHeight="1" x14ac:dyDescent="0.25">
      <c r="A176" s="71" t="s">
        <v>10</v>
      </c>
      <c r="B176" s="100" t="s">
        <v>202</v>
      </c>
      <c r="C176" t="s">
        <v>203</v>
      </c>
      <c r="D176" s="71" t="s">
        <v>8</v>
      </c>
      <c r="E176" s="71" t="s">
        <v>44</v>
      </c>
      <c r="F176" s="72">
        <v>6.8</v>
      </c>
      <c r="G176" s="72" t="s">
        <v>7</v>
      </c>
      <c r="H176" s="68">
        <v>6.83</v>
      </c>
      <c r="I176" s="68" t="s">
        <v>75</v>
      </c>
      <c r="J176" s="68"/>
      <c r="K176" s="68"/>
      <c r="L176" s="72"/>
      <c r="M176" s="68" t="s">
        <v>7</v>
      </c>
      <c r="N176" s="68" t="s">
        <v>52</v>
      </c>
      <c r="O176" s="68" t="s">
        <v>57</v>
      </c>
      <c r="P176" s="68" t="s">
        <v>109</v>
      </c>
      <c r="Q176" s="68">
        <v>6</v>
      </c>
      <c r="R176" s="68">
        <v>1</v>
      </c>
      <c r="S176" s="68" t="s">
        <v>112</v>
      </c>
      <c r="T176" s="68"/>
    </row>
    <row r="177" spans="1:20" s="3" customFormat="1" ht="15" customHeight="1" x14ac:dyDescent="0.25">
      <c r="A177" s="69" t="s">
        <v>33</v>
      </c>
      <c r="B177" s="100" t="s">
        <v>205</v>
      </c>
      <c r="C177" t="s">
        <v>206</v>
      </c>
      <c r="D177" s="69" t="s">
        <v>4</v>
      </c>
      <c r="E177" s="69" t="s">
        <v>45</v>
      </c>
      <c r="F177" s="42" t="s">
        <v>35</v>
      </c>
      <c r="G177" s="42" t="s">
        <v>7</v>
      </c>
      <c r="H177" s="42">
        <v>25.7</v>
      </c>
      <c r="I177" s="42" t="s">
        <v>75</v>
      </c>
      <c r="J177" s="42">
        <v>22.7</v>
      </c>
      <c r="K177" s="42">
        <v>29.3</v>
      </c>
      <c r="L177" s="42" t="s">
        <v>72</v>
      </c>
      <c r="M177" s="42" t="s">
        <v>7</v>
      </c>
      <c r="N177" s="68" t="s">
        <v>52</v>
      </c>
      <c r="O177" s="68" t="s">
        <v>54</v>
      </c>
      <c r="P177" s="68" t="s">
        <v>147</v>
      </c>
      <c r="Q177" s="68">
        <v>5</v>
      </c>
      <c r="R177" s="68">
        <v>3</v>
      </c>
      <c r="S177" s="68" t="s">
        <v>152</v>
      </c>
      <c r="T177" s="68"/>
    </row>
    <row r="178" spans="1:20" s="3" customFormat="1" ht="15" customHeight="1" x14ac:dyDescent="0.25">
      <c r="A178" s="69" t="s">
        <v>33</v>
      </c>
      <c r="B178" s="100" t="s">
        <v>205</v>
      </c>
      <c r="C178" t="s">
        <v>206</v>
      </c>
      <c r="D178" s="69" t="s">
        <v>4</v>
      </c>
      <c r="E178" s="69" t="s">
        <v>45</v>
      </c>
      <c r="F178" s="42" t="s">
        <v>35</v>
      </c>
      <c r="G178" s="42" t="s">
        <v>7</v>
      </c>
      <c r="H178" s="42">
        <v>68.8</v>
      </c>
      <c r="I178" s="42" t="s">
        <v>75</v>
      </c>
      <c r="J178" s="42">
        <v>44.2</v>
      </c>
      <c r="K178" s="42">
        <v>120</v>
      </c>
      <c r="L178" s="42" t="s">
        <v>72</v>
      </c>
      <c r="M178" s="42" t="s">
        <v>7</v>
      </c>
      <c r="N178" s="68" t="s">
        <v>52</v>
      </c>
      <c r="O178" s="68" t="s">
        <v>54</v>
      </c>
      <c r="P178" s="68" t="s">
        <v>147</v>
      </c>
      <c r="Q178" s="68">
        <v>5</v>
      </c>
      <c r="R178" s="68">
        <v>3</v>
      </c>
      <c r="S178" s="68" t="s">
        <v>153</v>
      </c>
      <c r="T178" s="42"/>
    </row>
    <row r="179" spans="1:20" s="3" customFormat="1" ht="15" customHeight="1" x14ac:dyDescent="0.25">
      <c r="A179" s="69" t="s">
        <v>33</v>
      </c>
      <c r="B179" s="100" t="s">
        <v>205</v>
      </c>
      <c r="C179" t="s">
        <v>206</v>
      </c>
      <c r="D179" s="69" t="s">
        <v>8</v>
      </c>
      <c r="E179" s="69" t="s">
        <v>45</v>
      </c>
      <c r="F179" s="42" t="s">
        <v>38</v>
      </c>
      <c r="G179" s="42" t="s">
        <v>7</v>
      </c>
      <c r="H179" s="42">
        <v>34.4</v>
      </c>
      <c r="I179" s="42" t="s">
        <v>75</v>
      </c>
      <c r="J179" s="42">
        <v>29.1</v>
      </c>
      <c r="K179" s="42">
        <v>41.1</v>
      </c>
      <c r="L179" s="42" t="s">
        <v>72</v>
      </c>
      <c r="M179" s="42" t="s">
        <v>7</v>
      </c>
      <c r="N179" s="68" t="s">
        <v>52</v>
      </c>
      <c r="O179" s="68" t="s">
        <v>54</v>
      </c>
      <c r="P179" s="68" t="s">
        <v>147</v>
      </c>
      <c r="Q179" s="68">
        <v>5</v>
      </c>
      <c r="R179" s="68">
        <v>3</v>
      </c>
      <c r="S179" s="68" t="s">
        <v>152</v>
      </c>
      <c r="T179" s="42"/>
    </row>
    <row r="180" spans="1:20" s="3" customFormat="1" ht="15" customHeight="1" x14ac:dyDescent="0.25">
      <c r="A180" s="69" t="s">
        <v>33</v>
      </c>
      <c r="B180" s="100" t="s">
        <v>205</v>
      </c>
      <c r="C180" t="s">
        <v>206</v>
      </c>
      <c r="D180" s="69" t="s">
        <v>8</v>
      </c>
      <c r="E180" s="69" t="s">
        <v>45</v>
      </c>
      <c r="F180" s="42" t="s">
        <v>38</v>
      </c>
      <c r="G180" s="42" t="s">
        <v>7</v>
      </c>
      <c r="H180" s="42">
        <v>228</v>
      </c>
      <c r="I180" s="42" t="s">
        <v>75</v>
      </c>
      <c r="J180" s="42">
        <v>69.5</v>
      </c>
      <c r="K180" s="42">
        <v>796</v>
      </c>
      <c r="L180" s="42" t="s">
        <v>72</v>
      </c>
      <c r="M180" s="42" t="s">
        <v>7</v>
      </c>
      <c r="N180" s="68" t="s">
        <v>52</v>
      </c>
      <c r="O180" s="68" t="s">
        <v>54</v>
      </c>
      <c r="P180" s="68" t="s">
        <v>147</v>
      </c>
      <c r="Q180" s="68">
        <v>5</v>
      </c>
      <c r="R180" s="68">
        <v>3</v>
      </c>
      <c r="S180" s="68" t="s">
        <v>153</v>
      </c>
      <c r="T180" s="42"/>
    </row>
    <row r="181" spans="1:20" s="3" customFormat="1" ht="15" customHeight="1" x14ac:dyDescent="0.25">
      <c r="A181" s="69" t="s">
        <v>33</v>
      </c>
      <c r="B181" s="100" t="s">
        <v>205</v>
      </c>
      <c r="C181" t="s">
        <v>206</v>
      </c>
      <c r="D181" s="69" t="s">
        <v>4</v>
      </c>
      <c r="E181" s="69" t="s">
        <v>44</v>
      </c>
      <c r="F181" s="70" t="s">
        <v>34</v>
      </c>
      <c r="G181" s="70" t="s">
        <v>7</v>
      </c>
      <c r="H181" s="42">
        <v>32</v>
      </c>
      <c r="I181" s="42" t="s">
        <v>75</v>
      </c>
      <c r="J181" s="70">
        <v>3.2</v>
      </c>
      <c r="K181" s="42">
        <v>119.1</v>
      </c>
      <c r="L181" s="42" t="s">
        <v>72</v>
      </c>
      <c r="M181" s="42" t="s">
        <v>7</v>
      </c>
      <c r="N181" s="68" t="s">
        <v>52</v>
      </c>
      <c r="O181" s="68" t="s">
        <v>57</v>
      </c>
      <c r="P181" s="68" t="s">
        <v>147</v>
      </c>
      <c r="Q181" s="68">
        <v>5</v>
      </c>
      <c r="R181" s="68">
        <v>3</v>
      </c>
      <c r="S181" s="68" t="s">
        <v>151</v>
      </c>
      <c r="T181" s="42"/>
    </row>
    <row r="182" spans="1:20" s="3" customFormat="1" ht="15" customHeight="1" x14ac:dyDescent="0.25">
      <c r="A182" s="69" t="s">
        <v>33</v>
      </c>
      <c r="B182" s="100" t="s">
        <v>205</v>
      </c>
      <c r="C182" t="s">
        <v>206</v>
      </c>
      <c r="D182" s="69" t="s">
        <v>8</v>
      </c>
      <c r="E182" s="69" t="s">
        <v>44</v>
      </c>
      <c r="F182" s="70" t="s">
        <v>37</v>
      </c>
      <c r="G182" s="70" t="s">
        <v>7</v>
      </c>
      <c r="H182" s="42">
        <v>23.6</v>
      </c>
      <c r="I182" s="42" t="s">
        <v>75</v>
      </c>
      <c r="J182" s="70">
        <v>20.2</v>
      </c>
      <c r="K182" s="42">
        <v>27.8</v>
      </c>
      <c r="L182" s="42" t="s">
        <v>72</v>
      </c>
      <c r="M182" s="42" t="s">
        <v>7</v>
      </c>
      <c r="N182" s="68" t="s">
        <v>52</v>
      </c>
      <c r="O182" s="68" t="s">
        <v>57</v>
      </c>
      <c r="P182" s="68" t="s">
        <v>147</v>
      </c>
      <c r="Q182" s="68">
        <v>5</v>
      </c>
      <c r="R182" s="68">
        <v>3</v>
      </c>
      <c r="S182" s="68" t="s">
        <v>149</v>
      </c>
      <c r="T182" s="42"/>
    </row>
    <row r="183" spans="1:20" s="3" customFormat="1" ht="15" customHeight="1" x14ac:dyDescent="0.25">
      <c r="A183" s="69" t="s">
        <v>33</v>
      </c>
      <c r="B183" s="100" t="s">
        <v>205</v>
      </c>
      <c r="C183" t="s">
        <v>206</v>
      </c>
      <c r="D183" s="69" t="s">
        <v>8</v>
      </c>
      <c r="E183" s="69" t="s">
        <v>44</v>
      </c>
      <c r="F183" s="70" t="s">
        <v>37</v>
      </c>
      <c r="G183" s="70" t="s">
        <v>7</v>
      </c>
      <c r="H183" s="42">
        <v>28</v>
      </c>
      <c r="I183" s="42" t="s">
        <v>75</v>
      </c>
      <c r="J183" s="70">
        <v>25</v>
      </c>
      <c r="K183" s="42">
        <v>31.5</v>
      </c>
      <c r="L183" s="42" t="s">
        <v>72</v>
      </c>
      <c r="M183" s="42" t="s">
        <v>7</v>
      </c>
      <c r="N183" s="68" t="s">
        <v>52</v>
      </c>
      <c r="O183" s="68" t="s">
        <v>57</v>
      </c>
      <c r="P183" s="68" t="s">
        <v>147</v>
      </c>
      <c r="Q183" s="68">
        <v>5</v>
      </c>
      <c r="R183" s="68">
        <v>3</v>
      </c>
      <c r="S183" s="68" t="s">
        <v>150</v>
      </c>
      <c r="T183" s="42"/>
    </row>
    <row r="184" spans="1:20" s="3" customFormat="1" ht="15" customHeight="1" x14ac:dyDescent="0.25">
      <c r="A184" s="69" t="s">
        <v>33</v>
      </c>
      <c r="B184" s="100" t="s">
        <v>205</v>
      </c>
      <c r="C184" t="s">
        <v>206</v>
      </c>
      <c r="D184" s="69" t="s">
        <v>8</v>
      </c>
      <c r="E184" s="69" t="s">
        <v>44</v>
      </c>
      <c r="F184" s="70" t="s">
        <v>37</v>
      </c>
      <c r="G184" s="70" t="s">
        <v>7</v>
      </c>
      <c r="H184" s="42">
        <v>42.1</v>
      </c>
      <c r="I184" s="42" t="s">
        <v>75</v>
      </c>
      <c r="J184" s="70">
        <v>33</v>
      </c>
      <c r="K184" s="42">
        <v>55.6</v>
      </c>
      <c r="L184" s="42" t="s">
        <v>72</v>
      </c>
      <c r="M184" s="42" t="s">
        <v>7</v>
      </c>
      <c r="N184" s="68" t="s">
        <v>52</v>
      </c>
      <c r="O184" s="68" t="s">
        <v>57</v>
      </c>
      <c r="P184" s="68" t="s">
        <v>147</v>
      </c>
      <c r="Q184" s="68">
        <v>5</v>
      </c>
      <c r="R184" s="68">
        <v>3</v>
      </c>
      <c r="S184" s="68" t="s">
        <v>148</v>
      </c>
      <c r="T184" s="42"/>
    </row>
    <row r="185" spans="1:20" s="3" customFormat="1" ht="15" customHeight="1" x14ac:dyDescent="0.25">
      <c r="A185" s="71" t="s">
        <v>29</v>
      </c>
      <c r="B185" s="100" t="s">
        <v>221</v>
      </c>
      <c r="C185" t="s">
        <v>222</v>
      </c>
      <c r="D185" s="71" t="s">
        <v>4</v>
      </c>
      <c r="E185" s="71" t="s">
        <v>44</v>
      </c>
      <c r="F185" s="73" t="s">
        <v>30</v>
      </c>
      <c r="G185" s="72" t="s">
        <v>6</v>
      </c>
      <c r="H185" s="68">
        <v>0.5</v>
      </c>
      <c r="I185" s="68" t="s">
        <v>75</v>
      </c>
      <c r="J185" s="72"/>
      <c r="K185" s="68"/>
      <c r="L185" s="68"/>
      <c r="M185" s="68" t="s">
        <v>7</v>
      </c>
      <c r="N185" s="68" t="s">
        <v>60</v>
      </c>
      <c r="O185" s="68" t="s">
        <v>57</v>
      </c>
      <c r="P185" s="68" t="s">
        <v>146</v>
      </c>
      <c r="Q185" s="68">
        <v>4</v>
      </c>
      <c r="R185" s="68">
        <v>3</v>
      </c>
      <c r="S185" s="68" t="s">
        <v>183</v>
      </c>
      <c r="T185" s="68"/>
    </row>
    <row r="186" spans="1:20" s="3" customFormat="1" ht="15" customHeight="1" x14ac:dyDescent="0.25">
      <c r="A186" s="71" t="s">
        <v>29</v>
      </c>
      <c r="B186" s="100" t="s">
        <v>221</v>
      </c>
      <c r="C186" t="s">
        <v>222</v>
      </c>
      <c r="D186" s="71" t="s">
        <v>8</v>
      </c>
      <c r="E186" s="71" t="s">
        <v>44</v>
      </c>
      <c r="F186" s="73" t="s">
        <v>32</v>
      </c>
      <c r="G186" s="72" t="s">
        <v>7</v>
      </c>
      <c r="H186" s="68">
        <v>15</v>
      </c>
      <c r="I186" s="68" t="s">
        <v>75</v>
      </c>
      <c r="J186" s="72"/>
      <c r="K186" s="68"/>
      <c r="L186" s="68"/>
      <c r="M186" s="68" t="s">
        <v>7</v>
      </c>
      <c r="N186" s="68" t="s">
        <v>60</v>
      </c>
      <c r="O186" s="68" t="s">
        <v>57</v>
      </c>
      <c r="P186" s="68" t="s">
        <v>146</v>
      </c>
      <c r="Q186" s="68">
        <v>4</v>
      </c>
      <c r="R186" s="68">
        <v>3</v>
      </c>
      <c r="S186" s="68" t="s">
        <v>183</v>
      </c>
      <c r="T186" s="68"/>
    </row>
    <row r="187" spans="1:20" s="3" customFormat="1" ht="15" customHeight="1" x14ac:dyDescent="0.25">
      <c r="A187" s="71" t="s">
        <v>10</v>
      </c>
      <c r="B187" s="100" t="s">
        <v>202</v>
      </c>
      <c r="C187" t="s">
        <v>203</v>
      </c>
      <c r="D187" s="71" t="s">
        <v>4</v>
      </c>
      <c r="E187" s="71" t="s">
        <v>47</v>
      </c>
      <c r="F187" s="72" t="s">
        <v>12</v>
      </c>
      <c r="G187" s="72" t="s">
        <v>13</v>
      </c>
      <c r="H187" s="68">
        <v>15.5</v>
      </c>
      <c r="I187" s="68" t="s">
        <v>74</v>
      </c>
      <c r="J187" s="68">
        <v>13.4</v>
      </c>
      <c r="K187" s="68">
        <v>17.600000000000001</v>
      </c>
      <c r="L187" s="68" t="s">
        <v>85</v>
      </c>
      <c r="M187" s="68" t="s">
        <v>63</v>
      </c>
      <c r="N187" s="68" t="s">
        <v>60</v>
      </c>
      <c r="O187" s="68" t="s">
        <v>59</v>
      </c>
      <c r="P187" s="68" t="s">
        <v>93</v>
      </c>
      <c r="Q187" s="68">
        <v>3</v>
      </c>
      <c r="R187" s="68">
        <v>45</v>
      </c>
      <c r="S187" s="68" t="s">
        <v>182</v>
      </c>
      <c r="T187" s="68"/>
    </row>
    <row r="188" spans="1:20" s="3" customFormat="1" ht="24" customHeight="1" x14ac:dyDescent="0.25">
      <c r="A188" s="71" t="s">
        <v>10</v>
      </c>
      <c r="B188" s="100" t="s">
        <v>202</v>
      </c>
      <c r="C188" t="s">
        <v>203</v>
      </c>
      <c r="D188" s="71" t="s">
        <v>8</v>
      </c>
      <c r="E188" s="71" t="s">
        <v>47</v>
      </c>
      <c r="F188" s="72" t="s">
        <v>12</v>
      </c>
      <c r="G188" s="72" t="s">
        <v>13</v>
      </c>
      <c r="H188" s="68">
        <v>15.5</v>
      </c>
      <c r="I188" s="68" t="s">
        <v>74</v>
      </c>
      <c r="J188" s="68">
        <v>13.4</v>
      </c>
      <c r="K188" s="68">
        <v>17.600000000000001</v>
      </c>
      <c r="L188" s="68" t="s">
        <v>85</v>
      </c>
      <c r="M188" s="68" t="s">
        <v>63</v>
      </c>
      <c r="N188" s="68" t="s">
        <v>60</v>
      </c>
      <c r="O188" s="68" t="s">
        <v>59</v>
      </c>
      <c r="P188" s="68" t="s">
        <v>93</v>
      </c>
      <c r="Q188" s="68">
        <v>3</v>
      </c>
      <c r="R188" s="68">
        <v>45</v>
      </c>
      <c r="S188" s="68" t="s">
        <v>182</v>
      </c>
      <c r="T188" s="68"/>
    </row>
    <row r="189" spans="1:20" s="3" customFormat="1" ht="15" customHeight="1" x14ac:dyDescent="0.25">
      <c r="A189" s="71" t="s">
        <v>29</v>
      </c>
      <c r="B189" s="100" t="s">
        <v>221</v>
      </c>
      <c r="C189" t="s">
        <v>222</v>
      </c>
      <c r="D189" s="71" t="s">
        <v>4</v>
      </c>
      <c r="E189" s="71" t="s">
        <v>47</v>
      </c>
      <c r="F189" s="72" t="s">
        <v>31</v>
      </c>
      <c r="G189" s="72" t="s">
        <v>13</v>
      </c>
      <c r="H189" s="68">
        <v>3.9</v>
      </c>
      <c r="I189" s="68" t="s">
        <v>75</v>
      </c>
      <c r="J189" s="68">
        <v>3.5</v>
      </c>
      <c r="K189" s="68">
        <v>4.0999999999999996</v>
      </c>
      <c r="L189" s="68" t="s">
        <v>85</v>
      </c>
      <c r="M189" s="68" t="s">
        <v>63</v>
      </c>
      <c r="N189" s="68" t="s">
        <v>60</v>
      </c>
      <c r="O189" s="68" t="s">
        <v>59</v>
      </c>
      <c r="P189" s="68" t="s">
        <v>93</v>
      </c>
      <c r="Q189" s="68">
        <v>3</v>
      </c>
      <c r="R189" s="68">
        <v>45</v>
      </c>
      <c r="S189" s="68" t="s">
        <v>182</v>
      </c>
      <c r="T189" s="68"/>
    </row>
    <row r="190" spans="1:20" s="3" customFormat="1" ht="24" customHeight="1" x14ac:dyDescent="0.25">
      <c r="A190" s="71" t="s">
        <v>29</v>
      </c>
      <c r="B190" s="100" t="s">
        <v>221</v>
      </c>
      <c r="C190" t="s">
        <v>222</v>
      </c>
      <c r="D190" s="71" t="s">
        <v>8</v>
      </c>
      <c r="E190" s="71" t="s">
        <v>47</v>
      </c>
      <c r="F190" s="72" t="s">
        <v>31</v>
      </c>
      <c r="G190" s="72" t="s">
        <v>13</v>
      </c>
      <c r="H190" s="68">
        <v>3.9</v>
      </c>
      <c r="I190" s="68" t="s">
        <v>75</v>
      </c>
      <c r="J190" s="68">
        <v>3.5</v>
      </c>
      <c r="K190" s="68">
        <v>4.0999999999999996</v>
      </c>
      <c r="L190" s="68" t="s">
        <v>85</v>
      </c>
      <c r="M190" s="68" t="s">
        <v>63</v>
      </c>
      <c r="N190" s="68" t="s">
        <v>60</v>
      </c>
      <c r="O190" s="68" t="s">
        <v>59</v>
      </c>
      <c r="P190" s="68" t="s">
        <v>93</v>
      </c>
      <c r="Q190" s="68">
        <v>3</v>
      </c>
      <c r="R190" s="68">
        <v>45</v>
      </c>
      <c r="S190" s="68" t="s">
        <v>182</v>
      </c>
      <c r="T190" s="68"/>
    </row>
    <row r="191" spans="1:20" s="3" customFormat="1" ht="24" customHeight="1" x14ac:dyDescent="0.25">
      <c r="A191" s="71" t="s">
        <v>15</v>
      </c>
      <c r="B191" s="100" t="s">
        <v>208</v>
      </c>
      <c r="C191" t="s">
        <v>209</v>
      </c>
      <c r="D191" s="71" t="s">
        <v>4</v>
      </c>
      <c r="E191" s="71" t="s">
        <v>47</v>
      </c>
      <c r="F191" s="72" t="s">
        <v>18</v>
      </c>
      <c r="G191" s="72" t="s">
        <v>13</v>
      </c>
      <c r="H191" s="68">
        <v>3.3</v>
      </c>
      <c r="I191" s="68" t="s">
        <v>74</v>
      </c>
      <c r="J191" s="68">
        <v>3</v>
      </c>
      <c r="K191" s="68">
        <v>3.6</v>
      </c>
      <c r="L191" s="68" t="s">
        <v>85</v>
      </c>
      <c r="M191" s="68" t="s">
        <v>63</v>
      </c>
      <c r="N191" s="68" t="s">
        <v>60</v>
      </c>
      <c r="O191" s="68" t="s">
        <v>59</v>
      </c>
      <c r="P191" s="68" t="s">
        <v>93</v>
      </c>
      <c r="Q191" s="68">
        <v>3</v>
      </c>
      <c r="R191" s="68">
        <v>45</v>
      </c>
      <c r="S191" s="68" t="s">
        <v>182</v>
      </c>
      <c r="T191" s="68"/>
    </row>
    <row r="192" spans="1:20" s="3" customFormat="1" ht="24" customHeight="1" x14ac:dyDescent="0.25">
      <c r="A192" s="71" t="s">
        <v>15</v>
      </c>
      <c r="B192" s="100" t="s">
        <v>208</v>
      </c>
      <c r="C192" t="s">
        <v>209</v>
      </c>
      <c r="D192" s="71" t="s">
        <v>8</v>
      </c>
      <c r="E192" s="71" t="s">
        <v>47</v>
      </c>
      <c r="F192" s="72" t="s">
        <v>18</v>
      </c>
      <c r="G192" s="72" t="s">
        <v>13</v>
      </c>
      <c r="H192" s="68">
        <v>3.3</v>
      </c>
      <c r="I192" s="68" t="s">
        <v>74</v>
      </c>
      <c r="J192" s="68">
        <v>3</v>
      </c>
      <c r="K192" s="68">
        <v>3.6</v>
      </c>
      <c r="L192" s="68" t="s">
        <v>85</v>
      </c>
      <c r="M192" s="68" t="s">
        <v>63</v>
      </c>
      <c r="N192" s="68" t="s">
        <v>60</v>
      </c>
      <c r="O192" s="68" t="s">
        <v>59</v>
      </c>
      <c r="P192" s="68" t="s">
        <v>93</v>
      </c>
      <c r="Q192" s="68">
        <v>3</v>
      </c>
      <c r="R192" s="68">
        <v>45</v>
      </c>
      <c r="S192" s="68" t="s">
        <v>182</v>
      </c>
      <c r="T192" s="68"/>
    </row>
    <row r="193" spans="1:20" s="3" customFormat="1" ht="24" customHeight="1" x14ac:dyDescent="0.25">
      <c r="A193" s="69" t="s">
        <v>3</v>
      </c>
      <c r="B193" s="100" t="s">
        <v>193</v>
      </c>
      <c r="C193" t="s">
        <v>194</v>
      </c>
      <c r="D193" s="69" t="s">
        <v>4</v>
      </c>
      <c r="E193" s="69" t="s">
        <v>47</v>
      </c>
      <c r="F193" s="42">
        <v>28</v>
      </c>
      <c r="G193" s="42" t="s">
        <v>7</v>
      </c>
      <c r="H193" s="42">
        <v>0.12</v>
      </c>
      <c r="I193" s="42" t="s">
        <v>75</v>
      </c>
      <c r="J193" s="70">
        <v>0.1</v>
      </c>
      <c r="K193" s="42">
        <v>0.15</v>
      </c>
      <c r="L193" s="42" t="s">
        <v>72</v>
      </c>
      <c r="M193" s="42" t="s">
        <v>63</v>
      </c>
      <c r="N193" s="42" t="s">
        <v>60</v>
      </c>
      <c r="O193" s="68" t="s">
        <v>59</v>
      </c>
      <c r="P193" s="68" t="s">
        <v>64</v>
      </c>
      <c r="Q193" s="68">
        <v>2</v>
      </c>
      <c r="R193" s="68">
        <v>3</v>
      </c>
      <c r="S193" s="42" t="s">
        <v>62</v>
      </c>
      <c r="T193" s="42"/>
    </row>
    <row r="194" spans="1:20" s="3" customFormat="1" ht="24" customHeight="1" x14ac:dyDescent="0.25">
      <c r="A194" s="69" t="s">
        <v>3</v>
      </c>
      <c r="B194" s="100" t="s">
        <v>193</v>
      </c>
      <c r="C194" t="s">
        <v>194</v>
      </c>
      <c r="D194" s="69" t="s">
        <v>8</v>
      </c>
      <c r="E194" s="69" t="s">
        <v>47</v>
      </c>
      <c r="F194" s="42">
        <v>28</v>
      </c>
      <c r="G194" s="42" t="s">
        <v>7</v>
      </c>
      <c r="H194" s="42">
        <v>0.12</v>
      </c>
      <c r="I194" s="42" t="s">
        <v>75</v>
      </c>
      <c r="J194" s="70">
        <v>0.1</v>
      </c>
      <c r="K194" s="42">
        <v>0.15</v>
      </c>
      <c r="L194" s="42" t="s">
        <v>72</v>
      </c>
      <c r="M194" s="42" t="s">
        <v>63</v>
      </c>
      <c r="N194" s="68" t="s">
        <v>60</v>
      </c>
      <c r="O194" s="68" t="s">
        <v>59</v>
      </c>
      <c r="P194" s="68" t="s">
        <v>64</v>
      </c>
      <c r="Q194" s="68">
        <v>2</v>
      </c>
      <c r="R194" s="68">
        <v>3</v>
      </c>
      <c r="S194" s="42" t="s">
        <v>62</v>
      </c>
      <c r="T194" s="42"/>
    </row>
    <row r="195" spans="1:20" s="3" customFormat="1" ht="24" customHeight="1" x14ac:dyDescent="0.25">
      <c r="A195" s="69" t="s">
        <v>28</v>
      </c>
      <c r="B195" s="100" t="s">
        <v>199</v>
      </c>
      <c r="C195" t="s">
        <v>200</v>
      </c>
      <c r="D195" s="69" t="s">
        <v>4</v>
      </c>
      <c r="E195" s="69" t="s">
        <v>47</v>
      </c>
      <c r="F195" s="42"/>
      <c r="G195" s="42" t="s">
        <v>13</v>
      </c>
      <c r="H195" s="42">
        <v>0.17</v>
      </c>
      <c r="I195" s="42" t="s">
        <v>75</v>
      </c>
      <c r="J195" s="42">
        <v>0.14000000000000001</v>
      </c>
      <c r="K195" s="42">
        <v>0.22</v>
      </c>
      <c r="L195" s="42" t="s">
        <v>72</v>
      </c>
      <c r="M195" s="42" t="s">
        <v>63</v>
      </c>
      <c r="N195" s="68" t="s">
        <v>60</v>
      </c>
      <c r="O195" s="68" t="s">
        <v>59</v>
      </c>
      <c r="P195" s="68" t="s">
        <v>64</v>
      </c>
      <c r="Q195" s="68">
        <v>2</v>
      </c>
      <c r="R195" s="68">
        <v>3</v>
      </c>
      <c r="S195" s="42" t="s">
        <v>62</v>
      </c>
      <c r="T195" s="42"/>
    </row>
    <row r="196" spans="1:20" s="3" customFormat="1" ht="15" customHeight="1" x14ac:dyDescent="0.25">
      <c r="A196" s="69" t="s">
        <v>28</v>
      </c>
      <c r="B196" s="100" t="s">
        <v>199</v>
      </c>
      <c r="C196" t="s">
        <v>200</v>
      </c>
      <c r="D196" s="69" t="s">
        <v>8</v>
      </c>
      <c r="E196" s="69" t="s">
        <v>47</v>
      </c>
      <c r="F196" s="42"/>
      <c r="G196" s="42" t="s">
        <v>13</v>
      </c>
      <c r="H196" s="42">
        <v>0.17</v>
      </c>
      <c r="I196" s="42" t="s">
        <v>75</v>
      </c>
      <c r="J196" s="42">
        <v>0.14000000000000001</v>
      </c>
      <c r="K196" s="42">
        <v>0.22</v>
      </c>
      <c r="L196" s="42" t="s">
        <v>72</v>
      </c>
      <c r="M196" s="42" t="s">
        <v>63</v>
      </c>
      <c r="N196" s="68" t="s">
        <v>60</v>
      </c>
      <c r="O196" s="68" t="s">
        <v>59</v>
      </c>
      <c r="P196" s="68" t="s">
        <v>64</v>
      </c>
      <c r="Q196" s="68">
        <v>2</v>
      </c>
      <c r="R196" s="68">
        <v>3</v>
      </c>
      <c r="S196" s="42" t="s">
        <v>62</v>
      </c>
      <c r="T196" s="42"/>
    </row>
    <row r="197" spans="1:20" s="3" customFormat="1" ht="15" customHeight="1" x14ac:dyDescent="0.25">
      <c r="A197" s="69" t="s">
        <v>10</v>
      </c>
      <c r="B197" s="100" t="s">
        <v>202</v>
      </c>
      <c r="C197" t="s">
        <v>203</v>
      </c>
      <c r="D197" s="69" t="s">
        <v>4</v>
      </c>
      <c r="E197" s="69" t="s">
        <v>47</v>
      </c>
      <c r="F197" s="70" t="s">
        <v>12</v>
      </c>
      <c r="G197" s="70" t="s">
        <v>13</v>
      </c>
      <c r="H197" s="42">
        <v>2.86</v>
      </c>
      <c r="I197" s="42" t="s">
        <v>75</v>
      </c>
      <c r="J197" s="42">
        <v>2.1</v>
      </c>
      <c r="K197" s="42">
        <v>4.4470000000000001</v>
      </c>
      <c r="L197" s="42" t="s">
        <v>72</v>
      </c>
      <c r="M197" s="42" t="s">
        <v>63</v>
      </c>
      <c r="N197" s="68" t="s">
        <v>60</v>
      </c>
      <c r="O197" s="68" t="s">
        <v>59</v>
      </c>
      <c r="P197" s="68" t="s">
        <v>64</v>
      </c>
      <c r="Q197" s="68">
        <v>2</v>
      </c>
      <c r="R197" s="68">
        <v>3</v>
      </c>
      <c r="S197" s="42" t="s">
        <v>62</v>
      </c>
      <c r="T197" s="42"/>
    </row>
    <row r="198" spans="1:20" s="3" customFormat="1" ht="15" customHeight="1" x14ac:dyDescent="0.25">
      <c r="A198" s="69" t="s">
        <v>10</v>
      </c>
      <c r="B198" s="100" t="s">
        <v>202</v>
      </c>
      <c r="C198" t="s">
        <v>203</v>
      </c>
      <c r="D198" s="69" t="s">
        <v>8</v>
      </c>
      <c r="E198" s="69" t="s">
        <v>47</v>
      </c>
      <c r="F198" s="70" t="s">
        <v>12</v>
      </c>
      <c r="G198" s="70" t="s">
        <v>13</v>
      </c>
      <c r="H198" s="42">
        <v>2.86</v>
      </c>
      <c r="I198" s="42" t="s">
        <v>75</v>
      </c>
      <c r="J198" s="42">
        <v>2.1</v>
      </c>
      <c r="K198" s="42">
        <v>4.4470000000000001</v>
      </c>
      <c r="L198" s="42" t="s">
        <v>72</v>
      </c>
      <c r="M198" s="42" t="s">
        <v>63</v>
      </c>
      <c r="N198" s="68" t="s">
        <v>60</v>
      </c>
      <c r="O198" s="68" t="s">
        <v>59</v>
      </c>
      <c r="P198" s="68" t="s">
        <v>64</v>
      </c>
      <c r="Q198" s="68">
        <v>2</v>
      </c>
      <c r="R198" s="68">
        <v>3</v>
      </c>
      <c r="S198" s="42" t="s">
        <v>62</v>
      </c>
      <c r="T198" s="42"/>
    </row>
    <row r="199" spans="1:20" s="3" customFormat="1" ht="15" customHeight="1" x14ac:dyDescent="0.25">
      <c r="A199" s="69" t="s">
        <v>29</v>
      </c>
      <c r="B199" s="100" t="s">
        <v>221</v>
      </c>
      <c r="C199" t="s">
        <v>222</v>
      </c>
      <c r="D199" s="69" t="s">
        <v>4</v>
      </c>
      <c r="E199" s="69" t="s">
        <v>47</v>
      </c>
      <c r="F199" s="70" t="s">
        <v>31</v>
      </c>
      <c r="G199" s="70" t="s">
        <v>13</v>
      </c>
      <c r="H199" s="42">
        <v>1.77</v>
      </c>
      <c r="I199" s="42" t="s">
        <v>75</v>
      </c>
      <c r="J199" s="42">
        <v>1.43</v>
      </c>
      <c r="K199" s="42">
        <v>2.3199999999999998</v>
      </c>
      <c r="L199" s="42" t="s">
        <v>72</v>
      </c>
      <c r="M199" s="42" t="s">
        <v>63</v>
      </c>
      <c r="N199" s="68" t="s">
        <v>60</v>
      </c>
      <c r="O199" s="68" t="s">
        <v>59</v>
      </c>
      <c r="P199" s="68" t="s">
        <v>64</v>
      </c>
      <c r="Q199" s="68">
        <v>2</v>
      </c>
      <c r="R199" s="68">
        <v>3</v>
      </c>
      <c r="S199" s="42" t="s">
        <v>62</v>
      </c>
      <c r="T199" s="42"/>
    </row>
    <row r="200" spans="1:20" s="3" customFormat="1" ht="15" customHeight="1" x14ac:dyDescent="0.25">
      <c r="A200" s="69" t="s">
        <v>29</v>
      </c>
      <c r="B200" s="100" t="s">
        <v>221</v>
      </c>
      <c r="C200" t="s">
        <v>222</v>
      </c>
      <c r="D200" s="69" t="s">
        <v>8</v>
      </c>
      <c r="E200" s="69" t="s">
        <v>47</v>
      </c>
      <c r="F200" s="70" t="s">
        <v>31</v>
      </c>
      <c r="G200" s="70" t="s">
        <v>13</v>
      </c>
      <c r="H200" s="42">
        <v>1.77</v>
      </c>
      <c r="I200" s="42" t="s">
        <v>75</v>
      </c>
      <c r="J200" s="42">
        <v>1.43</v>
      </c>
      <c r="K200" s="42">
        <v>2.3199999999999998</v>
      </c>
      <c r="L200" s="42" t="s">
        <v>72</v>
      </c>
      <c r="M200" s="42" t="s">
        <v>63</v>
      </c>
      <c r="N200" s="68" t="s">
        <v>60</v>
      </c>
      <c r="O200" s="68" t="s">
        <v>59</v>
      </c>
      <c r="P200" s="68" t="s">
        <v>64</v>
      </c>
      <c r="Q200" s="68">
        <v>2</v>
      </c>
      <c r="R200" s="68">
        <v>3</v>
      </c>
      <c r="S200" s="42" t="s">
        <v>62</v>
      </c>
      <c r="T200" s="42"/>
    </row>
    <row r="201" spans="1:20" s="3" customFormat="1" ht="15" customHeight="1" x14ac:dyDescent="0.25">
      <c r="A201" s="71" t="s">
        <v>15</v>
      </c>
      <c r="B201" s="100" t="s">
        <v>208</v>
      </c>
      <c r="C201" t="s">
        <v>209</v>
      </c>
      <c r="D201" s="71" t="s">
        <v>4</v>
      </c>
      <c r="E201" s="71" t="s">
        <v>47</v>
      </c>
      <c r="F201" s="72" t="s">
        <v>18</v>
      </c>
      <c r="G201" s="72" t="s">
        <v>13</v>
      </c>
      <c r="H201" s="68">
        <v>2.91</v>
      </c>
      <c r="I201" s="68" t="s">
        <v>75</v>
      </c>
      <c r="J201" s="68">
        <v>1.71</v>
      </c>
      <c r="K201" s="68">
        <v>9.6300000000000008</v>
      </c>
      <c r="L201" s="68" t="s">
        <v>72</v>
      </c>
      <c r="M201" s="68" t="s">
        <v>63</v>
      </c>
      <c r="N201" s="68" t="s">
        <v>60</v>
      </c>
      <c r="O201" s="68" t="s">
        <v>59</v>
      </c>
      <c r="P201" s="68" t="s">
        <v>64</v>
      </c>
      <c r="Q201" s="68">
        <v>2</v>
      </c>
      <c r="R201" s="68">
        <v>3</v>
      </c>
      <c r="S201" s="68" t="s">
        <v>62</v>
      </c>
      <c r="T201" s="68"/>
    </row>
    <row r="202" spans="1:20" s="3" customFormat="1" ht="15" customHeight="1" x14ac:dyDescent="0.25">
      <c r="A202" s="69" t="s">
        <v>15</v>
      </c>
      <c r="B202" s="100" t="s">
        <v>208</v>
      </c>
      <c r="C202" t="s">
        <v>209</v>
      </c>
      <c r="D202" s="69" t="s">
        <v>8</v>
      </c>
      <c r="E202" s="69" t="s">
        <v>47</v>
      </c>
      <c r="F202" s="70" t="s">
        <v>18</v>
      </c>
      <c r="G202" s="70" t="s">
        <v>13</v>
      </c>
      <c r="H202" s="42">
        <v>2.91</v>
      </c>
      <c r="I202" s="42" t="s">
        <v>75</v>
      </c>
      <c r="J202" s="42">
        <v>1.1000000000000001</v>
      </c>
      <c r="K202" s="42">
        <v>9.6300000000000008</v>
      </c>
      <c r="L202" s="42" t="s">
        <v>72</v>
      </c>
      <c r="M202" s="42" t="s">
        <v>63</v>
      </c>
      <c r="N202" s="68" t="s">
        <v>60</v>
      </c>
      <c r="O202" s="68" t="s">
        <v>59</v>
      </c>
      <c r="P202" s="68" t="s">
        <v>64</v>
      </c>
      <c r="Q202" s="68">
        <v>2</v>
      </c>
      <c r="R202" s="68">
        <v>3</v>
      </c>
      <c r="S202" s="42" t="s">
        <v>62</v>
      </c>
      <c r="T202" s="42"/>
    </row>
    <row r="203" spans="1:20" s="3" customFormat="1" ht="15" customHeight="1" x14ac:dyDescent="0.25">
      <c r="A203" s="69" t="s">
        <v>65</v>
      </c>
      <c r="B203" s="100" t="s">
        <v>395</v>
      </c>
      <c r="C203" t="s">
        <v>396</v>
      </c>
      <c r="D203" s="69" t="s">
        <v>4</v>
      </c>
      <c r="E203" s="69" t="s">
        <v>47</v>
      </c>
      <c r="F203" s="70"/>
      <c r="G203" s="70" t="s">
        <v>13</v>
      </c>
      <c r="H203" s="42">
        <v>0.63</v>
      </c>
      <c r="I203" s="42" t="s">
        <v>75</v>
      </c>
      <c r="J203" s="42">
        <v>0.46</v>
      </c>
      <c r="K203" s="42">
        <v>1.01</v>
      </c>
      <c r="L203" s="42" t="s">
        <v>72</v>
      </c>
      <c r="M203" s="42" t="s">
        <v>63</v>
      </c>
      <c r="N203" s="68" t="s">
        <v>60</v>
      </c>
      <c r="O203" s="68" t="s">
        <v>59</v>
      </c>
      <c r="P203" s="68" t="s">
        <v>64</v>
      </c>
      <c r="Q203" s="68">
        <v>2</v>
      </c>
      <c r="R203" s="68">
        <v>3</v>
      </c>
      <c r="S203" s="42" t="s">
        <v>62</v>
      </c>
      <c r="T203" s="42"/>
    </row>
    <row r="204" spans="1:20" s="3" customFormat="1" ht="15.75" customHeight="1" x14ac:dyDescent="0.25">
      <c r="A204" s="69" t="s">
        <v>65</v>
      </c>
      <c r="B204" s="100" t="s">
        <v>395</v>
      </c>
      <c r="C204" t="s">
        <v>396</v>
      </c>
      <c r="D204" s="69" t="s">
        <v>8</v>
      </c>
      <c r="E204" s="69" t="s">
        <v>47</v>
      </c>
      <c r="F204" s="70"/>
      <c r="G204" s="70" t="s">
        <v>13</v>
      </c>
      <c r="H204" s="42">
        <v>0.63</v>
      </c>
      <c r="I204" s="42" t="s">
        <v>75</v>
      </c>
      <c r="J204" s="42">
        <v>0.46</v>
      </c>
      <c r="K204" s="42">
        <v>1.01</v>
      </c>
      <c r="L204" s="42" t="s">
        <v>72</v>
      </c>
      <c r="M204" s="42" t="s">
        <v>63</v>
      </c>
      <c r="N204" s="68" t="s">
        <v>60</v>
      </c>
      <c r="O204" s="68" t="s">
        <v>59</v>
      </c>
      <c r="P204" s="68" t="s">
        <v>64</v>
      </c>
      <c r="Q204" s="68">
        <v>2</v>
      </c>
      <c r="R204" s="68">
        <v>3</v>
      </c>
      <c r="S204" s="42" t="s">
        <v>62</v>
      </c>
      <c r="T204" s="42"/>
    </row>
    <row r="205" spans="1:20" s="3" customFormat="1" ht="15" customHeight="1" x14ac:dyDescent="0.25">
      <c r="A205" s="69" t="s">
        <v>39</v>
      </c>
      <c r="B205" s="100" t="s">
        <v>196</v>
      </c>
      <c r="C205" t="s">
        <v>197</v>
      </c>
      <c r="D205" s="69" t="s">
        <v>4</v>
      </c>
      <c r="E205" s="69" t="s">
        <v>47</v>
      </c>
      <c r="F205" s="42"/>
      <c r="G205" s="42" t="s">
        <v>13</v>
      </c>
      <c r="H205" s="42">
        <v>4</v>
      </c>
      <c r="I205" s="68" t="s">
        <v>73</v>
      </c>
      <c r="J205" s="42">
        <v>1.2</v>
      </c>
      <c r="K205" s="42">
        <v>7.7</v>
      </c>
      <c r="L205" s="42" t="s">
        <v>85</v>
      </c>
      <c r="M205" s="42" t="s">
        <v>63</v>
      </c>
      <c r="N205" s="68" t="s">
        <v>60</v>
      </c>
      <c r="O205" s="68" t="s">
        <v>59</v>
      </c>
      <c r="P205" s="68" t="s">
        <v>87</v>
      </c>
      <c r="Q205" s="68">
        <v>1</v>
      </c>
      <c r="R205" s="68">
        <v>3</v>
      </c>
      <c r="S205" s="68" t="s">
        <v>88</v>
      </c>
      <c r="T205" s="42"/>
    </row>
    <row r="206" spans="1:20" s="3" customFormat="1" ht="15" customHeight="1" x14ac:dyDescent="0.25">
      <c r="A206" s="69" t="s">
        <v>39</v>
      </c>
      <c r="B206" s="100" t="s">
        <v>196</v>
      </c>
      <c r="C206" t="s">
        <v>197</v>
      </c>
      <c r="D206" s="69" t="s">
        <v>8</v>
      </c>
      <c r="E206" s="69" t="s">
        <v>47</v>
      </c>
      <c r="F206" s="42"/>
      <c r="G206" s="42" t="s">
        <v>13</v>
      </c>
      <c r="H206" s="42">
        <v>7.1</v>
      </c>
      <c r="I206" s="42" t="s">
        <v>73</v>
      </c>
      <c r="J206" s="42">
        <v>0.57999999999999996</v>
      </c>
      <c r="K206" s="42">
        <v>60</v>
      </c>
      <c r="L206" s="42" t="s">
        <v>85</v>
      </c>
      <c r="M206" s="42" t="s">
        <v>63</v>
      </c>
      <c r="N206" s="68" t="s">
        <v>60</v>
      </c>
      <c r="O206" s="68" t="s">
        <v>59</v>
      </c>
      <c r="P206" s="68" t="s">
        <v>87</v>
      </c>
      <c r="Q206" s="68">
        <v>1</v>
      </c>
      <c r="R206" s="68">
        <v>3</v>
      </c>
      <c r="S206" s="68" t="s">
        <v>89</v>
      </c>
      <c r="T206" s="42"/>
    </row>
    <row r="207" spans="1:20" s="3" customFormat="1" ht="15" customHeight="1" x14ac:dyDescent="0.25">
      <c r="A207" s="69" t="s">
        <v>28</v>
      </c>
      <c r="B207" s="100" t="s">
        <v>199</v>
      </c>
      <c r="C207" t="s">
        <v>200</v>
      </c>
      <c r="D207" s="69" t="s">
        <v>4</v>
      </c>
      <c r="E207" s="69" t="s">
        <v>47</v>
      </c>
      <c r="F207" s="42"/>
      <c r="G207" s="42" t="s">
        <v>13</v>
      </c>
      <c r="H207" s="42">
        <v>1</v>
      </c>
      <c r="I207" s="42" t="s">
        <v>73</v>
      </c>
      <c r="J207" s="42">
        <v>0.11</v>
      </c>
      <c r="K207" s="42">
        <v>3.3</v>
      </c>
      <c r="L207" s="42" t="s">
        <v>85</v>
      </c>
      <c r="M207" s="42" t="s">
        <v>63</v>
      </c>
      <c r="N207" s="68" t="s">
        <v>60</v>
      </c>
      <c r="O207" s="68" t="s">
        <v>59</v>
      </c>
      <c r="P207" s="68" t="s">
        <v>87</v>
      </c>
      <c r="Q207" s="68">
        <v>1</v>
      </c>
      <c r="R207" s="68">
        <v>3</v>
      </c>
      <c r="S207" s="68" t="s">
        <v>88</v>
      </c>
      <c r="T207" s="42"/>
    </row>
    <row r="208" spans="1:20" s="3" customFormat="1" ht="15" customHeight="1" x14ac:dyDescent="0.25">
      <c r="A208" s="69" t="s">
        <v>28</v>
      </c>
      <c r="B208" s="100" t="s">
        <v>199</v>
      </c>
      <c r="C208" t="s">
        <v>200</v>
      </c>
      <c r="D208" s="69" t="s">
        <v>8</v>
      </c>
      <c r="E208" s="69" t="s">
        <v>47</v>
      </c>
      <c r="F208" s="42"/>
      <c r="G208" s="42" t="s">
        <v>13</v>
      </c>
      <c r="H208" s="42">
        <v>0.82</v>
      </c>
      <c r="I208" s="42" t="s">
        <v>73</v>
      </c>
      <c r="J208" s="42">
        <v>0.12</v>
      </c>
      <c r="K208" s="42">
        <v>5.0999999999999996</v>
      </c>
      <c r="L208" s="42" t="s">
        <v>85</v>
      </c>
      <c r="M208" s="42" t="s">
        <v>63</v>
      </c>
      <c r="N208" s="68" t="s">
        <v>60</v>
      </c>
      <c r="O208" s="68" t="s">
        <v>59</v>
      </c>
      <c r="P208" s="68" t="s">
        <v>87</v>
      </c>
      <c r="Q208" s="68">
        <v>1</v>
      </c>
      <c r="R208" s="68">
        <v>3</v>
      </c>
      <c r="S208" s="68" t="s">
        <v>89</v>
      </c>
      <c r="T208" s="42"/>
    </row>
    <row r="209" spans="1:20" s="3" customFormat="1" ht="15" customHeight="1" x14ac:dyDescent="0.25">
      <c r="A209" s="69" t="s">
        <v>10</v>
      </c>
      <c r="B209" s="100" t="s">
        <v>202</v>
      </c>
      <c r="C209" t="s">
        <v>203</v>
      </c>
      <c r="D209" s="69" t="s">
        <v>4</v>
      </c>
      <c r="E209" s="69" t="s">
        <v>47</v>
      </c>
      <c r="F209" s="70" t="s">
        <v>12</v>
      </c>
      <c r="G209" s="70" t="s">
        <v>13</v>
      </c>
      <c r="H209" s="42">
        <v>7.1</v>
      </c>
      <c r="I209" s="42" t="s">
        <v>73</v>
      </c>
      <c r="J209" s="70">
        <v>2.2999999999999998</v>
      </c>
      <c r="K209" s="42">
        <v>13</v>
      </c>
      <c r="L209" s="42" t="s">
        <v>85</v>
      </c>
      <c r="M209" s="42" t="s">
        <v>63</v>
      </c>
      <c r="N209" s="68" t="s">
        <v>60</v>
      </c>
      <c r="O209" s="68" t="s">
        <v>59</v>
      </c>
      <c r="P209" s="68" t="s">
        <v>87</v>
      </c>
      <c r="Q209" s="68">
        <v>1</v>
      </c>
      <c r="R209" s="68">
        <v>3</v>
      </c>
      <c r="S209" s="68" t="s">
        <v>88</v>
      </c>
      <c r="T209" s="42"/>
    </row>
    <row r="210" spans="1:20" s="3" customFormat="1" ht="15" customHeight="1" x14ac:dyDescent="0.25">
      <c r="A210" s="69" t="s">
        <v>10</v>
      </c>
      <c r="B210" s="100" t="s">
        <v>202</v>
      </c>
      <c r="C210" t="s">
        <v>203</v>
      </c>
      <c r="D210" s="69" t="s">
        <v>8</v>
      </c>
      <c r="E210" s="69" t="s">
        <v>47</v>
      </c>
      <c r="F210" s="70" t="s">
        <v>12</v>
      </c>
      <c r="G210" s="70" t="s">
        <v>13</v>
      </c>
      <c r="H210" s="42">
        <v>25</v>
      </c>
      <c r="I210" s="42" t="s">
        <v>73</v>
      </c>
      <c r="J210" s="70">
        <v>1.6</v>
      </c>
      <c r="K210" s="42">
        <v>182</v>
      </c>
      <c r="L210" s="42" t="s">
        <v>85</v>
      </c>
      <c r="M210" s="42" t="s">
        <v>63</v>
      </c>
      <c r="N210" s="68" t="s">
        <v>60</v>
      </c>
      <c r="O210" s="68" t="s">
        <v>59</v>
      </c>
      <c r="P210" s="68" t="s">
        <v>87</v>
      </c>
      <c r="Q210" s="68">
        <v>1</v>
      </c>
      <c r="R210" s="68">
        <v>3</v>
      </c>
      <c r="S210" s="68" t="s">
        <v>89</v>
      </c>
      <c r="T210" s="42"/>
    </row>
    <row r="211" spans="1:20" s="3" customFormat="1" ht="15" customHeight="1" x14ac:dyDescent="0.25">
      <c r="A211" s="69" t="s">
        <v>33</v>
      </c>
      <c r="B211" s="100" t="s">
        <v>205</v>
      </c>
      <c r="C211" t="s">
        <v>206</v>
      </c>
      <c r="D211" s="69" t="s">
        <v>4</v>
      </c>
      <c r="E211" s="69" t="s">
        <v>47</v>
      </c>
      <c r="F211" s="70" t="s">
        <v>36</v>
      </c>
      <c r="G211" s="70" t="s">
        <v>13</v>
      </c>
      <c r="H211" s="42">
        <v>1.7</v>
      </c>
      <c r="I211" s="42" t="s">
        <v>73</v>
      </c>
      <c r="J211" s="42">
        <v>0.38</v>
      </c>
      <c r="K211" s="42">
        <v>7.7</v>
      </c>
      <c r="L211" s="42" t="s">
        <v>85</v>
      </c>
      <c r="M211" s="42" t="s">
        <v>63</v>
      </c>
      <c r="N211" s="68" t="s">
        <v>60</v>
      </c>
      <c r="O211" s="68" t="s">
        <v>59</v>
      </c>
      <c r="P211" s="68" t="s">
        <v>87</v>
      </c>
      <c r="Q211" s="68">
        <v>1</v>
      </c>
      <c r="R211" s="68">
        <v>3</v>
      </c>
      <c r="S211" s="68" t="s">
        <v>88</v>
      </c>
      <c r="T211" s="42"/>
    </row>
    <row r="212" spans="1:20" s="3" customFormat="1" ht="15" customHeight="1" x14ac:dyDescent="0.25">
      <c r="A212" s="69" t="s">
        <v>33</v>
      </c>
      <c r="B212" s="100" t="s">
        <v>205</v>
      </c>
      <c r="C212" t="s">
        <v>206</v>
      </c>
      <c r="D212" s="69" t="s">
        <v>8</v>
      </c>
      <c r="E212" s="69" t="s">
        <v>47</v>
      </c>
      <c r="F212" s="70" t="s">
        <v>36</v>
      </c>
      <c r="G212" s="70" t="s">
        <v>13</v>
      </c>
      <c r="H212" s="42">
        <v>3.2</v>
      </c>
      <c r="I212" s="68" t="s">
        <v>73</v>
      </c>
      <c r="J212" s="42">
        <v>0.34</v>
      </c>
      <c r="K212" s="42">
        <v>20</v>
      </c>
      <c r="L212" s="42" t="s">
        <v>85</v>
      </c>
      <c r="M212" s="42" t="s">
        <v>63</v>
      </c>
      <c r="N212" s="68" t="s">
        <v>60</v>
      </c>
      <c r="O212" s="68" t="s">
        <v>59</v>
      </c>
      <c r="P212" s="68" t="s">
        <v>87</v>
      </c>
      <c r="Q212" s="68">
        <v>1</v>
      </c>
      <c r="R212" s="68">
        <v>3</v>
      </c>
      <c r="S212" s="68" t="s">
        <v>89</v>
      </c>
      <c r="T212" s="42"/>
    </row>
    <row r="213" spans="1:20" s="3" customFormat="1" ht="15" customHeight="1" x14ac:dyDescent="0.25">
      <c r="A213" s="69" t="s">
        <v>29</v>
      </c>
      <c r="B213" s="100" t="s">
        <v>221</v>
      </c>
      <c r="C213" t="s">
        <v>222</v>
      </c>
      <c r="D213" s="69" t="s">
        <v>4</v>
      </c>
      <c r="E213" s="69" t="s">
        <v>47</v>
      </c>
      <c r="F213" s="70" t="s">
        <v>31</v>
      </c>
      <c r="G213" s="70" t="s">
        <v>13</v>
      </c>
      <c r="H213" s="42">
        <v>1.7</v>
      </c>
      <c r="I213" s="42" t="s">
        <v>73</v>
      </c>
      <c r="J213" s="42">
        <v>0.19</v>
      </c>
      <c r="K213" s="42">
        <v>5.3</v>
      </c>
      <c r="L213" s="42" t="s">
        <v>85</v>
      </c>
      <c r="M213" s="42" t="s">
        <v>63</v>
      </c>
      <c r="N213" s="68" t="s">
        <v>60</v>
      </c>
      <c r="O213" s="68" t="s">
        <v>59</v>
      </c>
      <c r="P213" s="68" t="s">
        <v>87</v>
      </c>
      <c r="Q213" s="68">
        <v>1</v>
      </c>
      <c r="R213" s="68">
        <v>3</v>
      </c>
      <c r="S213" s="68" t="s">
        <v>88</v>
      </c>
      <c r="T213" s="42"/>
    </row>
    <row r="214" spans="1:20" s="3" customFormat="1" ht="15" customHeight="1" x14ac:dyDescent="0.25">
      <c r="A214" s="69" t="s">
        <v>29</v>
      </c>
      <c r="B214" s="100" t="s">
        <v>221</v>
      </c>
      <c r="C214" t="s">
        <v>222</v>
      </c>
      <c r="D214" s="69" t="s">
        <v>8</v>
      </c>
      <c r="E214" s="69" t="s">
        <v>47</v>
      </c>
      <c r="F214" s="70" t="s">
        <v>31</v>
      </c>
      <c r="G214" s="70" t="s">
        <v>13</v>
      </c>
      <c r="H214" s="42">
        <v>1.2</v>
      </c>
      <c r="I214" s="42" t="s">
        <v>73</v>
      </c>
      <c r="J214" s="42">
        <v>5.8000000000000003E-2</v>
      </c>
      <c r="K214" s="42">
        <v>16</v>
      </c>
      <c r="L214" s="42" t="s">
        <v>85</v>
      </c>
      <c r="M214" s="42" t="s">
        <v>63</v>
      </c>
      <c r="N214" s="68" t="s">
        <v>60</v>
      </c>
      <c r="O214" s="68" t="s">
        <v>59</v>
      </c>
      <c r="P214" s="68" t="s">
        <v>87</v>
      </c>
      <c r="Q214" s="68">
        <v>1</v>
      </c>
      <c r="R214" s="68">
        <v>3</v>
      </c>
      <c r="S214" s="68" t="s">
        <v>89</v>
      </c>
      <c r="T214" s="42"/>
    </row>
    <row r="215" spans="1:20" s="3" customFormat="1" ht="15" customHeight="1" x14ac:dyDescent="0.25">
      <c r="A215" s="69" t="s">
        <v>15</v>
      </c>
      <c r="B215" s="100" t="s">
        <v>208</v>
      </c>
      <c r="C215" t="s">
        <v>209</v>
      </c>
      <c r="D215" s="69" t="s">
        <v>4</v>
      </c>
      <c r="E215" s="69" t="s">
        <v>47</v>
      </c>
      <c r="F215" s="70" t="s">
        <v>18</v>
      </c>
      <c r="G215" s="70" t="s">
        <v>13</v>
      </c>
      <c r="H215" s="42">
        <v>6.3</v>
      </c>
      <c r="I215" s="42" t="s">
        <v>73</v>
      </c>
      <c r="J215" s="42">
        <v>3.1</v>
      </c>
      <c r="K215" s="42">
        <v>11</v>
      </c>
      <c r="L215" s="42" t="s">
        <v>85</v>
      </c>
      <c r="M215" s="42" t="s">
        <v>63</v>
      </c>
      <c r="N215" s="42" t="s">
        <v>60</v>
      </c>
      <c r="O215" s="68" t="s">
        <v>59</v>
      </c>
      <c r="P215" s="68" t="s">
        <v>87</v>
      </c>
      <c r="Q215" s="68">
        <v>1</v>
      </c>
      <c r="R215" s="68">
        <v>3</v>
      </c>
      <c r="S215" s="68" t="s">
        <v>88</v>
      </c>
      <c r="T215" s="42"/>
    </row>
    <row r="216" spans="1:20" s="3" customFormat="1" ht="15" customHeight="1" x14ac:dyDescent="0.25">
      <c r="A216" s="69" t="s">
        <v>15</v>
      </c>
      <c r="B216" s="100" t="s">
        <v>208</v>
      </c>
      <c r="C216" t="s">
        <v>209</v>
      </c>
      <c r="D216" s="69" t="s">
        <v>8</v>
      </c>
      <c r="E216" s="69" t="s">
        <v>47</v>
      </c>
      <c r="F216" s="70" t="s">
        <v>18</v>
      </c>
      <c r="G216" s="70" t="s">
        <v>13</v>
      </c>
      <c r="H216" s="42">
        <v>22</v>
      </c>
      <c r="I216" s="42" t="s">
        <v>73</v>
      </c>
      <c r="J216" s="42">
        <v>1.5</v>
      </c>
      <c r="K216" s="42">
        <v>182</v>
      </c>
      <c r="L216" s="42" t="s">
        <v>85</v>
      </c>
      <c r="M216" s="42" t="s">
        <v>63</v>
      </c>
      <c r="N216" s="42" t="s">
        <v>60</v>
      </c>
      <c r="O216" s="68" t="s">
        <v>59</v>
      </c>
      <c r="P216" s="68" t="s">
        <v>87</v>
      </c>
      <c r="Q216" s="68">
        <v>1</v>
      </c>
      <c r="R216" s="68">
        <v>3</v>
      </c>
      <c r="S216" s="68" t="s">
        <v>89</v>
      </c>
      <c r="T216" s="42"/>
    </row>
    <row r="217" spans="1:20" s="3" customFormat="1" ht="15" customHeight="1" x14ac:dyDescent="0.25">
      <c r="A217" s="5"/>
      <c r="B217" s="5"/>
      <c r="C217" s="5"/>
      <c r="D217" s="5"/>
      <c r="E217" s="5"/>
      <c r="F217" s="2"/>
      <c r="G217" s="2"/>
      <c r="H217" s="2"/>
      <c r="I217" s="2"/>
      <c r="J217" s="2"/>
      <c r="K217" s="2"/>
      <c r="L217" s="2"/>
      <c r="M217" s="2"/>
      <c r="P217" s="6"/>
      <c r="R217" s="6"/>
      <c r="S217" s="2"/>
    </row>
    <row r="218" spans="1:20" s="3" customFormat="1" ht="15" customHeight="1" x14ac:dyDescent="0.25">
      <c r="A218" s="5"/>
      <c r="B218" s="5"/>
      <c r="C218" s="5"/>
      <c r="D218" s="5"/>
      <c r="E218" s="5"/>
      <c r="F218" s="2"/>
      <c r="G218" s="2"/>
      <c r="H218" s="2"/>
      <c r="I218" s="2"/>
      <c r="J218" s="2"/>
      <c r="K218" s="2"/>
      <c r="L218" s="2"/>
      <c r="M218" s="2"/>
      <c r="P218" s="6"/>
      <c r="R218" s="6"/>
      <c r="S218" s="2"/>
    </row>
    <row r="219" spans="1:20" s="3" customFormat="1" ht="15" customHeight="1" x14ac:dyDescent="0.25">
      <c r="A219" s="5"/>
      <c r="B219" s="5"/>
      <c r="C219" s="5"/>
      <c r="D219" s="5"/>
      <c r="E219" s="5"/>
      <c r="F219" s="2"/>
      <c r="G219" s="2"/>
      <c r="H219" s="2"/>
      <c r="I219" s="2"/>
      <c r="J219" s="2"/>
      <c r="K219" s="2"/>
      <c r="L219" s="2"/>
      <c r="M219" s="2"/>
      <c r="P219" s="6"/>
      <c r="R219" s="6"/>
      <c r="S219" s="2"/>
    </row>
    <row r="220" spans="1:20" s="3" customFormat="1" ht="15" customHeight="1" x14ac:dyDescent="0.25">
      <c r="A220" s="5"/>
      <c r="B220" s="5"/>
      <c r="C220" s="5"/>
      <c r="D220" s="5"/>
      <c r="E220" s="5"/>
      <c r="F220" s="2"/>
      <c r="G220" s="2"/>
      <c r="H220" s="2"/>
      <c r="I220" s="2"/>
      <c r="J220" s="2"/>
      <c r="K220" s="2"/>
      <c r="L220" s="2"/>
      <c r="M220" s="2"/>
      <c r="P220" s="6"/>
      <c r="R220" s="6"/>
      <c r="S220" s="2"/>
    </row>
    <row r="221" spans="1:20" s="3" customFormat="1" ht="15" customHeight="1" x14ac:dyDescent="0.25">
      <c r="A221" s="5"/>
      <c r="B221" s="5"/>
      <c r="C221" s="5"/>
      <c r="D221" s="5"/>
      <c r="E221" s="5"/>
      <c r="F221" s="2"/>
      <c r="G221" s="2"/>
      <c r="H221" s="2"/>
      <c r="I221" s="2"/>
      <c r="J221" s="2"/>
      <c r="K221" s="2"/>
      <c r="L221" s="2"/>
      <c r="M221" s="2"/>
      <c r="P221" s="6"/>
      <c r="R221" s="6"/>
      <c r="S221" s="2"/>
    </row>
    <row r="222" spans="1:20" s="3" customFormat="1" ht="15" customHeight="1" x14ac:dyDescent="0.25">
      <c r="A222" s="5"/>
      <c r="B222" s="5"/>
      <c r="C222" s="5"/>
      <c r="D222" s="5"/>
      <c r="E222" s="5"/>
      <c r="F222" s="2"/>
      <c r="G222" s="2"/>
      <c r="H222" s="2"/>
      <c r="I222" s="2"/>
      <c r="J222" s="2"/>
      <c r="K222" s="2"/>
      <c r="L222" s="2"/>
      <c r="M222" s="2"/>
      <c r="P222" s="6"/>
      <c r="R222" s="6"/>
      <c r="S222" s="2"/>
    </row>
    <row r="223" spans="1:20" s="3" customFormat="1" ht="15" customHeight="1" x14ac:dyDescent="0.25">
      <c r="A223" s="5"/>
      <c r="B223" s="5"/>
      <c r="C223" s="5"/>
      <c r="D223" s="5"/>
      <c r="E223" s="5"/>
      <c r="F223" s="2"/>
      <c r="G223" s="2"/>
      <c r="H223" s="2"/>
      <c r="I223" s="2"/>
      <c r="J223" s="2"/>
      <c r="K223" s="2"/>
      <c r="L223" s="2"/>
      <c r="M223" s="2"/>
      <c r="P223" s="6"/>
      <c r="R223" s="6"/>
      <c r="S223" s="2"/>
    </row>
    <row r="224" spans="1:20" s="3" customFormat="1" ht="15" customHeight="1" x14ac:dyDescent="0.25">
      <c r="A224" s="5"/>
      <c r="B224" s="5"/>
      <c r="C224" s="5"/>
      <c r="D224" s="5"/>
      <c r="E224" s="5"/>
      <c r="F224" s="2"/>
      <c r="G224" s="2"/>
      <c r="H224" s="2"/>
      <c r="I224" s="2"/>
      <c r="J224" s="2"/>
      <c r="K224" s="2"/>
      <c r="L224" s="2"/>
      <c r="M224" s="2"/>
      <c r="P224" s="6"/>
      <c r="R224" s="6"/>
      <c r="S224" s="2"/>
    </row>
    <row r="225" spans="1:19" s="3" customFormat="1" ht="15" customHeight="1" x14ac:dyDescent="0.25">
      <c r="A225" s="5"/>
      <c r="B225" s="5"/>
      <c r="C225" s="5"/>
      <c r="D225" s="5"/>
      <c r="E225" s="5"/>
      <c r="F225" s="2"/>
      <c r="G225" s="2"/>
      <c r="H225" s="2"/>
      <c r="I225" s="2"/>
      <c r="J225" s="2"/>
      <c r="K225" s="2"/>
      <c r="L225" s="2"/>
      <c r="M225" s="2"/>
      <c r="P225" s="6"/>
      <c r="R225" s="6"/>
      <c r="S225" s="2"/>
    </row>
    <row r="226" spans="1:19" s="3" customFormat="1" ht="15" customHeight="1" x14ac:dyDescent="0.25">
      <c r="A226" s="5"/>
      <c r="B226" s="5"/>
      <c r="C226" s="5"/>
      <c r="D226" s="5"/>
      <c r="E226" s="5"/>
      <c r="F226" s="2"/>
      <c r="G226" s="2"/>
      <c r="H226" s="2"/>
      <c r="I226" s="2"/>
      <c r="J226" s="2"/>
      <c r="K226" s="2"/>
      <c r="L226" s="2"/>
      <c r="M226" s="2"/>
      <c r="P226" s="6"/>
      <c r="R226" s="6"/>
      <c r="S226" s="2"/>
    </row>
    <row r="227" spans="1:19" s="3" customFormat="1" ht="15" customHeight="1" x14ac:dyDescent="0.25">
      <c r="A227" s="5"/>
      <c r="B227" s="5"/>
      <c r="C227" s="5"/>
      <c r="D227" s="5"/>
      <c r="E227" s="5"/>
      <c r="F227" s="2"/>
      <c r="G227" s="2"/>
      <c r="H227" s="2"/>
      <c r="I227" s="2"/>
      <c r="J227" s="2"/>
      <c r="K227" s="2"/>
      <c r="L227" s="2"/>
      <c r="M227" s="2"/>
      <c r="P227" s="6"/>
      <c r="R227" s="6"/>
    </row>
    <row r="228" spans="1:19" s="3" customFormat="1" ht="15" customHeight="1" x14ac:dyDescent="0.25">
      <c r="A228" s="5"/>
      <c r="B228" s="5"/>
      <c r="C228" s="5"/>
      <c r="D228" s="5"/>
      <c r="E228" s="5"/>
      <c r="F228" s="2"/>
      <c r="G228" s="2"/>
      <c r="H228" s="2"/>
      <c r="I228" s="2"/>
      <c r="J228" s="2"/>
      <c r="K228" s="2"/>
      <c r="L228" s="2"/>
      <c r="M228" s="2"/>
      <c r="P228" s="6"/>
      <c r="R228" s="6"/>
    </row>
    <row r="229" spans="1:19" s="3" customFormat="1" ht="15" customHeight="1" x14ac:dyDescent="0.25">
      <c r="A229" s="5"/>
      <c r="B229" s="5"/>
      <c r="C229" s="5"/>
      <c r="D229" s="5"/>
      <c r="E229" s="5"/>
      <c r="F229" s="2"/>
      <c r="G229" s="2"/>
      <c r="H229" s="2"/>
      <c r="I229" s="2"/>
      <c r="J229" s="2"/>
      <c r="K229" s="2"/>
      <c r="L229" s="2"/>
      <c r="M229" s="2"/>
      <c r="P229" s="6"/>
      <c r="R229" s="6"/>
      <c r="S229" s="2"/>
    </row>
    <row r="230" spans="1:19" s="3" customFormat="1" ht="15" customHeight="1" x14ac:dyDescent="0.25">
      <c r="A230" s="5"/>
      <c r="B230" s="5"/>
      <c r="C230" s="5"/>
      <c r="D230" s="5"/>
      <c r="E230" s="5"/>
      <c r="F230" s="2"/>
      <c r="G230" s="2"/>
      <c r="H230" s="2"/>
      <c r="I230" s="2"/>
      <c r="J230" s="2"/>
      <c r="K230" s="2"/>
      <c r="L230" s="2"/>
      <c r="M230" s="2"/>
      <c r="P230" s="6"/>
      <c r="R230" s="6"/>
      <c r="S230" s="2"/>
    </row>
    <row r="231" spans="1:19" s="3" customFormat="1" ht="15.75" x14ac:dyDescent="0.25">
      <c r="A231" s="5"/>
      <c r="B231" s="5"/>
      <c r="C231" s="5"/>
      <c r="D231" s="5"/>
      <c r="E231" s="5"/>
      <c r="F231" s="2"/>
      <c r="G231" s="2"/>
      <c r="H231" s="2"/>
      <c r="I231" s="2"/>
      <c r="J231" s="2"/>
      <c r="K231" s="2"/>
      <c r="L231" s="2"/>
      <c r="M231" s="2"/>
      <c r="P231" s="6"/>
      <c r="R231" s="6"/>
      <c r="S231" s="2"/>
    </row>
    <row r="232" spans="1:19" s="3" customFormat="1" ht="15.75" x14ac:dyDescent="0.25">
      <c r="A232" s="5"/>
      <c r="B232" s="5"/>
      <c r="C232" s="5"/>
      <c r="D232" s="5"/>
      <c r="E232" s="5"/>
      <c r="F232" s="2"/>
      <c r="G232" s="2"/>
      <c r="H232" s="2"/>
      <c r="I232" s="2"/>
      <c r="J232" s="2"/>
      <c r="K232" s="2"/>
      <c r="L232" s="2"/>
      <c r="M232" s="2"/>
      <c r="P232" s="6"/>
      <c r="R232" s="6"/>
      <c r="S232" s="2"/>
    </row>
    <row r="233" spans="1:19" s="3" customFormat="1" ht="15.75" x14ac:dyDescent="0.25">
      <c r="A233" s="5"/>
      <c r="B233" s="5"/>
      <c r="C233" s="5"/>
      <c r="D233" s="5"/>
      <c r="E233" s="5"/>
      <c r="F233" s="2"/>
      <c r="G233" s="2"/>
      <c r="H233" s="2"/>
      <c r="I233" s="2"/>
      <c r="J233" s="2"/>
      <c r="K233" s="2"/>
      <c r="L233" s="2"/>
      <c r="M233" s="2"/>
      <c r="P233" s="6"/>
      <c r="R233" s="6"/>
      <c r="S233" s="2"/>
    </row>
    <row r="234" spans="1:19" s="3" customFormat="1" ht="15.75" x14ac:dyDescent="0.25">
      <c r="A234" s="5"/>
      <c r="B234" s="5"/>
      <c r="C234" s="5"/>
      <c r="D234" s="5"/>
      <c r="E234" s="5"/>
      <c r="F234" s="2"/>
      <c r="G234" s="2"/>
      <c r="H234" s="2"/>
      <c r="I234" s="2"/>
      <c r="J234" s="2"/>
      <c r="K234" s="2"/>
      <c r="L234" s="2"/>
      <c r="M234" s="2"/>
      <c r="P234" s="6"/>
      <c r="R234" s="6"/>
      <c r="S234" s="2"/>
    </row>
  </sheetData>
  <sortState xmlns:xlrd2="http://schemas.microsoft.com/office/spreadsheetml/2017/richdata2" ref="A2:T235">
    <sortCondition descending="1" ref="P2:P235"/>
  </sortState>
  <hyperlinks>
    <hyperlink ref="B106" r:id="rId1" xr:uid="{3CB98EBD-EC19-4263-AFF4-831246766970}"/>
    <hyperlink ref="B107" r:id="rId2" xr:uid="{6BEA0A72-957C-4485-BEF7-800EEDA9F4EB}"/>
    <hyperlink ref="B108" r:id="rId3" xr:uid="{909BC290-65E3-4213-AD94-1217CAB2B20D}"/>
    <hyperlink ref="B109" r:id="rId4" xr:uid="{47E496F9-4036-4EF6-A556-48DC8D16FAE6}"/>
    <hyperlink ref="B110" r:id="rId5" xr:uid="{7C653EFB-C070-4EA9-9CA0-5E1CDC5F0DB2}"/>
    <hyperlink ref="B92" r:id="rId6" xr:uid="{06D06047-53B7-44B4-8FD1-7074B0863CE8}"/>
    <hyperlink ref="B93" r:id="rId7" xr:uid="{E9692756-CE55-4AB2-AE8C-FACE5CD99C1D}"/>
    <hyperlink ref="B94" r:id="rId8" xr:uid="{A540BF09-DA40-4E95-A47A-827311F5C492}"/>
    <hyperlink ref="B95" r:id="rId9" xr:uid="{59405D3B-1EFB-4B09-BBE3-F23BF2D0D2C7}"/>
    <hyperlink ref="B96" r:id="rId10" xr:uid="{B8C4FD3E-3B52-4A6A-9AB1-0CFE9D68CF7A}"/>
    <hyperlink ref="B97" r:id="rId11" xr:uid="{50522A66-2850-42CA-8153-707F06A1E3E0}"/>
    <hyperlink ref="B98" r:id="rId12" xr:uid="{0A7B73E4-BD64-43CB-BAE0-7B3EBE6E1E3F}"/>
    <hyperlink ref="B99" r:id="rId13" xr:uid="{D237A090-F6F1-403F-AA74-BEB40239DEF7}"/>
    <hyperlink ref="B165" r:id="rId14" xr:uid="{CC5637DB-4F5A-4AB0-9835-D0695D2F71B8}"/>
    <hyperlink ref="B166" r:id="rId15" xr:uid="{F0113F62-85AC-44D2-89D0-A80FD655F587}"/>
    <hyperlink ref="B69" r:id="rId16" xr:uid="{5DC33E28-9E4B-4D63-9629-FD16D8575B72}"/>
    <hyperlink ref="B70" r:id="rId17" xr:uid="{2B9BBAF9-FF4D-4E5E-9AC9-234F8B81CCE0}"/>
    <hyperlink ref="B71" r:id="rId18" xr:uid="{2A432F6F-12BF-4601-B336-9B91053FB5D5}"/>
    <hyperlink ref="B72" r:id="rId19" xr:uid="{C52493C4-FCB3-43CD-8218-3780D807B72D}"/>
    <hyperlink ref="B73" r:id="rId20" xr:uid="{400FD21A-9C50-4A4A-BF5A-83940FB4AEC3}"/>
    <hyperlink ref="B74" r:id="rId21" xr:uid="{C02D59D8-828A-4EB2-9AE3-F493FFD2664D}"/>
    <hyperlink ref="B75" r:id="rId22" xr:uid="{2E64CEC0-57AF-4014-9DEF-6A66B73B3C61}"/>
    <hyperlink ref="B76" r:id="rId23" xr:uid="{845AEB66-0315-485C-99FB-155BEA5A18DB}"/>
    <hyperlink ref="B7" r:id="rId24" xr:uid="{F938CA81-9EC4-4AB6-9E92-DBFC7754462C}"/>
    <hyperlink ref="B8" r:id="rId25" xr:uid="{E2979BE6-6906-4528-80CF-83FF10ADDDC2}"/>
    <hyperlink ref="B9" r:id="rId26" xr:uid="{BEA0E094-F520-4352-90B5-2507AC242E1B}"/>
    <hyperlink ref="B10" r:id="rId27" xr:uid="{02F71C53-E95D-4F0B-8FAE-1991883EA33A}"/>
    <hyperlink ref="B11" r:id="rId28" xr:uid="{8993F1FD-8263-4F09-9DA5-DF4917D971C8}"/>
    <hyperlink ref="B12" r:id="rId29" xr:uid="{AE06260A-126A-4485-AB03-3DFE0D138130}"/>
    <hyperlink ref="B13" r:id="rId30" xr:uid="{01C1392D-71EB-4A59-AA6B-7E63B57D5BDF}"/>
    <hyperlink ref="B14" r:id="rId31" xr:uid="{8F64E290-FEE6-4F89-9599-79140F5A380F}"/>
    <hyperlink ref="B15" r:id="rId32" xr:uid="{4AFD4480-3A70-48FD-9AC9-9857A281D87F}"/>
    <hyperlink ref="B16" r:id="rId33" xr:uid="{835595ED-A16B-4E31-902B-E09D62601BC3}"/>
    <hyperlink ref="B17" r:id="rId34" xr:uid="{4358B27E-8F43-4423-A101-2CCDB905CD13}"/>
    <hyperlink ref="B18" r:id="rId35" xr:uid="{22203338-49B4-4421-AF71-059D10B181DF}"/>
    <hyperlink ref="B193" r:id="rId36" xr:uid="{C90AA582-9C77-40A1-81FA-B8332A7C36B8}"/>
    <hyperlink ref="B194" r:id="rId37" xr:uid="{4CEA8C9B-AC5F-466A-869F-3850A4703395}"/>
    <hyperlink ref="B157" r:id="rId38" xr:uid="{1C7E6D4E-B2DD-4B28-80A0-A44696ACAA8E}"/>
    <hyperlink ref="B158" r:id="rId39" xr:uid="{90750FC3-5FF0-46DE-81E2-F4B4E02BE376}"/>
    <hyperlink ref="B159" r:id="rId40" xr:uid="{2A4E11B6-7703-4471-973B-A76275C522C7}"/>
    <hyperlink ref="B160" r:id="rId41" xr:uid="{FDAC604E-1F4A-4BEB-B6C9-3DFE2DFA07DB}"/>
    <hyperlink ref="B29" r:id="rId42" xr:uid="{B84CAF93-52B0-4D76-B66C-85D9073A3770}"/>
    <hyperlink ref="B30" r:id="rId43" xr:uid="{1030CD90-DA19-4FE9-B25D-AE5EC170B954}"/>
    <hyperlink ref="B131" r:id="rId44" xr:uid="{69CBE1A3-1455-48A1-A6D9-D6D16CACB47D}"/>
    <hyperlink ref="B132" r:id="rId45" xr:uid="{73823459-5E6E-403B-9F00-C48118A8A11E}"/>
    <hyperlink ref="B161" r:id="rId46" xr:uid="{9D57BF87-20C3-4F2D-BD1D-D803B8E949B6}"/>
    <hyperlink ref="B162" r:id="rId47" xr:uid="{775BAB48-226A-4255-A5A7-E099D808DB4B}"/>
    <hyperlink ref="B79" r:id="rId48" xr:uid="{FA09E7B6-D0BD-4DA3-879D-461594ED7EF6}"/>
    <hyperlink ref="B80" r:id="rId49" xr:uid="{51877AE3-F6A7-453B-9D41-D457ECDE215E}"/>
    <hyperlink ref="B81" r:id="rId50" xr:uid="{986DCD99-9974-4B75-84C9-3A490C577203}"/>
    <hyperlink ref="B82" r:id="rId51" xr:uid="{77B9394B-11EB-4A71-8410-4984CC4F25C2}"/>
    <hyperlink ref="B83" r:id="rId52" xr:uid="{3E782FC0-A7C6-4E12-9D8E-0697DDC2A94F}"/>
    <hyperlink ref="B31" r:id="rId53" xr:uid="{BA558457-44DC-4A5F-9679-BAD2AD415C87}"/>
    <hyperlink ref="B32" r:id="rId54" xr:uid="{06EE6179-A006-43C7-AA68-F02F1463B6E5}"/>
    <hyperlink ref="B205" r:id="rId55" xr:uid="{5C75D378-2F68-4A03-B7CA-2D89B752603B}"/>
    <hyperlink ref="B206" r:id="rId56" xr:uid="{32C865A0-4E2A-4794-91FC-766C50DD784B}"/>
    <hyperlink ref="B145" r:id="rId57" xr:uid="{414F3848-EE9D-4892-8E1B-F55B18B0C074}"/>
    <hyperlink ref="B146" r:id="rId58" xr:uid="{213FAC4A-87AD-4D93-8A5E-3B92F1742224}"/>
    <hyperlink ref="B123" r:id="rId59" xr:uid="{66D199FC-17FE-4039-9AAB-28D282576C62}"/>
    <hyperlink ref="B124" r:id="rId60" xr:uid="{24CC9496-CC4B-4F59-84A1-D1002A403378}"/>
    <hyperlink ref="B125" r:id="rId61" xr:uid="{5F01E607-8898-4634-8490-2167347BFA5E}"/>
    <hyperlink ref="B126" r:id="rId62" xr:uid="{AF4A4421-02D6-47CF-B5F1-E98170C09C68}"/>
    <hyperlink ref="B41" r:id="rId63" xr:uid="{5994D33A-5077-4D87-9909-2B4EA52878D1}"/>
    <hyperlink ref="B42" r:id="rId64" xr:uid="{6CEEB9F3-E615-4FFE-B39A-5A3CF158B983}"/>
    <hyperlink ref="B43" r:id="rId65" xr:uid="{DEF048B8-22FF-4A9C-B61D-AEA3258196F0}"/>
    <hyperlink ref="B44" r:id="rId66" xr:uid="{95338EFF-34CB-48CE-A683-544596A3B4A3}"/>
    <hyperlink ref="B45" r:id="rId67" xr:uid="{259AAF47-F9EE-4538-9A7B-3D34FBE82DEE}"/>
    <hyperlink ref="B46" r:id="rId68" xr:uid="{42AAD283-1000-4B4D-A3FA-47E10314FE78}"/>
    <hyperlink ref="B47" r:id="rId69" xr:uid="{FCF5BF64-5FA5-459D-9784-EA71D7794250}"/>
    <hyperlink ref="B48" r:id="rId70" xr:uid="{E736DD4A-AFF1-497F-BBCC-03E7932FF631}"/>
    <hyperlink ref="B207" r:id="rId71" xr:uid="{2326B261-41DF-4EFA-915B-FDA0D075B62E}"/>
    <hyperlink ref="B208" r:id="rId72" xr:uid="{1C8C064D-2143-4796-BA16-1C166418AC5B}"/>
    <hyperlink ref="B195" r:id="rId73" xr:uid="{4BBEE96D-834A-4363-838E-A698E70D00B0}"/>
    <hyperlink ref="B196" r:id="rId74" xr:uid="{D199D8DF-8345-4081-9039-D9AE43FA922B}"/>
    <hyperlink ref="B147" r:id="rId75" xr:uid="{25316178-6037-454B-B6B2-D8975DE83BD4}"/>
    <hyperlink ref="B148" r:id="rId76" xr:uid="{46D55A96-70A5-47BE-B196-CC92C879AE4A}"/>
    <hyperlink ref="B100" r:id="rId77" xr:uid="{D37531C2-909A-42B3-9087-C08026C3757A}"/>
    <hyperlink ref="B101" r:id="rId78" xr:uid="{869AE53D-7EE8-424F-A962-B602D628BCA4}"/>
    <hyperlink ref="B102" r:id="rId79" xr:uid="{E5D9DBDC-6600-4C6C-BD84-273CD6988ABB}"/>
    <hyperlink ref="B103" r:id="rId80" xr:uid="{D78D671E-3001-43ED-AD46-7306021B7D38}"/>
    <hyperlink ref="B163" r:id="rId81" xr:uid="{7800639E-CD2D-4B10-80F9-EF1F1BBBCD92}"/>
    <hyperlink ref="B164" r:id="rId82" xr:uid="{84063BBF-E77F-4B3A-A5CD-8F467A2033BA}"/>
    <hyperlink ref="B33" r:id="rId83" xr:uid="{0D61D6AA-5C6C-415C-973A-1A313D014462}"/>
    <hyperlink ref="B34" r:id="rId84" xr:uid="{35947094-FE83-4CEE-ACC5-8F82474FCAFA}"/>
    <hyperlink ref="B104" r:id="rId85" xr:uid="{C9829266-E536-4D57-AFA2-D9B70452F464}"/>
    <hyperlink ref="B105" r:id="rId86" xr:uid="{0EB6D327-3AF6-4CD7-BC26-B4D5714402F9}"/>
    <hyperlink ref="B65" r:id="rId87" xr:uid="{9E0D7311-65DB-41C2-898B-77034114E459}"/>
    <hyperlink ref="B66" r:id="rId88" xr:uid="{B7BCD64A-17A2-4FF4-BF5F-6DE6BEA89888}"/>
    <hyperlink ref="B67" r:id="rId89" xr:uid="{42066B22-1842-4B8B-8D66-6E2EE516D7DC}"/>
    <hyperlink ref="B68" r:id="rId90" xr:uid="{871E2CDD-7E54-404C-A01C-EA3E2B147AFD}"/>
    <hyperlink ref="B49" r:id="rId91" xr:uid="{A70DBD0E-7019-4BC0-8D4D-0176E16A5A7A}"/>
    <hyperlink ref="B50" r:id="rId92" xr:uid="{67B0A9AB-1C4D-4579-8340-75EAE34BF1F0}"/>
    <hyperlink ref="B51" r:id="rId93" xr:uid="{8C56B47F-DDDF-4845-ACA3-D8CCC794ED23}"/>
    <hyperlink ref="B52" r:id="rId94" xr:uid="{6A16B503-85E8-44AB-BCF3-74686852E1BC}"/>
    <hyperlink ref="B53" r:id="rId95" xr:uid="{E6E5CE03-DBF3-4CF4-BABF-7927E651E401}"/>
    <hyperlink ref="B54" r:id="rId96" xr:uid="{A3181289-8526-407E-8A0D-8823B5A1F015}"/>
    <hyperlink ref="B55" r:id="rId97" xr:uid="{E13549D6-78EC-4220-9806-ACEE29BC3D9B}"/>
    <hyperlink ref="B56" r:id="rId98" xr:uid="{26DA0E4F-396C-436A-9F4F-75A402E7531A}"/>
    <hyperlink ref="B35" r:id="rId99" xr:uid="{0161D89F-49ED-4856-9911-565D4A41F838}"/>
    <hyperlink ref="B36" r:id="rId100" xr:uid="{E09C00FE-A38E-42AB-8C92-AB56DA1093C6}"/>
    <hyperlink ref="B37" r:id="rId101" xr:uid="{85F01D12-F1D7-4B55-BBF0-99CE2BF32BC5}"/>
    <hyperlink ref="B38" r:id="rId102" xr:uid="{D3310EEF-2B78-4142-928D-68D02ED2FE5D}"/>
    <hyperlink ref="B39" r:id="rId103" xr:uid="{5355F982-40B0-43FD-A955-6D567CEF90B2}"/>
    <hyperlink ref="B40" r:id="rId104" xr:uid="{6AFEB29D-D48F-4329-8833-343905AE07E8}"/>
    <hyperlink ref="B209" r:id="rId105" xr:uid="{B515EDE5-7CB4-4695-99AF-2FB20BDE94ED}"/>
    <hyperlink ref="B210" r:id="rId106" xr:uid="{A7C95F65-10DA-4961-9C20-E1D180B2FB65}"/>
    <hyperlink ref="B197" r:id="rId107" xr:uid="{E891760E-5975-4925-B8C7-6E090C465167}"/>
    <hyperlink ref="B198" r:id="rId108" xr:uid="{499B0DF9-FA8E-4BC0-BA9F-06FA05FA6B67}"/>
    <hyperlink ref="B187" r:id="rId109" xr:uid="{FB23CAA3-DEA2-4CDE-967E-4CC04C07D0D9}"/>
    <hyperlink ref="B188" r:id="rId110" xr:uid="{4C642D03-0487-4092-8E04-665324DD877D}"/>
    <hyperlink ref="B133" r:id="rId111" xr:uid="{9F9678CD-99CA-4A3F-96E7-6F072FE6D522}"/>
    <hyperlink ref="B134" r:id="rId112" xr:uid="{CE7E6A68-E5B0-4558-89DE-62BFE1B658EF}"/>
    <hyperlink ref="B135" r:id="rId113" xr:uid="{F49A48F2-4364-49E5-9EAC-C2C7AE2B51C7}"/>
    <hyperlink ref="B136" r:id="rId114" xr:uid="{0BAD4068-D69C-44E4-9D8C-704314C932F0}"/>
    <hyperlink ref="B167" r:id="rId115" xr:uid="{43FE9353-2B3D-4372-BB48-3430857C0477}"/>
    <hyperlink ref="B168" r:id="rId116" xr:uid="{EF00FF0C-97D4-4B92-B7A8-0F5FDDB05579}"/>
    <hyperlink ref="B169" r:id="rId117" xr:uid="{7B82BBA7-6470-4366-99DD-F00050499AA7}"/>
    <hyperlink ref="B170" r:id="rId118" xr:uid="{06060CC8-5B0F-4560-ADCC-FD01D512B737}"/>
    <hyperlink ref="B171" r:id="rId119" xr:uid="{7FD5CE3D-796C-49AF-8B42-CAF50961732A}"/>
    <hyperlink ref="B172" r:id="rId120" xr:uid="{1B24A57A-64FC-46EE-B48C-5CDD7F46F8F1}"/>
    <hyperlink ref="B173" r:id="rId121" xr:uid="{AD8B996A-35E2-4ACA-B9A5-FD95AE81F246}"/>
    <hyperlink ref="B174" r:id="rId122" xr:uid="{55DF38A3-587B-417E-8043-BD76CD4B40E3}"/>
    <hyperlink ref="B175" r:id="rId123" xr:uid="{C822FE52-8655-47DE-8353-3CEC02A552DE}"/>
    <hyperlink ref="B176" r:id="rId124" xr:uid="{208DC8AC-6BD0-46A9-BB0C-2B3DE242585F}"/>
    <hyperlink ref="B111" r:id="rId125" xr:uid="{C8F4BCD0-99CC-4C3D-89F3-D78E4687900D}"/>
    <hyperlink ref="B112" r:id="rId126" xr:uid="{270E84E0-9BF4-4F51-A4D7-A3B8438B4CAC}"/>
    <hyperlink ref="B113" r:id="rId127" xr:uid="{ECF08570-0B8D-4ECB-9A7B-38811F92F5F6}"/>
    <hyperlink ref="B114" r:id="rId128" xr:uid="{B2DE8D98-B681-47D3-B7A2-3E03295795A1}"/>
    <hyperlink ref="B77" r:id="rId129" xr:uid="{8CEAA70E-CC42-4785-8212-E6A42843E866}"/>
    <hyperlink ref="B78" r:id="rId130" xr:uid="{9C834355-E798-4AC7-9A8A-9CD4D80E9544}"/>
    <hyperlink ref="B211" r:id="rId131" xr:uid="{1B92F5CC-5798-4C2E-B0CC-CE9C56D1AB5C}"/>
    <hyperlink ref="B212" r:id="rId132" xr:uid="{7D03DA79-1DB7-443D-9995-06054672B29E}"/>
    <hyperlink ref="B177" r:id="rId133" xr:uid="{F02D8FB0-501D-4B94-8E09-E27375CAAF0D}"/>
    <hyperlink ref="B178" r:id="rId134" xr:uid="{6DEC926B-B6D1-4DBD-AC28-ACB5EE40E325}"/>
    <hyperlink ref="B179" r:id="rId135" xr:uid="{E82E08FB-4B29-44BC-91E4-C63FE2751324}"/>
    <hyperlink ref="B180" r:id="rId136" xr:uid="{4A7B1FF1-0E2C-4BE8-8126-E9AD8E8633EA}"/>
    <hyperlink ref="B181" r:id="rId137" xr:uid="{E1DC7F01-C44C-4EF7-9B4F-73F101C75C5E}"/>
    <hyperlink ref="B182" r:id="rId138" xr:uid="{1DFF7B49-9B47-45E3-89CD-D1B90C086851}"/>
    <hyperlink ref="B183" r:id="rId139" xr:uid="{426DCF74-B10C-407A-AB81-45EE08B1C45F}"/>
    <hyperlink ref="B184" r:id="rId140" xr:uid="{0C1B23C6-6A06-4BB3-B07C-0D693B9BD0BB}"/>
    <hyperlink ref="B149" r:id="rId141" xr:uid="{3BCBA309-0CE3-4367-B9E7-E3D8472B3907}"/>
    <hyperlink ref="B150" r:id="rId142" xr:uid="{048FC27C-A1D8-400F-889B-A0877EC9B021}"/>
    <hyperlink ref="B127" r:id="rId143" xr:uid="{75A8AA7D-E526-4E21-AD5D-3315EC7EBF6A}"/>
    <hyperlink ref="B128" r:id="rId144" xr:uid="{D6C5AA6B-A6C6-4C6B-82B2-FE6F5FC12D2A}"/>
    <hyperlink ref="B129" r:id="rId145" xr:uid="{F5DF390C-96E0-4FDA-89AC-601C17ED3DCC}"/>
    <hyperlink ref="B130" r:id="rId146" xr:uid="{5BD033A7-14AB-40DA-B54A-5B7080365D81}"/>
    <hyperlink ref="B213" r:id="rId147" xr:uid="{3100C06F-E980-4A9D-B04C-5DD3C546738F}"/>
    <hyperlink ref="B214" r:id="rId148" xr:uid="{20FE1B2E-FAA2-4B4A-8F1D-E99410E75469}"/>
    <hyperlink ref="B199" r:id="rId149" xr:uid="{FEC1A23A-AE2F-4AC0-A377-B0DA4D0B3995}"/>
    <hyperlink ref="B200" r:id="rId150" xr:uid="{B931C84C-6C1B-4FA6-AE76-D9891F9D422F}"/>
    <hyperlink ref="B189" r:id="rId151" xr:uid="{120CCC6D-2356-4C18-B74D-8D7D7E59CA86}"/>
    <hyperlink ref="B190" r:id="rId152" xr:uid="{F0696422-DE4D-4B4A-87A7-9CF5DA55C58F}"/>
    <hyperlink ref="B153" r:id="rId153" xr:uid="{E850C013-E478-49FF-9347-7C2683741B98}"/>
    <hyperlink ref="B154" r:id="rId154" xr:uid="{8F18B56D-6D0F-4A30-AA75-117BDDF95924}"/>
    <hyperlink ref="B137" r:id="rId155" xr:uid="{B37BFBA9-3613-4197-9782-50CA1F938EB9}"/>
    <hyperlink ref="B138" r:id="rId156" xr:uid="{30013D24-CC00-4D9F-9A6F-F351977F0AB2}"/>
    <hyperlink ref="B139" r:id="rId157" xr:uid="{872F3F16-B5D7-437A-B0C8-769EE4DD9ED0}"/>
    <hyperlink ref="B2" r:id="rId158" xr:uid="{6E7CFC9B-2FC1-4DE0-84BD-48B689814293}"/>
    <hyperlink ref="B3" r:id="rId159" xr:uid="{D7653740-79D0-4B6C-876B-903BD8525798}"/>
    <hyperlink ref="B4" r:id="rId160" xr:uid="{33308428-7CEC-43F1-81C1-AD7D09304DD9}"/>
    <hyperlink ref="B5" r:id="rId161" xr:uid="{6C44578D-C616-4835-A1B4-7EE5FA862924}"/>
    <hyperlink ref="B6" r:id="rId162" xr:uid="{4BD5E240-4C17-40BF-B3AA-867B446E10AC}"/>
    <hyperlink ref="B143" r:id="rId163" xr:uid="{3C4ACC85-C54B-4602-87D1-B6A93E9785BC}"/>
    <hyperlink ref="B144" r:id="rId164" xr:uid="{FEEC4D33-438D-410A-905E-88F393CFFBCF}"/>
    <hyperlink ref="B185" r:id="rId165" xr:uid="{B97DE90B-ACDA-4EA7-8954-7B5F6C9A57B3}"/>
    <hyperlink ref="B186" r:id="rId166" xr:uid="{70976241-4F27-47D4-8FE9-66F2B61DD87C}"/>
    <hyperlink ref="B151" r:id="rId167" xr:uid="{064764AF-7E34-4100-AAC1-09632A05E122}"/>
    <hyperlink ref="B152" r:id="rId168" xr:uid="{12361FB6-D48A-484E-A0A0-415D28C93EFB}"/>
    <hyperlink ref="B115" r:id="rId169" xr:uid="{72A32EF2-B38A-4C12-B626-2F336D089FD4}"/>
    <hyperlink ref="B116" r:id="rId170" xr:uid="{9D579FC4-B8C8-4A6E-B169-F618B5300806}"/>
    <hyperlink ref="B117" r:id="rId171" xr:uid="{A91F8712-AE91-43FC-91A0-21C4D98C00DB}"/>
    <hyperlink ref="B118" r:id="rId172" xr:uid="{44D9164D-B9DE-4F01-AA97-9E1CA5363907}"/>
    <hyperlink ref="B57" r:id="rId173" xr:uid="{C263EEAA-4F75-4896-B348-8A047452C998}"/>
    <hyperlink ref="B58" r:id="rId174" xr:uid="{7025DC9C-95E5-434C-A5F5-A80D7E95B48C}"/>
    <hyperlink ref="B59" r:id="rId175" xr:uid="{FBB4F541-C30A-42CA-ACDB-C21A39717D39}"/>
    <hyperlink ref="B60" r:id="rId176" xr:uid="{CD1B681A-E3CA-495A-800F-71774C925992}"/>
    <hyperlink ref="B61" r:id="rId177" xr:uid="{30C99A11-F767-4718-AB24-B66718368ABC}"/>
    <hyperlink ref="B62" r:id="rId178" xr:uid="{28944760-6D79-4E76-9DB0-0210C03A12CB}"/>
    <hyperlink ref="B63" r:id="rId179" xr:uid="{9079CEF9-F2D8-4513-BDC2-DD63DCFFF141}"/>
    <hyperlink ref="B64" r:id="rId180" xr:uid="{4AC9259E-2071-4C7F-BF3A-73444C6183A7}"/>
    <hyperlink ref="B215" r:id="rId181" xr:uid="{5C65A2FD-0D36-42F3-A471-E273A55D9B15}"/>
    <hyperlink ref="B216" r:id="rId182" xr:uid="{6A1142A7-9D2C-48D8-9AE2-2FF8BC9A9102}"/>
    <hyperlink ref="B201" r:id="rId183" xr:uid="{25D6839D-A70D-4178-AB8C-57C0635CEE81}"/>
    <hyperlink ref="B202" r:id="rId184" xr:uid="{D1BF71DB-D089-4826-85A3-8862845EA885}"/>
    <hyperlink ref="B191" r:id="rId185" xr:uid="{99AFB406-877F-4576-8BB0-C6903D6037B1}"/>
    <hyperlink ref="B192" r:id="rId186" xr:uid="{399E4CF0-BA48-473A-B6E1-067E0244F173}"/>
    <hyperlink ref="B155" r:id="rId187" xr:uid="{DAE305B4-6083-40C1-8C9E-E728FAEED3EF}"/>
    <hyperlink ref="B156" r:id="rId188" xr:uid="{34A3E7FF-F69B-4203-88FF-A233142A7DBB}"/>
    <hyperlink ref="B140" r:id="rId189" xr:uid="{2836F907-A192-447F-AD22-EDC86CBC7FD7}"/>
    <hyperlink ref="B141" r:id="rId190" xr:uid="{62B56584-C563-40CD-B750-04BABFF86895}"/>
    <hyperlink ref="B142" r:id="rId191" xr:uid="{ECA6E8FD-D0DE-46F2-86AF-305E8C0DB4BC}"/>
    <hyperlink ref="B19" r:id="rId192" xr:uid="{472CBC21-6133-471B-B2C3-23D478993C8E}"/>
    <hyperlink ref="B20" r:id="rId193" xr:uid="{DE689402-2456-449E-A749-C050668F1C6D}"/>
    <hyperlink ref="B21" r:id="rId194" xr:uid="{9576B62A-2B84-4D90-A91D-C95AE3D00A8E}"/>
    <hyperlink ref="B22" r:id="rId195" xr:uid="{A665E9FD-97EB-4AB0-8C14-D575E942B0FD}"/>
    <hyperlink ref="B23" r:id="rId196" xr:uid="{2F33B945-5D97-43E3-A1BB-D53123C9689C}"/>
    <hyperlink ref="B24" r:id="rId197" xr:uid="{BA39E4B6-55F8-4148-95AF-901AFEBD065C}"/>
    <hyperlink ref="B119" r:id="rId198" xr:uid="{BB836721-EA2D-4D81-8EB7-2162D19DC424}"/>
    <hyperlink ref="B120" r:id="rId199" xr:uid="{10281FD1-8D8B-4214-B938-91EDB9F1E24A}"/>
    <hyperlink ref="B121" r:id="rId200" xr:uid="{AE5BBE8D-B9CE-4CD7-9371-62712E5AFF0F}"/>
    <hyperlink ref="B122" r:id="rId201" xr:uid="{7FF91606-1288-49B3-82BA-D7B8616FD80E}"/>
    <hyperlink ref="B84" r:id="rId202" xr:uid="{FFD69BF0-DD59-465C-BC36-010561BF8BD6}"/>
    <hyperlink ref="B85" r:id="rId203" xr:uid="{2278E4DA-6E07-4C0D-888A-C76F3780A3D9}"/>
    <hyperlink ref="B86" r:id="rId204" xr:uid="{540D0AEE-1C69-4739-9892-0FC33F0F12D2}"/>
    <hyperlink ref="B87" r:id="rId205" xr:uid="{C45B3462-8DAA-4927-BFE6-FA37F5A4D5FC}"/>
    <hyperlink ref="B88" r:id="rId206" xr:uid="{2D1A471F-627B-4833-98F3-926FAB8D2327}"/>
    <hyperlink ref="B89" r:id="rId207" xr:uid="{3135C0E1-8C26-4782-A10B-E1F7E16CBA08}"/>
    <hyperlink ref="B90" r:id="rId208" xr:uid="{924E291E-B8C0-485C-8E7A-67DF53B17A54}"/>
    <hyperlink ref="B91" r:id="rId209" xr:uid="{533DDE8E-49B4-4360-99F4-7F86C67A6899}"/>
    <hyperlink ref="B25" r:id="rId210" xr:uid="{E0D79F64-328E-4E1F-90AE-FEF87C4CA6C8}"/>
    <hyperlink ref="B26" r:id="rId211" xr:uid="{61E0E088-CAD7-46B1-A6F4-F927B16DB76F}"/>
    <hyperlink ref="B27" r:id="rId212" xr:uid="{14F6408F-6B51-429F-9D23-E47B5C45AFDF}"/>
    <hyperlink ref="B28" r:id="rId213" xr:uid="{8BA714A4-A285-4628-830E-55CBBCF4EF94}"/>
    <hyperlink ref="B203" r:id="rId214" xr:uid="{CA3758AC-E0AC-4BA5-8500-BD974FE92416}"/>
    <hyperlink ref="B204" r:id="rId215" xr:uid="{58B84ACC-FB42-449F-AE85-AB5F04E62077}"/>
  </hyperlinks>
  <pageMargins left="0.7" right="0.7" top="0.75" bottom="0.75" header="0.3" footer="0.3"/>
  <pageSetup orientation="portrait" r:id="rId216"/>
  <tableParts count="1">
    <tablePart r:id="rId2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912F8-45C8-431E-91B6-C1A87453C40C}">
  <dimension ref="A1:N92"/>
  <sheetViews>
    <sheetView workbookViewId="0">
      <selection activeCell="C99" sqref="C99"/>
    </sheetView>
  </sheetViews>
  <sheetFormatPr defaultRowHeight="15" x14ac:dyDescent="0.25"/>
  <cols>
    <col min="2" max="2" width="9.42578125" customWidth="1"/>
    <col min="3" max="3" width="28.85546875" customWidth="1"/>
    <col min="4" max="4" width="9.85546875" customWidth="1"/>
    <col min="6" max="6" width="12.140625" customWidth="1"/>
    <col min="8" max="8" width="9.5703125" customWidth="1"/>
    <col min="9" max="9" width="15.85546875" customWidth="1"/>
    <col min="11" max="11" width="13.42578125" customWidth="1"/>
    <col min="12" max="12" width="11.85546875" customWidth="1"/>
  </cols>
  <sheetData>
    <row r="1" spans="1:14" x14ac:dyDescent="0.25">
      <c r="A1" t="s">
        <v>188</v>
      </c>
      <c r="B1" t="s">
        <v>189</v>
      </c>
      <c r="C1" t="s">
        <v>210</v>
      </c>
      <c r="D1" t="s">
        <v>0</v>
      </c>
      <c r="E1" t="s">
        <v>2</v>
      </c>
      <c r="F1" t="s">
        <v>211</v>
      </c>
      <c r="G1" t="s">
        <v>247</v>
      </c>
      <c r="H1" t="s">
        <v>248</v>
      </c>
      <c r="I1" t="s">
        <v>49</v>
      </c>
      <c r="J1" t="s">
        <v>215</v>
      </c>
      <c r="K1" t="s">
        <v>216</v>
      </c>
      <c r="L1" t="s">
        <v>217</v>
      </c>
      <c r="M1" t="s">
        <v>313</v>
      </c>
      <c r="N1" t="s">
        <v>314</v>
      </c>
    </row>
    <row r="2" spans="1:14" x14ac:dyDescent="0.25">
      <c r="A2" t="s">
        <v>198</v>
      </c>
      <c r="B2" s="100" t="s">
        <v>199</v>
      </c>
      <c r="C2" t="s">
        <v>200</v>
      </c>
      <c r="D2" t="s">
        <v>47</v>
      </c>
      <c r="E2" t="s">
        <v>4</v>
      </c>
      <c r="F2" t="s">
        <v>240</v>
      </c>
      <c r="G2" s="60">
        <v>3262.2880264232499</v>
      </c>
      <c r="H2" s="60">
        <v>0.103779756811886</v>
      </c>
      <c r="I2" t="s">
        <v>255</v>
      </c>
      <c r="J2">
        <v>2</v>
      </c>
      <c r="K2" t="s">
        <v>258</v>
      </c>
      <c r="L2" t="s">
        <v>259</v>
      </c>
      <c r="M2" s="60">
        <f t="shared" ref="M2:M33" si="0">G2/24</f>
        <v>135.9286677676354</v>
      </c>
      <c r="N2" s="12">
        <f t="shared" ref="N2:N33" si="1">M2/365.25</f>
        <v>0.37215241004143845</v>
      </c>
    </row>
    <row r="3" spans="1:14" x14ac:dyDescent="0.25">
      <c r="A3" t="s">
        <v>198</v>
      </c>
      <c r="B3" s="100" t="s">
        <v>199</v>
      </c>
      <c r="C3" t="s">
        <v>200</v>
      </c>
      <c r="D3" t="s">
        <v>47</v>
      </c>
      <c r="E3" t="s">
        <v>8</v>
      </c>
      <c r="F3" t="s">
        <v>240</v>
      </c>
      <c r="G3" s="60">
        <v>3053.7521053202099</v>
      </c>
      <c r="H3" s="60">
        <v>9.5495968344216697E-2</v>
      </c>
      <c r="I3" t="s">
        <v>255</v>
      </c>
      <c r="J3">
        <v>2</v>
      </c>
      <c r="K3" t="s">
        <v>258</v>
      </c>
      <c r="L3" t="s">
        <v>259</v>
      </c>
      <c r="M3" s="60">
        <f t="shared" si="0"/>
        <v>127.23967105500874</v>
      </c>
      <c r="N3" s="12">
        <f t="shared" si="1"/>
        <v>0.34836323355238535</v>
      </c>
    </row>
    <row r="4" spans="1:14" x14ac:dyDescent="0.25">
      <c r="A4" t="s">
        <v>198</v>
      </c>
      <c r="B4" s="100" t="s">
        <v>199</v>
      </c>
      <c r="C4" t="s">
        <v>200</v>
      </c>
      <c r="D4" t="s">
        <v>44</v>
      </c>
      <c r="E4" t="s">
        <v>4</v>
      </c>
      <c r="F4" t="s">
        <v>240</v>
      </c>
      <c r="G4" s="60">
        <v>2.1</v>
      </c>
      <c r="H4" s="60"/>
      <c r="I4" t="s">
        <v>125</v>
      </c>
      <c r="J4">
        <v>2</v>
      </c>
      <c r="M4" s="60">
        <f t="shared" si="0"/>
        <v>8.7500000000000008E-2</v>
      </c>
      <c r="N4" s="12">
        <f t="shared" si="1"/>
        <v>2.3956194387405889E-4</v>
      </c>
    </row>
    <row r="5" spans="1:14" x14ac:dyDescent="0.25">
      <c r="A5" t="s">
        <v>198</v>
      </c>
      <c r="B5" s="100" t="s">
        <v>199</v>
      </c>
      <c r="C5" t="s">
        <v>200</v>
      </c>
      <c r="D5" t="s">
        <v>44</v>
      </c>
      <c r="E5" t="s">
        <v>4</v>
      </c>
      <c r="F5" t="s">
        <v>57</v>
      </c>
      <c r="G5" s="60">
        <v>1.2</v>
      </c>
      <c r="H5" s="60">
        <v>0.13856406460550999</v>
      </c>
      <c r="I5" t="s">
        <v>129</v>
      </c>
      <c r="J5">
        <v>1</v>
      </c>
      <c r="M5" s="60">
        <f t="shared" si="0"/>
        <v>4.9999999999999996E-2</v>
      </c>
      <c r="N5" s="12">
        <f t="shared" si="1"/>
        <v>1.3689253935660506E-4</v>
      </c>
    </row>
    <row r="6" spans="1:14" x14ac:dyDescent="0.25">
      <c r="A6" t="s">
        <v>198</v>
      </c>
      <c r="B6" s="100" t="s">
        <v>199</v>
      </c>
      <c r="C6" t="s">
        <v>200</v>
      </c>
      <c r="D6" t="s">
        <v>44</v>
      </c>
      <c r="E6" t="s">
        <v>8</v>
      </c>
      <c r="F6" t="s">
        <v>240</v>
      </c>
      <c r="G6" s="60">
        <v>15.4</v>
      </c>
      <c r="H6" s="60"/>
      <c r="I6" t="s">
        <v>125</v>
      </c>
      <c r="J6">
        <v>2</v>
      </c>
      <c r="M6" s="60">
        <f t="shared" si="0"/>
        <v>0.64166666666666672</v>
      </c>
      <c r="N6" s="12">
        <f t="shared" si="1"/>
        <v>1.7567875884097652E-3</v>
      </c>
    </row>
    <row r="7" spans="1:14" x14ac:dyDescent="0.25">
      <c r="A7" t="s">
        <v>198</v>
      </c>
      <c r="B7" s="100" t="s">
        <v>199</v>
      </c>
      <c r="C7" t="s">
        <v>200</v>
      </c>
      <c r="D7" t="s">
        <v>44</v>
      </c>
      <c r="E7" t="s">
        <v>8</v>
      </c>
      <c r="F7" t="s">
        <v>57</v>
      </c>
      <c r="G7" s="60">
        <v>2.4</v>
      </c>
      <c r="H7" s="60">
        <v>0.69282032302755103</v>
      </c>
      <c r="I7" t="s">
        <v>129</v>
      </c>
      <c r="J7">
        <v>1</v>
      </c>
      <c r="M7" s="60">
        <f t="shared" si="0"/>
        <v>9.9999999999999992E-2</v>
      </c>
      <c r="N7" s="12">
        <f t="shared" si="1"/>
        <v>2.7378507871321013E-4</v>
      </c>
    </row>
    <row r="8" spans="1:14" x14ac:dyDescent="0.25">
      <c r="A8" t="s">
        <v>195</v>
      </c>
      <c r="B8" s="100" t="s">
        <v>196</v>
      </c>
      <c r="C8" t="s">
        <v>197</v>
      </c>
      <c r="D8" t="s">
        <v>47</v>
      </c>
      <c r="E8" t="s">
        <v>4</v>
      </c>
      <c r="F8" t="s">
        <v>240</v>
      </c>
      <c r="G8" s="60">
        <v>35040</v>
      </c>
      <c r="H8" s="60">
        <v>24528</v>
      </c>
      <c r="I8" t="s">
        <v>87</v>
      </c>
      <c r="J8">
        <v>1</v>
      </c>
      <c r="M8" s="60">
        <f t="shared" si="0"/>
        <v>1460</v>
      </c>
      <c r="N8" s="12">
        <f t="shared" si="1"/>
        <v>3.9972621492128679</v>
      </c>
    </row>
    <row r="9" spans="1:14" x14ac:dyDescent="0.25">
      <c r="A9" t="s">
        <v>195</v>
      </c>
      <c r="B9" s="100" t="s">
        <v>196</v>
      </c>
      <c r="C9" t="s">
        <v>197</v>
      </c>
      <c r="D9" t="s">
        <v>47</v>
      </c>
      <c r="E9" t="s">
        <v>8</v>
      </c>
      <c r="F9" t="s">
        <v>240</v>
      </c>
      <c r="G9" s="60">
        <v>62196</v>
      </c>
      <c r="H9" s="60">
        <v>57115.199999999997</v>
      </c>
      <c r="I9" t="s">
        <v>87</v>
      </c>
      <c r="J9">
        <v>1</v>
      </c>
      <c r="M9" s="60">
        <f t="shared" si="0"/>
        <v>2591.5</v>
      </c>
      <c r="N9" s="12">
        <f t="shared" si="1"/>
        <v>7.0951403148528405</v>
      </c>
    </row>
    <row r="10" spans="1:14" x14ac:dyDescent="0.25">
      <c r="A10" t="s">
        <v>195</v>
      </c>
      <c r="B10" s="100" t="s">
        <v>196</v>
      </c>
      <c r="C10" t="s">
        <v>197</v>
      </c>
      <c r="D10" t="s">
        <v>44</v>
      </c>
      <c r="E10" t="s">
        <v>4</v>
      </c>
      <c r="F10" t="s">
        <v>54</v>
      </c>
      <c r="G10" s="60">
        <v>1412.22110248579</v>
      </c>
      <c r="H10" s="60">
        <v>2.8774268329533201E-2</v>
      </c>
      <c r="I10" t="s">
        <v>255</v>
      </c>
      <c r="J10">
        <v>5</v>
      </c>
      <c r="K10" t="s">
        <v>256</v>
      </c>
      <c r="L10" t="s">
        <v>259</v>
      </c>
      <c r="M10" s="60">
        <f t="shared" si="0"/>
        <v>58.842545936907918</v>
      </c>
      <c r="N10" s="12">
        <f t="shared" si="1"/>
        <v>0.16110211071022018</v>
      </c>
    </row>
    <row r="11" spans="1:14" x14ac:dyDescent="0.25">
      <c r="A11" t="s">
        <v>195</v>
      </c>
      <c r="B11" s="100" t="s">
        <v>196</v>
      </c>
      <c r="C11" t="s">
        <v>197</v>
      </c>
      <c r="D11" t="s">
        <v>44</v>
      </c>
      <c r="E11" t="s">
        <v>4</v>
      </c>
      <c r="F11" t="s">
        <v>57</v>
      </c>
      <c r="G11" s="60">
        <v>1070.06811710701</v>
      </c>
      <c r="H11" s="60">
        <v>5.9351550616102902</v>
      </c>
      <c r="I11" t="s">
        <v>255</v>
      </c>
      <c r="J11">
        <v>2</v>
      </c>
      <c r="K11" t="s">
        <v>256</v>
      </c>
      <c r="L11" t="s">
        <v>257</v>
      </c>
      <c r="M11" s="60">
        <f t="shared" si="0"/>
        <v>44.586171546125421</v>
      </c>
      <c r="N11" s="12">
        <f t="shared" si="1"/>
        <v>0.12207028486276639</v>
      </c>
    </row>
    <row r="12" spans="1:14" x14ac:dyDescent="0.25">
      <c r="A12" t="s">
        <v>195</v>
      </c>
      <c r="B12" s="100" t="s">
        <v>196</v>
      </c>
      <c r="C12" t="s">
        <v>197</v>
      </c>
      <c r="D12" t="s">
        <v>44</v>
      </c>
      <c r="E12" t="s">
        <v>8</v>
      </c>
      <c r="F12" t="s">
        <v>54</v>
      </c>
      <c r="G12" s="60">
        <v>1322.1751365797199</v>
      </c>
      <c r="H12" s="60">
        <v>3.2807550654056203E-2</v>
      </c>
      <c r="I12" t="s">
        <v>255</v>
      </c>
      <c r="J12">
        <v>5</v>
      </c>
      <c r="K12" t="s">
        <v>256</v>
      </c>
      <c r="L12" t="s">
        <v>259</v>
      </c>
      <c r="M12" s="60">
        <f t="shared" si="0"/>
        <v>55.090630690821662</v>
      </c>
      <c r="N12" s="12">
        <f t="shared" si="1"/>
        <v>0.15082992660046998</v>
      </c>
    </row>
    <row r="13" spans="1:14" x14ac:dyDescent="0.25">
      <c r="A13" t="s">
        <v>195</v>
      </c>
      <c r="B13" s="100" t="s">
        <v>196</v>
      </c>
      <c r="C13" t="s">
        <v>197</v>
      </c>
      <c r="D13" t="s">
        <v>44</v>
      </c>
      <c r="E13" t="s">
        <v>8</v>
      </c>
      <c r="F13" t="s">
        <v>57</v>
      </c>
      <c r="G13" s="60">
        <v>1984.05639753676</v>
      </c>
      <c r="H13" s="60">
        <v>29.808904111138201</v>
      </c>
      <c r="I13" t="s">
        <v>255</v>
      </c>
      <c r="J13">
        <v>2</v>
      </c>
      <c r="K13" t="s">
        <v>256</v>
      </c>
      <c r="L13" t="s">
        <v>257</v>
      </c>
      <c r="M13" s="60">
        <f t="shared" si="0"/>
        <v>82.669016564031665</v>
      </c>
      <c r="N13" s="12">
        <f t="shared" si="1"/>
        <v>0.22633543207127083</v>
      </c>
    </row>
    <row r="14" spans="1:14" x14ac:dyDescent="0.25">
      <c r="A14" t="s">
        <v>260</v>
      </c>
      <c r="B14" s="100" t="s">
        <v>261</v>
      </c>
      <c r="C14" t="s">
        <v>262</v>
      </c>
      <c r="D14" t="s">
        <v>47</v>
      </c>
      <c r="E14" t="s">
        <v>4</v>
      </c>
      <c r="F14" t="s">
        <v>240</v>
      </c>
      <c r="G14" s="60">
        <v>768</v>
      </c>
      <c r="H14" s="60">
        <v>432</v>
      </c>
      <c r="I14" t="s">
        <v>86</v>
      </c>
      <c r="J14">
        <v>1</v>
      </c>
      <c r="M14" s="60">
        <f t="shared" si="0"/>
        <v>32</v>
      </c>
      <c r="N14" s="12">
        <f t="shared" si="1"/>
        <v>8.761122518822724E-2</v>
      </c>
    </row>
    <row r="15" spans="1:14" x14ac:dyDescent="0.25">
      <c r="A15" t="s">
        <v>260</v>
      </c>
      <c r="B15" s="100" t="s">
        <v>261</v>
      </c>
      <c r="C15" t="s">
        <v>262</v>
      </c>
      <c r="D15" t="s">
        <v>47</v>
      </c>
      <c r="E15" t="s">
        <v>8</v>
      </c>
      <c r="F15" t="s">
        <v>240</v>
      </c>
      <c r="G15" s="60">
        <v>768</v>
      </c>
      <c r="H15" s="60">
        <v>432</v>
      </c>
      <c r="I15" t="s">
        <v>86</v>
      </c>
      <c r="J15">
        <v>1</v>
      </c>
      <c r="M15" s="60">
        <f t="shared" si="0"/>
        <v>32</v>
      </c>
      <c r="N15" s="12">
        <f t="shared" si="1"/>
        <v>8.761122518822724E-2</v>
      </c>
    </row>
    <row r="16" spans="1:14" x14ac:dyDescent="0.25">
      <c r="A16" t="s">
        <v>260</v>
      </c>
      <c r="B16" s="100" t="s">
        <v>261</v>
      </c>
      <c r="C16" t="s">
        <v>262</v>
      </c>
      <c r="D16" t="s">
        <v>46</v>
      </c>
      <c r="E16" t="s">
        <v>4</v>
      </c>
      <c r="F16" t="s">
        <v>57</v>
      </c>
      <c r="G16" s="60">
        <v>2.4</v>
      </c>
      <c r="H16" s="60">
        <v>0.98149545762236401</v>
      </c>
      <c r="I16" t="s">
        <v>94</v>
      </c>
      <c r="J16">
        <v>1</v>
      </c>
      <c r="M16" s="60">
        <f t="shared" si="0"/>
        <v>9.9999999999999992E-2</v>
      </c>
      <c r="N16" s="12">
        <f t="shared" si="1"/>
        <v>2.7378507871321013E-4</v>
      </c>
    </row>
    <row r="17" spans="1:14" x14ac:dyDescent="0.25">
      <c r="A17" t="s">
        <v>260</v>
      </c>
      <c r="B17" s="100" t="s">
        <v>261</v>
      </c>
      <c r="C17" t="s">
        <v>262</v>
      </c>
      <c r="D17" t="s">
        <v>46</v>
      </c>
      <c r="E17" t="s">
        <v>8</v>
      </c>
      <c r="F17" t="s">
        <v>57</v>
      </c>
      <c r="G17" s="60">
        <v>5.3</v>
      </c>
      <c r="H17" s="60">
        <v>1.4433756729740601</v>
      </c>
      <c r="I17" t="s">
        <v>94</v>
      </c>
      <c r="J17">
        <v>1</v>
      </c>
      <c r="M17" s="60">
        <f t="shared" si="0"/>
        <v>0.22083333333333333</v>
      </c>
      <c r="N17" s="12">
        <f t="shared" si="1"/>
        <v>6.0460871549167239E-4</v>
      </c>
    </row>
    <row r="18" spans="1:14" x14ac:dyDescent="0.25">
      <c r="A18" t="s">
        <v>260</v>
      </c>
      <c r="B18" s="100" t="s">
        <v>261</v>
      </c>
      <c r="C18" t="s">
        <v>262</v>
      </c>
      <c r="D18" t="s">
        <v>44</v>
      </c>
      <c r="E18" t="s">
        <v>4</v>
      </c>
      <c r="F18" t="s">
        <v>57</v>
      </c>
      <c r="G18" s="60">
        <v>7.28</v>
      </c>
      <c r="H18" s="60">
        <v>1.98</v>
      </c>
      <c r="I18" t="s">
        <v>132</v>
      </c>
      <c r="J18">
        <v>1</v>
      </c>
      <c r="M18" s="60">
        <f t="shared" si="0"/>
        <v>0.30333333333333334</v>
      </c>
      <c r="N18" s="12">
        <f t="shared" si="1"/>
        <v>8.304814054300708E-4</v>
      </c>
    </row>
    <row r="19" spans="1:14" x14ac:dyDescent="0.25">
      <c r="A19" t="s">
        <v>260</v>
      </c>
      <c r="B19" s="100" t="s">
        <v>261</v>
      </c>
      <c r="C19" t="s">
        <v>262</v>
      </c>
      <c r="D19" t="s">
        <v>44</v>
      </c>
      <c r="E19" t="s">
        <v>4</v>
      </c>
      <c r="F19" t="s">
        <v>54</v>
      </c>
      <c r="G19" s="60">
        <v>6.0874612449546603</v>
      </c>
      <c r="H19" s="60">
        <v>5.6661432503766998E-2</v>
      </c>
      <c r="I19" t="s">
        <v>255</v>
      </c>
      <c r="J19">
        <v>8</v>
      </c>
      <c r="K19" t="s">
        <v>256</v>
      </c>
      <c r="L19" t="s">
        <v>259</v>
      </c>
      <c r="M19" s="60">
        <f t="shared" si="0"/>
        <v>0.25364421853977753</v>
      </c>
      <c r="N19" s="12">
        <f t="shared" si="1"/>
        <v>6.9444002338063667E-4</v>
      </c>
    </row>
    <row r="20" spans="1:14" x14ac:dyDescent="0.25">
      <c r="A20" t="s">
        <v>260</v>
      </c>
      <c r="B20" s="100" t="s">
        <v>261</v>
      </c>
      <c r="C20" t="s">
        <v>262</v>
      </c>
      <c r="D20" t="s">
        <v>44</v>
      </c>
      <c r="E20" t="s">
        <v>4</v>
      </c>
      <c r="F20" t="s">
        <v>240</v>
      </c>
      <c r="G20" s="60">
        <v>0.5</v>
      </c>
      <c r="H20" s="60"/>
      <c r="I20" t="s">
        <v>125</v>
      </c>
      <c r="J20">
        <v>1</v>
      </c>
      <c r="M20" s="60">
        <f t="shared" si="0"/>
        <v>2.0833333333333332E-2</v>
      </c>
      <c r="N20" s="12">
        <f t="shared" si="1"/>
        <v>5.703855806525211E-5</v>
      </c>
    </row>
    <row r="21" spans="1:14" x14ac:dyDescent="0.25">
      <c r="A21" t="s">
        <v>260</v>
      </c>
      <c r="B21" s="100" t="s">
        <v>261</v>
      </c>
      <c r="C21" t="s">
        <v>262</v>
      </c>
      <c r="D21" t="s">
        <v>44</v>
      </c>
      <c r="E21" t="s">
        <v>8</v>
      </c>
      <c r="F21" t="s">
        <v>240</v>
      </c>
      <c r="G21" s="60">
        <v>1.3</v>
      </c>
      <c r="H21" s="60"/>
      <c r="I21" t="s">
        <v>125</v>
      </c>
      <c r="J21">
        <v>1</v>
      </c>
      <c r="M21" s="60">
        <f t="shared" si="0"/>
        <v>5.4166666666666669E-2</v>
      </c>
      <c r="N21" s="12">
        <f t="shared" si="1"/>
        <v>1.4830025096965548E-4</v>
      </c>
    </row>
    <row r="22" spans="1:14" x14ac:dyDescent="0.25">
      <c r="A22" t="s">
        <v>260</v>
      </c>
      <c r="B22" s="100" t="s">
        <v>261</v>
      </c>
      <c r="C22" t="s">
        <v>262</v>
      </c>
      <c r="D22" t="s">
        <v>44</v>
      </c>
      <c r="E22" t="s">
        <v>8</v>
      </c>
      <c r="F22" t="s">
        <v>57</v>
      </c>
      <c r="G22" s="60">
        <v>7.98</v>
      </c>
      <c r="H22" s="60">
        <v>2.21</v>
      </c>
      <c r="I22" t="s">
        <v>132</v>
      </c>
      <c r="J22">
        <v>1</v>
      </c>
      <c r="M22" s="60">
        <f t="shared" si="0"/>
        <v>0.33250000000000002</v>
      </c>
      <c r="N22" s="12">
        <f t="shared" si="1"/>
        <v>9.1033538672142373E-4</v>
      </c>
    </row>
    <row r="23" spans="1:14" x14ac:dyDescent="0.25">
      <c r="A23" t="s">
        <v>260</v>
      </c>
      <c r="B23" s="100" t="s">
        <v>261</v>
      </c>
      <c r="C23" t="s">
        <v>262</v>
      </c>
      <c r="D23" t="s">
        <v>44</v>
      </c>
      <c r="E23" t="s">
        <v>8</v>
      </c>
      <c r="F23" t="s">
        <v>54</v>
      </c>
      <c r="G23" s="60">
        <v>10.9956969780736</v>
      </c>
      <c r="H23" s="60">
        <v>6.3103489230921406E-2</v>
      </c>
      <c r="I23" t="s">
        <v>255</v>
      </c>
      <c r="J23">
        <v>8</v>
      </c>
      <c r="K23" t="s">
        <v>256</v>
      </c>
      <c r="L23" t="s">
        <v>259</v>
      </c>
      <c r="M23" s="60">
        <f t="shared" si="0"/>
        <v>0.45815404075306665</v>
      </c>
      <c r="N23" s="12">
        <f t="shared" si="1"/>
        <v>1.2543574011035365E-3</v>
      </c>
    </row>
    <row r="24" spans="1:14" x14ac:dyDescent="0.25">
      <c r="A24" t="s">
        <v>207</v>
      </c>
      <c r="B24" s="100" t="s">
        <v>208</v>
      </c>
      <c r="C24" t="s">
        <v>209</v>
      </c>
      <c r="D24" t="s">
        <v>47</v>
      </c>
      <c r="E24" t="s">
        <v>4</v>
      </c>
      <c r="F24" t="s">
        <v>240</v>
      </c>
      <c r="G24" s="60">
        <v>30116.4371016888</v>
      </c>
      <c r="H24" s="60">
        <v>1.6001123205419899E-2</v>
      </c>
      <c r="I24" t="s">
        <v>255</v>
      </c>
      <c r="J24">
        <v>5</v>
      </c>
      <c r="K24" t="s">
        <v>256</v>
      </c>
      <c r="L24" t="s">
        <v>259</v>
      </c>
      <c r="M24" s="60">
        <f t="shared" si="0"/>
        <v>1254.8515459037001</v>
      </c>
      <c r="N24" s="12">
        <f t="shared" si="1"/>
        <v>3.4355962926863794</v>
      </c>
    </row>
    <row r="25" spans="1:14" x14ac:dyDescent="0.25">
      <c r="A25" t="s">
        <v>207</v>
      </c>
      <c r="B25" s="100" t="s">
        <v>208</v>
      </c>
      <c r="C25" t="s">
        <v>209</v>
      </c>
      <c r="D25" t="s">
        <v>47</v>
      </c>
      <c r="E25" t="s">
        <v>8</v>
      </c>
      <c r="F25" t="s">
        <v>240</v>
      </c>
      <c r="G25" s="60">
        <v>32564.026463831298</v>
      </c>
      <c r="H25" s="60">
        <v>2.0588812545892898E-2</v>
      </c>
      <c r="I25" t="s">
        <v>255</v>
      </c>
      <c r="J25">
        <v>5</v>
      </c>
      <c r="K25" t="s">
        <v>256</v>
      </c>
      <c r="L25" t="s">
        <v>259</v>
      </c>
      <c r="M25" s="60">
        <f t="shared" si="0"/>
        <v>1356.8344359929708</v>
      </c>
      <c r="N25" s="12">
        <f t="shared" si="1"/>
        <v>3.7148102285912961</v>
      </c>
    </row>
    <row r="26" spans="1:14" x14ac:dyDescent="0.25">
      <c r="A26" t="s">
        <v>207</v>
      </c>
      <c r="B26" s="100" t="s">
        <v>208</v>
      </c>
      <c r="C26" t="s">
        <v>209</v>
      </c>
      <c r="D26" t="s">
        <v>46</v>
      </c>
      <c r="E26" t="s">
        <v>4</v>
      </c>
      <c r="F26" t="s">
        <v>57</v>
      </c>
      <c r="G26" s="60">
        <v>2640</v>
      </c>
      <c r="H26" s="60">
        <v>360</v>
      </c>
      <c r="I26" t="s">
        <v>119</v>
      </c>
      <c r="J26">
        <v>1</v>
      </c>
      <c r="M26" s="60">
        <f t="shared" si="0"/>
        <v>110</v>
      </c>
      <c r="N26" s="12">
        <f t="shared" si="1"/>
        <v>0.30116358658453113</v>
      </c>
    </row>
    <row r="27" spans="1:14" x14ac:dyDescent="0.25">
      <c r="A27" t="s">
        <v>207</v>
      </c>
      <c r="B27" s="100" t="s">
        <v>208</v>
      </c>
      <c r="C27" t="s">
        <v>209</v>
      </c>
      <c r="D27" t="s">
        <v>46</v>
      </c>
      <c r="E27" t="s">
        <v>8</v>
      </c>
      <c r="F27" t="s">
        <v>57</v>
      </c>
      <c r="G27" s="60">
        <v>3168</v>
      </c>
      <c r="H27" s="60">
        <v>168</v>
      </c>
      <c r="I27" t="s">
        <v>119</v>
      </c>
      <c r="J27">
        <v>1</v>
      </c>
      <c r="M27" s="60">
        <f t="shared" si="0"/>
        <v>132</v>
      </c>
      <c r="N27" s="12">
        <f t="shared" si="1"/>
        <v>0.3613963039014374</v>
      </c>
    </row>
    <row r="28" spans="1:14" x14ac:dyDescent="0.25">
      <c r="A28" t="s">
        <v>207</v>
      </c>
      <c r="B28" s="100" t="s">
        <v>208</v>
      </c>
      <c r="C28" t="s">
        <v>209</v>
      </c>
      <c r="D28" t="s">
        <v>45</v>
      </c>
      <c r="E28" t="s">
        <v>4</v>
      </c>
      <c r="F28" t="s">
        <v>54</v>
      </c>
      <c r="G28" s="60">
        <v>907.2</v>
      </c>
      <c r="H28" s="60"/>
      <c r="I28" t="s">
        <v>119</v>
      </c>
      <c r="J28">
        <v>2</v>
      </c>
      <c r="M28" s="60">
        <f t="shared" si="0"/>
        <v>37.800000000000004</v>
      </c>
      <c r="N28" s="12">
        <f t="shared" si="1"/>
        <v>0.10349075975359344</v>
      </c>
    </row>
    <row r="29" spans="1:14" x14ac:dyDescent="0.25">
      <c r="A29" t="s">
        <v>207</v>
      </c>
      <c r="B29" s="100" t="s">
        <v>208</v>
      </c>
      <c r="C29" t="s">
        <v>209</v>
      </c>
      <c r="D29" t="s">
        <v>45</v>
      </c>
      <c r="E29" t="s">
        <v>8</v>
      </c>
      <c r="F29" t="s">
        <v>54</v>
      </c>
      <c r="G29" s="60">
        <v>1027.44</v>
      </c>
      <c r="H29" s="60"/>
      <c r="I29" t="s">
        <v>119</v>
      </c>
      <c r="J29">
        <v>2</v>
      </c>
      <c r="M29" s="60">
        <f t="shared" si="0"/>
        <v>42.81</v>
      </c>
      <c r="N29" s="12">
        <f t="shared" si="1"/>
        <v>0.11720739219712527</v>
      </c>
    </row>
    <row r="30" spans="1:14" x14ac:dyDescent="0.25">
      <c r="A30" t="s">
        <v>207</v>
      </c>
      <c r="B30" s="100" t="s">
        <v>208</v>
      </c>
      <c r="C30" t="s">
        <v>209</v>
      </c>
      <c r="D30" t="s">
        <v>44</v>
      </c>
      <c r="E30" t="s">
        <v>4</v>
      </c>
      <c r="F30" t="s">
        <v>54</v>
      </c>
      <c r="G30" s="60">
        <v>1024.6670508775001</v>
      </c>
      <c r="H30" s="60">
        <v>3.4082912973598098E-2</v>
      </c>
      <c r="I30" t="s">
        <v>255</v>
      </c>
      <c r="J30">
        <v>6</v>
      </c>
      <c r="K30" t="s">
        <v>256</v>
      </c>
      <c r="L30" t="s">
        <v>259</v>
      </c>
      <c r="M30" s="60">
        <f t="shared" si="0"/>
        <v>42.694460453229169</v>
      </c>
      <c r="N30" s="12">
        <f t="shared" si="1"/>
        <v>0.11689106215805385</v>
      </c>
    </row>
    <row r="31" spans="1:14" x14ac:dyDescent="0.25">
      <c r="A31" t="s">
        <v>207</v>
      </c>
      <c r="B31" s="100" t="s">
        <v>208</v>
      </c>
      <c r="C31" t="s">
        <v>209</v>
      </c>
      <c r="D31" t="s">
        <v>44</v>
      </c>
      <c r="E31" t="s">
        <v>4</v>
      </c>
      <c r="F31" t="s">
        <v>57</v>
      </c>
      <c r="G31" s="60">
        <v>681.09755022840295</v>
      </c>
      <c r="H31" s="60">
        <v>4.7164825667677497E-2</v>
      </c>
      <c r="I31" t="s">
        <v>255</v>
      </c>
      <c r="J31">
        <v>2</v>
      </c>
      <c r="K31" t="s">
        <v>256</v>
      </c>
      <c r="L31" t="s">
        <v>259</v>
      </c>
      <c r="M31" s="60">
        <f t="shared" si="0"/>
        <v>28.379064592850124</v>
      </c>
      <c r="N31" s="12">
        <f t="shared" si="1"/>
        <v>7.7697644333607457E-2</v>
      </c>
    </row>
    <row r="32" spans="1:14" x14ac:dyDescent="0.25">
      <c r="A32" t="s">
        <v>207</v>
      </c>
      <c r="B32" s="100" t="s">
        <v>208</v>
      </c>
      <c r="C32" t="s">
        <v>209</v>
      </c>
      <c r="D32" t="s">
        <v>44</v>
      </c>
      <c r="E32" t="s">
        <v>8</v>
      </c>
      <c r="F32" t="s">
        <v>54</v>
      </c>
      <c r="G32" s="60">
        <v>864.96206393633395</v>
      </c>
      <c r="H32" s="60">
        <v>3.1201136218144199</v>
      </c>
      <c r="I32" t="s">
        <v>255</v>
      </c>
      <c r="J32">
        <v>6</v>
      </c>
      <c r="K32" t="s">
        <v>256</v>
      </c>
      <c r="L32" t="s">
        <v>257</v>
      </c>
      <c r="M32" s="60">
        <f t="shared" si="0"/>
        <v>36.040085997347248</v>
      </c>
      <c r="N32" s="12">
        <f t="shared" si="1"/>
        <v>9.8672377816145782E-2</v>
      </c>
    </row>
    <row r="33" spans="1:14" x14ac:dyDescent="0.25">
      <c r="A33" t="s">
        <v>207</v>
      </c>
      <c r="B33" s="100" t="s">
        <v>208</v>
      </c>
      <c r="C33" t="s">
        <v>209</v>
      </c>
      <c r="D33" t="s">
        <v>44</v>
      </c>
      <c r="E33" t="s">
        <v>8</v>
      </c>
      <c r="F33" t="s">
        <v>57</v>
      </c>
      <c r="G33" s="60">
        <v>811.64750115346897</v>
      </c>
      <c r="H33" s="60">
        <v>4.8527285742130798E-2</v>
      </c>
      <c r="I33" t="s">
        <v>255</v>
      </c>
      <c r="J33">
        <v>2</v>
      </c>
      <c r="K33" t="s">
        <v>256</v>
      </c>
      <c r="L33" t="s">
        <v>259</v>
      </c>
      <c r="M33" s="60">
        <f t="shared" si="0"/>
        <v>33.818645881394538</v>
      </c>
      <c r="N33" s="12">
        <f t="shared" si="1"/>
        <v>9.2590406246117835E-2</v>
      </c>
    </row>
    <row r="34" spans="1:14" x14ac:dyDescent="0.25">
      <c r="A34" t="s">
        <v>190</v>
      </c>
      <c r="B34" s="100" t="s">
        <v>191</v>
      </c>
      <c r="C34" t="s">
        <v>187</v>
      </c>
      <c r="D34" t="s">
        <v>47</v>
      </c>
      <c r="E34" t="s">
        <v>4</v>
      </c>
      <c r="F34" t="s">
        <v>240</v>
      </c>
      <c r="G34" s="60">
        <v>72</v>
      </c>
      <c r="H34" s="60">
        <v>14.7959183673469</v>
      </c>
      <c r="I34" t="s">
        <v>81</v>
      </c>
      <c r="J34">
        <v>1</v>
      </c>
      <c r="M34" s="60">
        <f t="shared" ref="M34:M65" si="2">G34/24</f>
        <v>3</v>
      </c>
      <c r="N34" s="12">
        <f t="shared" ref="N34:N65" si="3">M34/365.25</f>
        <v>8.2135523613963042E-3</v>
      </c>
    </row>
    <row r="35" spans="1:14" x14ac:dyDescent="0.25">
      <c r="A35" t="s">
        <v>190</v>
      </c>
      <c r="B35" s="100" t="s">
        <v>191</v>
      </c>
      <c r="C35" t="s">
        <v>187</v>
      </c>
      <c r="D35" t="s">
        <v>47</v>
      </c>
      <c r="E35" t="s">
        <v>8</v>
      </c>
      <c r="F35" t="s">
        <v>240</v>
      </c>
      <c r="G35" s="60">
        <v>72</v>
      </c>
      <c r="H35" s="60">
        <v>14.7959183673469</v>
      </c>
      <c r="I35" t="s">
        <v>81</v>
      </c>
      <c r="J35">
        <v>1</v>
      </c>
      <c r="M35" s="60">
        <f t="shared" si="2"/>
        <v>3</v>
      </c>
      <c r="N35" s="12">
        <f t="shared" si="3"/>
        <v>8.2135523613963042E-3</v>
      </c>
    </row>
    <row r="36" spans="1:14" x14ac:dyDescent="0.25">
      <c r="A36" t="s">
        <v>190</v>
      </c>
      <c r="B36" s="100" t="s">
        <v>191</v>
      </c>
      <c r="C36" t="s">
        <v>187</v>
      </c>
      <c r="D36" t="s">
        <v>46</v>
      </c>
      <c r="E36" t="s">
        <v>4</v>
      </c>
      <c r="F36" t="s">
        <v>57</v>
      </c>
      <c r="G36" s="60">
        <v>41.01</v>
      </c>
      <c r="H36" s="60">
        <v>4.71</v>
      </c>
      <c r="I36" t="s">
        <v>81</v>
      </c>
      <c r="J36">
        <v>1</v>
      </c>
      <c r="M36" s="60">
        <f t="shared" si="2"/>
        <v>1.70875</v>
      </c>
      <c r="N36" s="12">
        <f t="shared" si="3"/>
        <v>4.6783025325119777E-3</v>
      </c>
    </row>
    <row r="37" spans="1:14" x14ac:dyDescent="0.25">
      <c r="A37" t="s">
        <v>190</v>
      </c>
      <c r="B37" s="100" t="s">
        <v>191</v>
      </c>
      <c r="C37" t="s">
        <v>187</v>
      </c>
      <c r="D37" t="s">
        <v>46</v>
      </c>
      <c r="E37" t="s">
        <v>8</v>
      </c>
      <c r="F37" t="s">
        <v>57</v>
      </c>
      <c r="G37" s="60">
        <v>40.32</v>
      </c>
      <c r="H37" s="60">
        <v>2.36</v>
      </c>
      <c r="I37" t="s">
        <v>81</v>
      </c>
      <c r="J37">
        <v>1</v>
      </c>
      <c r="M37" s="60">
        <f t="shared" si="2"/>
        <v>1.68</v>
      </c>
      <c r="N37" s="12">
        <f t="shared" si="3"/>
        <v>4.5995893223819296E-3</v>
      </c>
    </row>
    <row r="38" spans="1:14" x14ac:dyDescent="0.25">
      <c r="A38" t="s">
        <v>190</v>
      </c>
      <c r="B38" s="100" t="s">
        <v>191</v>
      </c>
      <c r="C38" t="s">
        <v>187</v>
      </c>
      <c r="D38" t="s">
        <v>45</v>
      </c>
      <c r="E38" t="s">
        <v>4</v>
      </c>
      <c r="F38" t="s">
        <v>54</v>
      </c>
      <c r="G38" s="60">
        <v>6.2369237543814098</v>
      </c>
      <c r="H38" s="60">
        <v>5.71916168335007E-2</v>
      </c>
      <c r="I38" s="68" t="s">
        <v>81</v>
      </c>
      <c r="J38">
        <v>3</v>
      </c>
      <c r="K38" t="s">
        <v>258</v>
      </c>
      <c r="L38" t="s">
        <v>257</v>
      </c>
      <c r="M38" s="60">
        <f t="shared" si="2"/>
        <v>0.25987182309922541</v>
      </c>
      <c r="N38" s="12">
        <f t="shared" si="3"/>
        <v>7.1149027542566844E-4</v>
      </c>
    </row>
    <row r="39" spans="1:14" x14ac:dyDescent="0.25">
      <c r="A39" t="s">
        <v>190</v>
      </c>
      <c r="B39" s="100" t="s">
        <v>191</v>
      </c>
      <c r="C39" t="s">
        <v>187</v>
      </c>
      <c r="D39" t="s">
        <v>45</v>
      </c>
      <c r="E39" t="s">
        <v>8</v>
      </c>
      <c r="F39" t="s">
        <v>54</v>
      </c>
      <c r="G39" s="60">
        <v>11.7702827905661</v>
      </c>
      <c r="H39" s="60">
        <v>0.18596055540450401</v>
      </c>
      <c r="I39" s="68" t="s">
        <v>81</v>
      </c>
      <c r="J39">
        <v>3</v>
      </c>
      <c r="K39" t="s">
        <v>256</v>
      </c>
      <c r="L39" t="s">
        <v>257</v>
      </c>
      <c r="M39" s="60">
        <f t="shared" si="2"/>
        <v>0.49042844960692084</v>
      </c>
      <c r="N39" s="12">
        <f t="shared" si="3"/>
        <v>1.3427199167882842E-3</v>
      </c>
    </row>
    <row r="40" spans="1:14" x14ac:dyDescent="0.25">
      <c r="A40" t="s">
        <v>190</v>
      </c>
      <c r="B40" s="100" t="s">
        <v>191</v>
      </c>
      <c r="C40" t="s">
        <v>187</v>
      </c>
      <c r="D40" t="s">
        <v>44</v>
      </c>
      <c r="E40" t="s">
        <v>4</v>
      </c>
      <c r="F40" t="s">
        <v>54</v>
      </c>
      <c r="G40" s="60">
        <v>1.76</v>
      </c>
      <c r="H40" s="60">
        <v>0.26</v>
      </c>
      <c r="I40" t="s">
        <v>81</v>
      </c>
      <c r="J40">
        <v>1</v>
      </c>
      <c r="M40" s="60">
        <f t="shared" si="2"/>
        <v>7.3333333333333334E-2</v>
      </c>
      <c r="N40" s="12">
        <f t="shared" si="3"/>
        <v>2.0077572438968744E-4</v>
      </c>
    </row>
    <row r="41" spans="1:14" x14ac:dyDescent="0.25">
      <c r="A41" t="s">
        <v>190</v>
      </c>
      <c r="B41" s="100" t="s">
        <v>191</v>
      </c>
      <c r="C41" t="s">
        <v>187</v>
      </c>
      <c r="D41" t="s">
        <v>44</v>
      </c>
      <c r="E41" t="s">
        <v>8</v>
      </c>
      <c r="F41" t="s">
        <v>54</v>
      </c>
      <c r="G41" s="60">
        <v>9.2200000000000006</v>
      </c>
      <c r="H41" s="60">
        <v>0.75</v>
      </c>
      <c r="I41" t="s">
        <v>81</v>
      </c>
      <c r="J41">
        <v>1</v>
      </c>
      <c r="M41" s="60">
        <f t="shared" si="2"/>
        <v>0.38416666666666671</v>
      </c>
      <c r="N41" s="12">
        <f t="shared" si="3"/>
        <v>1.0517910107232489E-3</v>
      </c>
    </row>
    <row r="42" spans="1:14" x14ac:dyDescent="0.25">
      <c r="A42" t="s">
        <v>192</v>
      </c>
      <c r="B42" s="100" t="s">
        <v>193</v>
      </c>
      <c r="C42" t="s">
        <v>194</v>
      </c>
      <c r="D42" t="s">
        <v>47</v>
      </c>
      <c r="E42" t="s">
        <v>4</v>
      </c>
      <c r="F42" t="s">
        <v>240</v>
      </c>
      <c r="G42" s="60">
        <v>840.27479321579995</v>
      </c>
      <c r="H42" s="60">
        <v>9.0694297763196197</v>
      </c>
      <c r="I42" t="s">
        <v>255</v>
      </c>
      <c r="J42">
        <v>2</v>
      </c>
      <c r="K42" t="s">
        <v>256</v>
      </c>
      <c r="L42" t="s">
        <v>257</v>
      </c>
      <c r="M42" s="60">
        <f t="shared" si="2"/>
        <v>35.011449717325</v>
      </c>
      <c r="N42" s="12">
        <f t="shared" si="3"/>
        <v>9.5856125167214243E-2</v>
      </c>
    </row>
    <row r="43" spans="1:14" x14ac:dyDescent="0.25">
      <c r="A43" t="s">
        <v>192</v>
      </c>
      <c r="B43" s="100" t="s">
        <v>193</v>
      </c>
      <c r="C43" t="s">
        <v>194</v>
      </c>
      <c r="D43" t="s">
        <v>47</v>
      </c>
      <c r="E43" t="s">
        <v>8</v>
      </c>
      <c r="F43" t="s">
        <v>240</v>
      </c>
      <c r="G43" s="60">
        <v>862.16342621285605</v>
      </c>
      <c r="H43" s="60">
        <v>8.3117465631707095</v>
      </c>
      <c r="I43" t="s">
        <v>255</v>
      </c>
      <c r="J43">
        <v>2</v>
      </c>
      <c r="K43" t="s">
        <v>256</v>
      </c>
      <c r="L43" t="s">
        <v>257</v>
      </c>
      <c r="M43" s="60">
        <f t="shared" si="2"/>
        <v>35.923476092202336</v>
      </c>
      <c r="N43" s="12">
        <f t="shared" si="3"/>
        <v>9.8353117295557388E-2</v>
      </c>
    </row>
    <row r="44" spans="1:14" x14ac:dyDescent="0.25">
      <c r="A44" t="s">
        <v>192</v>
      </c>
      <c r="B44" s="100" t="s">
        <v>193</v>
      </c>
      <c r="C44" t="s">
        <v>194</v>
      </c>
      <c r="D44" t="s">
        <v>46</v>
      </c>
      <c r="E44" t="s">
        <v>4</v>
      </c>
      <c r="F44" t="s">
        <v>57</v>
      </c>
      <c r="G44" s="60">
        <v>25.4950419007119</v>
      </c>
      <c r="H44" s="60">
        <v>0.13203488086651499</v>
      </c>
      <c r="I44" t="s">
        <v>255</v>
      </c>
      <c r="J44">
        <v>2</v>
      </c>
      <c r="K44" t="s">
        <v>256</v>
      </c>
      <c r="L44" t="s">
        <v>259</v>
      </c>
      <c r="M44" s="60">
        <f t="shared" si="2"/>
        <v>1.0622934125296626</v>
      </c>
      <c r="N44" s="12">
        <f t="shared" si="3"/>
        <v>2.9084008556595829E-3</v>
      </c>
    </row>
    <row r="45" spans="1:14" x14ac:dyDescent="0.25">
      <c r="A45" t="s">
        <v>192</v>
      </c>
      <c r="B45" s="100" t="s">
        <v>193</v>
      </c>
      <c r="C45" t="s">
        <v>194</v>
      </c>
      <c r="D45" t="s">
        <v>46</v>
      </c>
      <c r="E45" t="s">
        <v>8</v>
      </c>
      <c r="F45" t="s">
        <v>57</v>
      </c>
      <c r="G45" s="60">
        <v>37.204034026087598</v>
      </c>
      <c r="H45" s="60">
        <v>0.105364013425053</v>
      </c>
      <c r="I45" t="s">
        <v>255</v>
      </c>
      <c r="J45">
        <v>2</v>
      </c>
      <c r="K45" t="s">
        <v>256</v>
      </c>
      <c r="L45" t="s">
        <v>259</v>
      </c>
      <c r="M45" s="60">
        <f t="shared" si="2"/>
        <v>1.5501680844203165</v>
      </c>
      <c r="N45" s="12">
        <f t="shared" si="3"/>
        <v>4.2441289101172253E-3</v>
      </c>
    </row>
    <row r="46" spans="1:14" x14ac:dyDescent="0.25">
      <c r="A46" t="s">
        <v>192</v>
      </c>
      <c r="B46" s="100" t="s">
        <v>193</v>
      </c>
      <c r="C46" t="s">
        <v>194</v>
      </c>
      <c r="D46" t="s">
        <v>45</v>
      </c>
      <c r="E46" t="s">
        <v>4</v>
      </c>
      <c r="F46" t="s">
        <v>54</v>
      </c>
      <c r="G46" s="60">
        <v>4.5</v>
      </c>
      <c r="H46" s="60">
        <v>0.40816326530612201</v>
      </c>
      <c r="I46" t="s">
        <v>165</v>
      </c>
      <c r="J46">
        <v>1</v>
      </c>
      <c r="M46" s="60">
        <f t="shared" si="2"/>
        <v>0.1875</v>
      </c>
      <c r="N46" s="12">
        <f t="shared" si="3"/>
        <v>5.1334702258726901E-4</v>
      </c>
    </row>
    <row r="47" spans="1:14" x14ac:dyDescent="0.25">
      <c r="A47" t="s">
        <v>192</v>
      </c>
      <c r="B47" s="100" t="s">
        <v>193</v>
      </c>
      <c r="C47" t="s">
        <v>194</v>
      </c>
      <c r="D47" t="s">
        <v>45</v>
      </c>
      <c r="E47" t="s">
        <v>8</v>
      </c>
      <c r="F47" t="s">
        <v>54</v>
      </c>
      <c r="G47" s="60">
        <v>5.8</v>
      </c>
      <c r="H47" s="60">
        <v>0.45918367346938699</v>
      </c>
      <c r="I47" t="s">
        <v>165</v>
      </c>
      <c r="J47">
        <v>1</v>
      </c>
      <c r="M47" s="60">
        <f t="shared" si="2"/>
        <v>0.24166666666666667</v>
      </c>
      <c r="N47" s="12">
        <f t="shared" si="3"/>
        <v>6.6164727355692452E-4</v>
      </c>
    </row>
    <row r="48" spans="1:14" x14ac:dyDescent="0.25">
      <c r="A48" t="s">
        <v>192</v>
      </c>
      <c r="B48" s="100" t="s">
        <v>193</v>
      </c>
      <c r="C48" t="s">
        <v>194</v>
      </c>
      <c r="D48" t="s">
        <v>44</v>
      </c>
      <c r="E48" t="s">
        <v>4</v>
      </c>
      <c r="F48" t="s">
        <v>54</v>
      </c>
      <c r="G48" s="60">
        <v>7.42</v>
      </c>
      <c r="H48" s="60">
        <v>0.79</v>
      </c>
      <c r="I48" t="s">
        <v>53</v>
      </c>
      <c r="J48">
        <v>1</v>
      </c>
      <c r="M48" s="60">
        <f t="shared" si="2"/>
        <v>0.30916666666666665</v>
      </c>
      <c r="N48" s="12">
        <f t="shared" si="3"/>
        <v>8.464522016883413E-4</v>
      </c>
    </row>
    <row r="49" spans="1:14" x14ac:dyDescent="0.25">
      <c r="A49" t="s">
        <v>192</v>
      </c>
      <c r="B49" s="100" t="s">
        <v>193</v>
      </c>
      <c r="C49" t="s">
        <v>194</v>
      </c>
      <c r="D49" t="s">
        <v>44</v>
      </c>
      <c r="E49" t="s">
        <v>4</v>
      </c>
      <c r="F49" t="s">
        <v>57</v>
      </c>
      <c r="G49" s="60">
        <v>1.50920220051729</v>
      </c>
      <c r="H49" s="60">
        <v>6.5027599486329996E-2</v>
      </c>
      <c r="I49" t="s">
        <v>255</v>
      </c>
      <c r="J49">
        <v>2</v>
      </c>
      <c r="K49" t="s">
        <v>256</v>
      </c>
      <c r="L49" t="s">
        <v>259</v>
      </c>
      <c r="M49" s="60">
        <f t="shared" si="2"/>
        <v>6.2883425021553752E-2</v>
      </c>
      <c r="N49" s="12">
        <f t="shared" si="3"/>
        <v>1.7216543469282341E-4</v>
      </c>
    </row>
    <row r="50" spans="1:14" x14ac:dyDescent="0.25">
      <c r="A50" t="s">
        <v>192</v>
      </c>
      <c r="B50" s="100" t="s">
        <v>193</v>
      </c>
      <c r="C50" t="s">
        <v>194</v>
      </c>
      <c r="D50" t="s">
        <v>44</v>
      </c>
      <c r="E50" t="s">
        <v>8</v>
      </c>
      <c r="F50" t="s">
        <v>57</v>
      </c>
      <c r="G50" s="60">
        <v>3.6107209893952801</v>
      </c>
      <c r="H50" s="60">
        <v>4.8065888051065001E-2</v>
      </c>
      <c r="I50" t="s">
        <v>255</v>
      </c>
      <c r="J50">
        <v>2</v>
      </c>
      <c r="K50" t="s">
        <v>256</v>
      </c>
      <c r="L50" t="s">
        <v>259</v>
      </c>
      <c r="M50" s="60">
        <f t="shared" si="2"/>
        <v>0.15044670789146999</v>
      </c>
      <c r="N50" s="12">
        <f t="shared" si="3"/>
        <v>4.1190063762209443E-4</v>
      </c>
    </row>
    <row r="51" spans="1:14" x14ac:dyDescent="0.25">
      <c r="A51" t="s">
        <v>192</v>
      </c>
      <c r="B51" s="100" t="s">
        <v>193</v>
      </c>
      <c r="C51" t="s">
        <v>194</v>
      </c>
      <c r="D51" t="s">
        <v>44</v>
      </c>
      <c r="E51" t="s">
        <v>8</v>
      </c>
      <c r="F51" t="s">
        <v>54</v>
      </c>
      <c r="G51" s="60">
        <v>5.0654966147499803</v>
      </c>
      <c r="H51" s="60">
        <v>2.1753000502104099E-2</v>
      </c>
      <c r="I51" t="s">
        <v>255</v>
      </c>
      <c r="J51">
        <v>4</v>
      </c>
      <c r="K51" t="s">
        <v>258</v>
      </c>
      <c r="L51" t="s">
        <v>257</v>
      </c>
      <c r="M51" s="60">
        <f t="shared" si="2"/>
        <v>0.21106235894791583</v>
      </c>
      <c r="N51" s="12">
        <f t="shared" si="3"/>
        <v>5.7785724557950951E-4</v>
      </c>
    </row>
    <row r="52" spans="1:14" x14ac:dyDescent="0.25">
      <c r="A52" t="s">
        <v>201</v>
      </c>
      <c r="B52" s="100" t="s">
        <v>202</v>
      </c>
      <c r="C52" t="s">
        <v>203</v>
      </c>
      <c r="D52" t="s">
        <v>47</v>
      </c>
      <c r="E52" t="s">
        <v>4</v>
      </c>
      <c r="F52" t="s">
        <v>240</v>
      </c>
      <c r="G52" s="60">
        <v>116462.47983839099</v>
      </c>
      <c r="H52" s="60">
        <v>523.91651720099003</v>
      </c>
      <c r="I52" t="s">
        <v>255</v>
      </c>
      <c r="J52">
        <v>5</v>
      </c>
      <c r="K52" t="s">
        <v>256</v>
      </c>
      <c r="L52" t="s">
        <v>257</v>
      </c>
      <c r="M52" s="60">
        <f t="shared" si="2"/>
        <v>4852.6033265996248</v>
      </c>
      <c r="N52" s="12">
        <f t="shared" si="3"/>
        <v>13.285703837370637</v>
      </c>
    </row>
    <row r="53" spans="1:14" x14ac:dyDescent="0.25">
      <c r="A53" t="s">
        <v>201</v>
      </c>
      <c r="B53" s="100" t="s">
        <v>202</v>
      </c>
      <c r="C53" t="s">
        <v>203</v>
      </c>
      <c r="D53" t="s">
        <v>47</v>
      </c>
      <c r="E53" t="s">
        <v>8</v>
      </c>
      <c r="F53" t="s">
        <v>240</v>
      </c>
      <c r="G53" s="60">
        <v>125882.070149363</v>
      </c>
      <c r="H53" s="60">
        <v>657.64410480187803</v>
      </c>
      <c r="I53" t="s">
        <v>255</v>
      </c>
      <c r="J53">
        <v>5</v>
      </c>
      <c r="K53" t="s">
        <v>256</v>
      </c>
      <c r="L53" t="s">
        <v>257</v>
      </c>
      <c r="M53" s="60">
        <f t="shared" si="2"/>
        <v>5245.0862562234588</v>
      </c>
      <c r="N53" s="12">
        <f t="shared" si="3"/>
        <v>14.360263535177163</v>
      </c>
    </row>
    <row r="54" spans="1:14" x14ac:dyDescent="0.25">
      <c r="A54" t="s">
        <v>201</v>
      </c>
      <c r="B54" s="100" t="s">
        <v>202</v>
      </c>
      <c r="C54" t="s">
        <v>203</v>
      </c>
      <c r="D54" t="s">
        <v>46</v>
      </c>
      <c r="E54" t="s">
        <v>4</v>
      </c>
      <c r="F54" t="s">
        <v>57</v>
      </c>
      <c r="G54" s="60">
        <v>2088</v>
      </c>
      <c r="H54" s="60">
        <v>648</v>
      </c>
      <c r="I54" t="s">
        <v>109</v>
      </c>
      <c r="J54">
        <v>1</v>
      </c>
      <c r="M54" s="60">
        <f t="shared" si="2"/>
        <v>87</v>
      </c>
      <c r="N54" s="12">
        <f t="shared" si="3"/>
        <v>0.23819301848049282</v>
      </c>
    </row>
    <row r="55" spans="1:14" x14ac:dyDescent="0.25">
      <c r="A55" t="s">
        <v>201</v>
      </c>
      <c r="B55" s="100" t="s">
        <v>202</v>
      </c>
      <c r="C55" t="s">
        <v>203</v>
      </c>
      <c r="D55" t="s">
        <v>46</v>
      </c>
      <c r="E55" t="s">
        <v>8</v>
      </c>
      <c r="F55" t="s">
        <v>57</v>
      </c>
      <c r="G55" s="60">
        <v>3384</v>
      </c>
      <c r="H55" s="60">
        <v>720</v>
      </c>
      <c r="I55" t="s">
        <v>109</v>
      </c>
      <c r="J55">
        <v>1</v>
      </c>
      <c r="M55" s="60">
        <f t="shared" si="2"/>
        <v>141</v>
      </c>
      <c r="N55" s="12">
        <f t="shared" si="3"/>
        <v>0.38603696098562629</v>
      </c>
    </row>
    <row r="56" spans="1:14" x14ac:dyDescent="0.25">
      <c r="A56" t="s">
        <v>201</v>
      </c>
      <c r="B56" s="100" t="s">
        <v>202</v>
      </c>
      <c r="C56" t="s">
        <v>203</v>
      </c>
      <c r="D56" t="s">
        <v>45</v>
      </c>
      <c r="E56" t="s">
        <v>4</v>
      </c>
      <c r="F56" t="s">
        <v>54</v>
      </c>
      <c r="G56" s="60">
        <v>643.44000000000005</v>
      </c>
      <c r="H56" s="60"/>
      <c r="I56" t="s">
        <v>109</v>
      </c>
      <c r="J56">
        <v>2</v>
      </c>
      <c r="M56" s="60">
        <f t="shared" si="2"/>
        <v>26.810000000000002</v>
      </c>
      <c r="N56" s="12">
        <f t="shared" si="3"/>
        <v>7.3401779603011641E-2</v>
      </c>
    </row>
    <row r="57" spans="1:14" x14ac:dyDescent="0.25">
      <c r="A57" t="s">
        <v>201</v>
      </c>
      <c r="B57" s="100" t="s">
        <v>202</v>
      </c>
      <c r="C57" t="s">
        <v>203</v>
      </c>
      <c r="D57" t="s">
        <v>45</v>
      </c>
      <c r="E57" t="s">
        <v>8</v>
      </c>
      <c r="F57" t="s">
        <v>54</v>
      </c>
      <c r="G57" s="60">
        <v>671.28</v>
      </c>
      <c r="H57" s="60"/>
      <c r="I57" t="s">
        <v>109</v>
      </c>
      <c r="J57">
        <v>2</v>
      </c>
      <c r="M57" s="60">
        <f t="shared" si="2"/>
        <v>27.97</v>
      </c>
      <c r="N57" s="12">
        <f t="shared" si="3"/>
        <v>7.6577686516084875E-2</v>
      </c>
    </row>
    <row r="58" spans="1:14" x14ac:dyDescent="0.25">
      <c r="A58" t="s">
        <v>201</v>
      </c>
      <c r="B58" s="100" t="s">
        <v>202</v>
      </c>
      <c r="C58" t="s">
        <v>203</v>
      </c>
      <c r="D58" t="s">
        <v>44</v>
      </c>
      <c r="E58" t="s">
        <v>4</v>
      </c>
      <c r="F58" t="s">
        <v>57</v>
      </c>
      <c r="G58" s="60">
        <v>34.210619697019297</v>
      </c>
      <c r="H58" s="60">
        <v>0.32974322681422402</v>
      </c>
      <c r="I58" t="s">
        <v>255</v>
      </c>
      <c r="J58">
        <v>3</v>
      </c>
      <c r="K58" t="s">
        <v>256</v>
      </c>
      <c r="L58" t="s">
        <v>257</v>
      </c>
      <c r="M58" s="60">
        <f t="shared" si="2"/>
        <v>1.425442487375804</v>
      </c>
      <c r="N58" s="12">
        <f t="shared" si="3"/>
        <v>3.9026488360733853E-3</v>
      </c>
    </row>
    <row r="59" spans="1:14" x14ac:dyDescent="0.25">
      <c r="A59" t="s">
        <v>201</v>
      </c>
      <c r="B59" s="100" t="s">
        <v>202</v>
      </c>
      <c r="C59" t="s">
        <v>203</v>
      </c>
      <c r="D59" t="s">
        <v>44</v>
      </c>
      <c r="E59" t="s">
        <v>4</v>
      </c>
      <c r="F59" t="s">
        <v>54</v>
      </c>
      <c r="G59" s="60">
        <v>30.8954443276502</v>
      </c>
      <c r="H59" s="60">
        <v>0.47301023470954601</v>
      </c>
      <c r="I59" t="s">
        <v>255</v>
      </c>
      <c r="J59">
        <v>2</v>
      </c>
      <c r="K59" t="s">
        <v>256</v>
      </c>
      <c r="L59" t="s">
        <v>257</v>
      </c>
      <c r="M59" s="60">
        <f t="shared" si="2"/>
        <v>1.2873101803187583</v>
      </c>
      <c r="N59" s="12">
        <f t="shared" si="3"/>
        <v>3.5244631904688796E-3</v>
      </c>
    </row>
    <row r="60" spans="1:14" x14ac:dyDescent="0.25">
      <c r="A60" t="s">
        <v>201</v>
      </c>
      <c r="B60" s="100" t="s">
        <v>202</v>
      </c>
      <c r="C60" t="s">
        <v>203</v>
      </c>
      <c r="D60" t="s">
        <v>44</v>
      </c>
      <c r="E60" t="s">
        <v>8</v>
      </c>
      <c r="F60" t="s">
        <v>54</v>
      </c>
      <c r="G60" s="60">
        <v>645.6</v>
      </c>
      <c r="H60" s="60">
        <v>8.8800000000000203</v>
      </c>
      <c r="I60" t="s">
        <v>118</v>
      </c>
      <c r="J60">
        <v>1</v>
      </c>
      <c r="M60" s="60">
        <f t="shared" si="2"/>
        <v>26.900000000000002</v>
      </c>
      <c r="N60" s="12">
        <f t="shared" si="3"/>
        <v>7.3648186173853533E-2</v>
      </c>
    </row>
    <row r="61" spans="1:14" x14ac:dyDescent="0.25">
      <c r="A61" t="s">
        <v>201</v>
      </c>
      <c r="B61" s="100" t="s">
        <v>202</v>
      </c>
      <c r="C61" t="s">
        <v>203</v>
      </c>
      <c r="D61" t="s">
        <v>44</v>
      </c>
      <c r="E61" t="s">
        <v>8</v>
      </c>
      <c r="F61" t="s">
        <v>57</v>
      </c>
      <c r="G61" s="60">
        <v>618.43707688559698</v>
      </c>
      <c r="H61" s="60">
        <v>6.4666098064229498</v>
      </c>
      <c r="I61" t="s">
        <v>255</v>
      </c>
      <c r="J61">
        <v>4</v>
      </c>
      <c r="K61" t="s">
        <v>256</v>
      </c>
      <c r="L61" t="s">
        <v>257</v>
      </c>
      <c r="M61" s="60">
        <f t="shared" si="2"/>
        <v>25.768211536899873</v>
      </c>
      <c r="N61" s="12">
        <f t="shared" si="3"/>
        <v>7.0549518239287817E-2</v>
      </c>
    </row>
    <row r="62" spans="1:14" x14ac:dyDescent="0.25">
      <c r="A62" t="s">
        <v>252</v>
      </c>
      <c r="B62" s="100" t="s">
        <v>253</v>
      </c>
      <c r="C62" t="s">
        <v>43</v>
      </c>
      <c r="D62" t="s">
        <v>47</v>
      </c>
      <c r="E62" t="s">
        <v>4</v>
      </c>
      <c r="F62" t="s">
        <v>240</v>
      </c>
      <c r="G62" s="60">
        <v>81</v>
      </c>
      <c r="H62" s="60">
        <f>55/SQRT(30)</f>
        <v>10.041580220928045</v>
      </c>
      <c r="I62" t="s">
        <v>254</v>
      </c>
      <c r="J62">
        <v>1</v>
      </c>
      <c r="M62" s="60">
        <f t="shared" si="2"/>
        <v>3.375</v>
      </c>
      <c r="N62" s="12">
        <f t="shared" si="3"/>
        <v>9.2402464065708418E-3</v>
      </c>
    </row>
    <row r="63" spans="1:14" x14ac:dyDescent="0.25">
      <c r="A63" t="s">
        <v>252</v>
      </c>
      <c r="B63" s="100" t="s">
        <v>253</v>
      </c>
      <c r="C63" t="s">
        <v>43</v>
      </c>
      <c r="D63" t="s">
        <v>47</v>
      </c>
      <c r="E63" t="s">
        <v>8</v>
      </c>
      <c r="F63" t="s">
        <v>240</v>
      </c>
      <c r="G63" s="60">
        <v>81</v>
      </c>
      <c r="H63" s="60">
        <f>55/SQRT(30)</f>
        <v>10.041580220928045</v>
      </c>
      <c r="I63" t="s">
        <v>254</v>
      </c>
      <c r="J63">
        <v>1</v>
      </c>
      <c r="M63" s="60">
        <f t="shared" si="2"/>
        <v>3.375</v>
      </c>
      <c r="N63" s="12">
        <f t="shared" si="3"/>
        <v>9.2402464065708418E-3</v>
      </c>
    </row>
    <row r="64" spans="1:14" x14ac:dyDescent="0.25">
      <c r="A64" t="s">
        <v>252</v>
      </c>
      <c r="B64" s="100" t="s">
        <v>253</v>
      </c>
      <c r="C64" t="s">
        <v>43</v>
      </c>
      <c r="D64" t="s">
        <v>46</v>
      </c>
      <c r="E64" t="s">
        <v>4</v>
      </c>
      <c r="F64" t="s">
        <v>57</v>
      </c>
      <c r="G64" s="60">
        <v>79.599999999999994</v>
      </c>
      <c r="H64" s="60"/>
      <c r="I64" t="s">
        <v>164</v>
      </c>
      <c r="J64">
        <v>1</v>
      </c>
      <c r="M64" s="60">
        <f t="shared" si="2"/>
        <v>3.3166666666666664</v>
      </c>
      <c r="N64" s="12">
        <f t="shared" si="3"/>
        <v>9.0805384439881353E-3</v>
      </c>
    </row>
    <row r="65" spans="1:14" x14ac:dyDescent="0.25">
      <c r="A65" t="s">
        <v>252</v>
      </c>
      <c r="B65" s="100" t="s">
        <v>253</v>
      </c>
      <c r="C65" t="s">
        <v>43</v>
      </c>
      <c r="D65" t="s">
        <v>46</v>
      </c>
      <c r="E65" t="s">
        <v>8</v>
      </c>
      <c r="F65" t="s">
        <v>57</v>
      </c>
      <c r="G65" s="60">
        <v>64.099999999999994</v>
      </c>
      <c r="H65" s="60"/>
      <c r="I65" t="s">
        <v>164</v>
      </c>
      <c r="J65">
        <v>1</v>
      </c>
      <c r="M65" s="60">
        <f t="shared" si="2"/>
        <v>2.6708333333333329</v>
      </c>
      <c r="N65" s="12">
        <f t="shared" si="3"/>
        <v>7.3123431439653195E-3</v>
      </c>
    </row>
    <row r="66" spans="1:14" x14ac:dyDescent="0.25">
      <c r="A66" t="s">
        <v>252</v>
      </c>
      <c r="B66" s="100" t="s">
        <v>253</v>
      </c>
      <c r="C66" t="s">
        <v>43</v>
      </c>
      <c r="D66" t="s">
        <v>45</v>
      </c>
      <c r="E66" t="s">
        <v>4</v>
      </c>
      <c r="F66" t="s">
        <v>54</v>
      </c>
      <c r="G66" s="60">
        <v>24.2</v>
      </c>
      <c r="H66" s="60"/>
      <c r="I66" t="s">
        <v>164</v>
      </c>
      <c r="J66">
        <v>1</v>
      </c>
      <c r="M66" s="60">
        <f t="shared" ref="M66:M92" si="4">G66/24</f>
        <v>1.0083333333333333</v>
      </c>
      <c r="N66" s="12">
        <f t="shared" ref="N66:N92" si="5">M66/365.25</f>
        <v>2.7606662103582019E-3</v>
      </c>
    </row>
    <row r="67" spans="1:14" x14ac:dyDescent="0.25">
      <c r="A67" t="s">
        <v>252</v>
      </c>
      <c r="B67" s="100" t="s">
        <v>253</v>
      </c>
      <c r="C67" t="s">
        <v>43</v>
      </c>
      <c r="D67" t="s">
        <v>45</v>
      </c>
      <c r="E67" t="s">
        <v>8</v>
      </c>
      <c r="F67" t="s">
        <v>54</v>
      </c>
      <c r="G67" s="60">
        <v>36.9</v>
      </c>
      <c r="H67" s="60"/>
      <c r="I67" t="s">
        <v>164</v>
      </c>
      <c r="J67">
        <v>1</v>
      </c>
      <c r="M67" s="60">
        <f t="shared" si="4"/>
        <v>1.5374999999999999</v>
      </c>
      <c r="N67" s="12">
        <f t="shared" si="5"/>
        <v>4.2094455852156052E-3</v>
      </c>
    </row>
    <row r="68" spans="1:14" x14ac:dyDescent="0.25">
      <c r="A68" t="s">
        <v>252</v>
      </c>
      <c r="B68" s="100" t="s">
        <v>253</v>
      </c>
      <c r="C68" t="s">
        <v>43</v>
      </c>
      <c r="D68" t="s">
        <v>44</v>
      </c>
      <c r="E68" t="s">
        <v>4</v>
      </c>
      <c r="F68" t="s">
        <v>54</v>
      </c>
      <c r="G68" s="60">
        <v>67.400000000000006</v>
      </c>
      <c r="H68" s="60"/>
      <c r="I68" t="s">
        <v>164</v>
      </c>
      <c r="J68">
        <v>1</v>
      </c>
      <c r="M68" s="60">
        <f t="shared" si="4"/>
        <v>2.8083333333333336</v>
      </c>
      <c r="N68" s="12">
        <f t="shared" si="5"/>
        <v>7.6887976271959851E-3</v>
      </c>
    </row>
    <row r="69" spans="1:14" x14ac:dyDescent="0.25">
      <c r="A69" t="s">
        <v>252</v>
      </c>
      <c r="B69" s="100" t="s">
        <v>253</v>
      </c>
      <c r="C69" t="s">
        <v>43</v>
      </c>
      <c r="D69" t="s">
        <v>44</v>
      </c>
      <c r="E69" t="s">
        <v>4</v>
      </c>
      <c r="F69" t="s">
        <v>57</v>
      </c>
      <c r="G69" s="60">
        <v>22.6</v>
      </c>
      <c r="H69" s="60"/>
      <c r="I69" t="s">
        <v>164</v>
      </c>
      <c r="J69">
        <v>1</v>
      </c>
      <c r="M69" s="60">
        <f t="shared" si="4"/>
        <v>0.94166666666666676</v>
      </c>
      <c r="N69" s="12">
        <f t="shared" si="5"/>
        <v>2.5781428245493956E-3</v>
      </c>
    </row>
    <row r="70" spans="1:14" x14ac:dyDescent="0.25">
      <c r="A70" t="s">
        <v>252</v>
      </c>
      <c r="B70" s="100" t="s">
        <v>253</v>
      </c>
      <c r="C70" t="s">
        <v>43</v>
      </c>
      <c r="D70" t="s">
        <v>44</v>
      </c>
      <c r="E70" t="s">
        <v>8</v>
      </c>
      <c r="F70" t="s">
        <v>57</v>
      </c>
      <c r="G70" s="60">
        <v>89.1</v>
      </c>
      <c r="H70" s="60"/>
      <c r="I70" t="s">
        <v>164</v>
      </c>
      <c r="J70">
        <v>1</v>
      </c>
      <c r="M70" s="60">
        <f t="shared" si="4"/>
        <v>3.7124999999999999</v>
      </c>
      <c r="N70" s="12">
        <f t="shared" si="5"/>
        <v>1.0164271047227925E-2</v>
      </c>
    </row>
    <row r="71" spans="1:14" x14ac:dyDescent="0.25">
      <c r="A71" t="s">
        <v>252</v>
      </c>
      <c r="B71" s="100" t="s">
        <v>253</v>
      </c>
      <c r="C71" t="s">
        <v>43</v>
      </c>
      <c r="D71" t="s">
        <v>44</v>
      </c>
      <c r="E71" t="s">
        <v>8</v>
      </c>
      <c r="F71" t="s">
        <v>54</v>
      </c>
      <c r="G71" s="60">
        <v>72.2</v>
      </c>
      <c r="H71" s="60"/>
      <c r="I71" t="s">
        <v>164</v>
      </c>
      <c r="J71">
        <v>1</v>
      </c>
      <c r="M71" s="60">
        <f t="shared" si="4"/>
        <v>3.0083333333333333</v>
      </c>
      <c r="N71" s="12">
        <f t="shared" si="5"/>
        <v>8.2363677846224049E-3</v>
      </c>
    </row>
    <row r="72" spans="1:14" x14ac:dyDescent="0.25">
      <c r="A72" t="s">
        <v>204</v>
      </c>
      <c r="B72" s="100" t="s">
        <v>205</v>
      </c>
      <c r="C72" t="s">
        <v>206</v>
      </c>
      <c r="D72" t="s">
        <v>47</v>
      </c>
      <c r="E72" t="s">
        <v>4</v>
      </c>
      <c r="F72" t="s">
        <v>240</v>
      </c>
      <c r="G72" s="60">
        <v>14892</v>
      </c>
      <c r="H72" s="60">
        <v>11563.2</v>
      </c>
      <c r="I72" t="s">
        <v>87</v>
      </c>
      <c r="J72">
        <v>1</v>
      </c>
      <c r="M72" s="60">
        <f t="shared" si="4"/>
        <v>620.5</v>
      </c>
      <c r="N72" s="12">
        <f t="shared" si="5"/>
        <v>1.6988364134154688</v>
      </c>
    </row>
    <row r="73" spans="1:14" x14ac:dyDescent="0.25">
      <c r="A73" t="s">
        <v>204</v>
      </c>
      <c r="B73" s="100" t="s">
        <v>205</v>
      </c>
      <c r="C73" t="s">
        <v>206</v>
      </c>
      <c r="D73" t="s">
        <v>47</v>
      </c>
      <c r="E73" t="s">
        <v>8</v>
      </c>
      <c r="F73" t="s">
        <v>240</v>
      </c>
      <c r="G73" s="60">
        <v>28032</v>
      </c>
      <c r="H73" s="60">
        <v>25053.599999999999</v>
      </c>
      <c r="I73" t="s">
        <v>87</v>
      </c>
      <c r="J73">
        <v>1</v>
      </c>
      <c r="M73" s="60">
        <f t="shared" si="4"/>
        <v>1168</v>
      </c>
      <c r="N73" s="12">
        <f t="shared" si="5"/>
        <v>3.1978097193702943</v>
      </c>
    </row>
    <row r="74" spans="1:14" x14ac:dyDescent="0.25">
      <c r="A74" t="s">
        <v>204</v>
      </c>
      <c r="B74" s="100" t="s">
        <v>205</v>
      </c>
      <c r="C74" t="s">
        <v>206</v>
      </c>
      <c r="D74" t="s">
        <v>45</v>
      </c>
      <c r="E74" t="s">
        <v>4</v>
      </c>
      <c r="F74" t="s">
        <v>54</v>
      </c>
      <c r="G74" s="60">
        <v>1007.51246279091</v>
      </c>
      <c r="H74" s="60">
        <v>6.6870185453797998E-2</v>
      </c>
      <c r="I74" t="s">
        <v>255</v>
      </c>
      <c r="J74">
        <v>2</v>
      </c>
      <c r="K74" t="s">
        <v>256</v>
      </c>
      <c r="L74" t="s">
        <v>259</v>
      </c>
      <c r="M74" s="60">
        <f t="shared" si="4"/>
        <v>41.979685949621249</v>
      </c>
      <c r="N74" s="12">
        <f t="shared" si="5"/>
        <v>0.11493411622072895</v>
      </c>
    </row>
    <row r="75" spans="1:14" x14ac:dyDescent="0.25">
      <c r="A75" t="s">
        <v>204</v>
      </c>
      <c r="B75" s="100" t="s">
        <v>205</v>
      </c>
      <c r="C75" t="s">
        <v>206</v>
      </c>
      <c r="D75" t="s">
        <v>45</v>
      </c>
      <c r="E75" t="s">
        <v>8</v>
      </c>
      <c r="F75" t="s">
        <v>54</v>
      </c>
      <c r="G75" s="60">
        <v>2088.4426262578399</v>
      </c>
      <c r="H75" s="60">
        <v>0.104475010911697</v>
      </c>
      <c r="I75" t="s">
        <v>255</v>
      </c>
      <c r="J75">
        <v>2</v>
      </c>
      <c r="K75" t="s">
        <v>256</v>
      </c>
      <c r="L75" t="s">
        <v>259</v>
      </c>
      <c r="M75" s="60">
        <f t="shared" si="4"/>
        <v>87.018442760743326</v>
      </c>
      <c r="N75" s="12">
        <f t="shared" si="5"/>
        <v>0.23824351200751082</v>
      </c>
    </row>
    <row r="76" spans="1:14" x14ac:dyDescent="0.25">
      <c r="A76" t="s">
        <v>204</v>
      </c>
      <c r="B76" s="100" t="s">
        <v>205</v>
      </c>
      <c r="C76" t="s">
        <v>206</v>
      </c>
      <c r="D76" t="s">
        <v>44</v>
      </c>
      <c r="E76" t="s">
        <v>4</v>
      </c>
      <c r="F76" t="s">
        <v>57</v>
      </c>
      <c r="G76" s="60">
        <v>153.525739876979</v>
      </c>
      <c r="H76" s="60">
        <v>8.2384485385548295E-2</v>
      </c>
      <c r="I76" t="s">
        <v>255</v>
      </c>
      <c r="J76">
        <v>3</v>
      </c>
      <c r="K76" t="s">
        <v>256</v>
      </c>
      <c r="L76" t="s">
        <v>259</v>
      </c>
      <c r="M76" s="60">
        <f t="shared" si="4"/>
        <v>6.3969058282074585</v>
      </c>
      <c r="N76" s="12">
        <f t="shared" si="5"/>
        <v>1.7513773656967716E-2</v>
      </c>
    </row>
    <row r="77" spans="1:14" x14ac:dyDescent="0.25">
      <c r="A77" t="s">
        <v>204</v>
      </c>
      <c r="B77" s="100" t="s">
        <v>205</v>
      </c>
      <c r="C77" t="s">
        <v>206</v>
      </c>
      <c r="D77" t="s">
        <v>44</v>
      </c>
      <c r="E77" t="s">
        <v>4</v>
      </c>
      <c r="F77" t="s">
        <v>54</v>
      </c>
      <c r="G77" s="60">
        <v>153.6</v>
      </c>
      <c r="H77" s="60">
        <v>11.913770184118899</v>
      </c>
      <c r="I77" t="s">
        <v>154</v>
      </c>
      <c r="J77">
        <v>1</v>
      </c>
      <c r="M77" s="60">
        <f t="shared" si="4"/>
        <v>6.3999999999999995</v>
      </c>
      <c r="N77" s="12">
        <f t="shared" si="5"/>
        <v>1.7522245037645448E-2</v>
      </c>
    </row>
    <row r="78" spans="1:14" x14ac:dyDescent="0.25">
      <c r="A78" t="s">
        <v>204</v>
      </c>
      <c r="B78" s="100" t="s">
        <v>205</v>
      </c>
      <c r="C78" t="s">
        <v>206</v>
      </c>
      <c r="D78" t="s">
        <v>44</v>
      </c>
      <c r="E78" t="s">
        <v>8</v>
      </c>
      <c r="F78" t="s">
        <v>54</v>
      </c>
      <c r="G78" s="60">
        <v>1309.68</v>
      </c>
      <c r="H78" s="60">
        <v>27.262140781677399</v>
      </c>
      <c r="I78" t="s">
        <v>154</v>
      </c>
      <c r="J78">
        <v>1</v>
      </c>
      <c r="M78" s="60">
        <f t="shared" si="4"/>
        <v>54.57</v>
      </c>
      <c r="N78" s="12">
        <f t="shared" si="5"/>
        <v>0.14940451745379876</v>
      </c>
    </row>
    <row r="79" spans="1:14" x14ac:dyDescent="0.25">
      <c r="A79" t="s">
        <v>204</v>
      </c>
      <c r="B79" s="100" t="s">
        <v>205</v>
      </c>
      <c r="C79" t="s">
        <v>206</v>
      </c>
      <c r="D79" t="s">
        <v>44</v>
      </c>
      <c r="E79" t="s">
        <v>8</v>
      </c>
      <c r="F79" t="s">
        <v>57</v>
      </c>
      <c r="G79" s="60">
        <v>784.92901938737896</v>
      </c>
      <c r="H79" s="60">
        <v>3.0557411482386599E-2</v>
      </c>
      <c r="I79" t="s">
        <v>255</v>
      </c>
      <c r="J79">
        <v>5</v>
      </c>
      <c r="K79" t="s">
        <v>256</v>
      </c>
      <c r="L79" t="s">
        <v>259</v>
      </c>
      <c r="M79" s="60">
        <f t="shared" si="4"/>
        <v>32.705375807807457</v>
      </c>
      <c r="N79" s="12">
        <f t="shared" si="5"/>
        <v>8.9542438898856824E-2</v>
      </c>
    </row>
    <row r="80" spans="1:14" x14ac:dyDescent="0.25">
      <c r="A80" t="s">
        <v>220</v>
      </c>
      <c r="B80" s="100" t="s">
        <v>221</v>
      </c>
      <c r="C80" t="s">
        <v>222</v>
      </c>
      <c r="D80" t="s">
        <v>47</v>
      </c>
      <c r="E80" t="s">
        <v>4</v>
      </c>
      <c r="F80" t="s">
        <v>240</v>
      </c>
      <c r="G80" s="60">
        <v>30781.929710363202</v>
      </c>
      <c r="H80" s="60">
        <v>95.302227908452195</v>
      </c>
      <c r="I80" t="s">
        <v>255</v>
      </c>
      <c r="J80">
        <v>5</v>
      </c>
      <c r="K80" t="s">
        <v>256</v>
      </c>
      <c r="L80" t="s">
        <v>257</v>
      </c>
      <c r="M80" s="60">
        <f t="shared" si="4"/>
        <v>1282.5804045984667</v>
      </c>
      <c r="N80" s="12">
        <f t="shared" si="5"/>
        <v>3.5115137702901209</v>
      </c>
    </row>
    <row r="81" spans="1:14" x14ac:dyDescent="0.25">
      <c r="A81" t="s">
        <v>220</v>
      </c>
      <c r="B81" s="100" t="s">
        <v>221</v>
      </c>
      <c r="C81" t="s">
        <v>222</v>
      </c>
      <c r="D81" t="s">
        <v>47</v>
      </c>
      <c r="E81" t="s">
        <v>8</v>
      </c>
      <c r="F81" t="s">
        <v>240</v>
      </c>
      <c r="G81" s="60">
        <v>30647.6782397151</v>
      </c>
      <c r="H81" s="60">
        <v>93.8832876647093</v>
      </c>
      <c r="I81" t="s">
        <v>255</v>
      </c>
      <c r="J81">
        <v>6</v>
      </c>
      <c r="K81" t="s">
        <v>256</v>
      </c>
      <c r="L81" t="s">
        <v>257</v>
      </c>
      <c r="M81" s="60">
        <f t="shared" si="4"/>
        <v>1276.9865933214626</v>
      </c>
      <c r="N81" s="12">
        <f t="shared" si="5"/>
        <v>3.496198749682307</v>
      </c>
    </row>
    <row r="82" spans="1:14" x14ac:dyDescent="0.25">
      <c r="A82" t="s">
        <v>220</v>
      </c>
      <c r="B82" s="100" t="s">
        <v>221</v>
      </c>
      <c r="C82" t="s">
        <v>222</v>
      </c>
      <c r="D82" t="s">
        <v>46</v>
      </c>
      <c r="E82" t="s">
        <v>4</v>
      </c>
      <c r="F82" t="s">
        <v>57</v>
      </c>
      <c r="G82" s="60">
        <v>782.4</v>
      </c>
      <c r="H82" s="60">
        <v>110.851251684408</v>
      </c>
      <c r="I82" t="s">
        <v>169</v>
      </c>
      <c r="J82">
        <v>1</v>
      </c>
      <c r="M82" s="60">
        <f t="shared" si="4"/>
        <v>32.6</v>
      </c>
      <c r="N82" s="12">
        <f t="shared" si="5"/>
        <v>8.9253935660506503E-2</v>
      </c>
    </row>
    <row r="83" spans="1:14" x14ac:dyDescent="0.25">
      <c r="A83" t="s">
        <v>220</v>
      </c>
      <c r="B83" s="100" t="s">
        <v>221</v>
      </c>
      <c r="C83" t="s">
        <v>222</v>
      </c>
      <c r="D83" t="s">
        <v>46</v>
      </c>
      <c r="E83" t="s">
        <v>8</v>
      </c>
      <c r="F83" t="s">
        <v>57</v>
      </c>
      <c r="G83" s="60">
        <v>501.6</v>
      </c>
      <c r="H83" s="60">
        <v>173.20508075688801</v>
      </c>
      <c r="I83" t="s">
        <v>169</v>
      </c>
      <c r="J83">
        <v>1</v>
      </c>
      <c r="M83" s="60">
        <f t="shared" si="4"/>
        <v>20.900000000000002</v>
      </c>
      <c r="N83" s="12">
        <f t="shared" si="5"/>
        <v>5.7221081451060925E-2</v>
      </c>
    </row>
    <row r="84" spans="1:14" x14ac:dyDescent="0.25">
      <c r="A84" t="s">
        <v>220</v>
      </c>
      <c r="B84" s="100" t="s">
        <v>221</v>
      </c>
      <c r="C84" t="s">
        <v>222</v>
      </c>
      <c r="D84" t="s">
        <v>46</v>
      </c>
      <c r="E84" t="s">
        <v>8</v>
      </c>
      <c r="F84" t="s">
        <v>54</v>
      </c>
      <c r="G84" s="60">
        <v>482.4</v>
      </c>
      <c r="H84" s="60"/>
      <c r="I84" t="s">
        <v>169</v>
      </c>
      <c r="J84">
        <v>1</v>
      </c>
      <c r="M84" s="60">
        <f t="shared" si="4"/>
        <v>20.099999999999998</v>
      </c>
      <c r="N84" s="12">
        <f t="shared" si="5"/>
        <v>5.5030800821355232E-2</v>
      </c>
    </row>
    <row r="85" spans="1:14" x14ac:dyDescent="0.25">
      <c r="A85" t="s">
        <v>220</v>
      </c>
      <c r="B85" s="100" t="s">
        <v>221</v>
      </c>
      <c r="C85" t="s">
        <v>222</v>
      </c>
      <c r="D85" t="s">
        <v>45</v>
      </c>
      <c r="E85" t="s">
        <v>4</v>
      </c>
      <c r="F85" t="s">
        <v>54</v>
      </c>
      <c r="G85" s="60">
        <v>374.4</v>
      </c>
      <c r="H85" s="60">
        <v>11.0204081632653</v>
      </c>
      <c r="I85" t="s">
        <v>167</v>
      </c>
      <c r="J85">
        <v>1</v>
      </c>
      <c r="M85" s="60">
        <f t="shared" si="4"/>
        <v>15.6</v>
      </c>
      <c r="N85" s="12">
        <f t="shared" si="5"/>
        <v>4.271047227926078E-2</v>
      </c>
    </row>
    <row r="86" spans="1:14" x14ac:dyDescent="0.25">
      <c r="A86" t="s">
        <v>220</v>
      </c>
      <c r="B86" s="100" t="s">
        <v>221</v>
      </c>
      <c r="C86" t="s">
        <v>222</v>
      </c>
      <c r="D86" t="s">
        <v>45</v>
      </c>
      <c r="E86" t="s">
        <v>8</v>
      </c>
      <c r="F86" t="s">
        <v>54</v>
      </c>
      <c r="G86" s="60">
        <v>520.79999999999995</v>
      </c>
      <c r="H86" s="60">
        <v>26.938775510204099</v>
      </c>
      <c r="I86" t="s">
        <v>167</v>
      </c>
      <c r="J86">
        <v>1</v>
      </c>
      <c r="M86" s="60">
        <f t="shared" si="4"/>
        <v>21.7</v>
      </c>
      <c r="N86" s="12">
        <f t="shared" si="5"/>
        <v>5.9411362080766597E-2</v>
      </c>
    </row>
    <row r="87" spans="1:14" x14ac:dyDescent="0.25">
      <c r="A87" t="s">
        <v>220</v>
      </c>
      <c r="B87" s="100" t="s">
        <v>221</v>
      </c>
      <c r="C87" t="s">
        <v>222</v>
      </c>
      <c r="D87" t="s">
        <v>44</v>
      </c>
      <c r="E87" t="s">
        <v>4</v>
      </c>
      <c r="F87" t="s">
        <v>54</v>
      </c>
      <c r="G87" s="60">
        <v>16.6742911333255</v>
      </c>
      <c r="H87" s="60">
        <v>7.5790373042837006E-2</v>
      </c>
      <c r="I87" t="s">
        <v>255</v>
      </c>
      <c r="J87">
        <v>4</v>
      </c>
      <c r="K87" t="s">
        <v>256</v>
      </c>
      <c r="L87" t="s">
        <v>259</v>
      </c>
      <c r="M87" s="60">
        <f t="shared" si="4"/>
        <v>0.69476213055522917</v>
      </c>
      <c r="N87" s="12">
        <f t="shared" si="5"/>
        <v>1.90215504601021E-3</v>
      </c>
    </row>
    <row r="88" spans="1:14" x14ac:dyDescent="0.25">
      <c r="A88" t="s">
        <v>220</v>
      </c>
      <c r="B88" s="100" t="s">
        <v>221</v>
      </c>
      <c r="C88" t="s">
        <v>222</v>
      </c>
      <c r="D88" t="s">
        <v>44</v>
      </c>
      <c r="E88" t="s">
        <v>4</v>
      </c>
      <c r="F88" t="s">
        <v>57</v>
      </c>
      <c r="G88" s="60">
        <v>4.8197084795725296</v>
      </c>
      <c r="H88" s="60">
        <v>5.5602770984577103E-2</v>
      </c>
      <c r="I88" t="s">
        <v>255</v>
      </c>
      <c r="J88">
        <v>4</v>
      </c>
      <c r="K88" t="s">
        <v>256</v>
      </c>
      <c r="L88" t="s">
        <v>259</v>
      </c>
      <c r="M88" s="60">
        <f t="shared" si="4"/>
        <v>0.2008211866488554</v>
      </c>
      <c r="N88" s="12">
        <f t="shared" si="5"/>
        <v>5.4981844393937136E-4</v>
      </c>
    </row>
    <row r="89" spans="1:14" x14ac:dyDescent="0.25">
      <c r="A89" t="s">
        <v>220</v>
      </c>
      <c r="B89" s="100" t="s">
        <v>221</v>
      </c>
      <c r="C89" t="s">
        <v>222</v>
      </c>
      <c r="D89" t="s">
        <v>44</v>
      </c>
      <c r="E89" t="s">
        <v>8</v>
      </c>
      <c r="F89" t="s">
        <v>57</v>
      </c>
      <c r="G89" s="60">
        <v>195.05620837494601</v>
      </c>
      <c r="H89" s="60">
        <v>3.4881325263810798</v>
      </c>
      <c r="I89" t="s">
        <v>255</v>
      </c>
      <c r="J89">
        <v>4</v>
      </c>
      <c r="K89" t="s">
        <v>256</v>
      </c>
      <c r="L89" t="s">
        <v>257</v>
      </c>
      <c r="M89" s="60">
        <f t="shared" si="4"/>
        <v>8.1273420156227498</v>
      </c>
      <c r="N89" s="12">
        <f t="shared" si="5"/>
        <v>2.2251449734764544E-2</v>
      </c>
    </row>
    <row r="90" spans="1:14" x14ac:dyDescent="0.25">
      <c r="A90" t="s">
        <v>220</v>
      </c>
      <c r="B90" s="100" t="s">
        <v>221</v>
      </c>
      <c r="C90" t="s">
        <v>222</v>
      </c>
      <c r="D90" t="s">
        <v>44</v>
      </c>
      <c r="E90" t="s">
        <v>8</v>
      </c>
      <c r="F90" t="s">
        <v>54</v>
      </c>
      <c r="G90" s="60">
        <v>204.08829314729499</v>
      </c>
      <c r="H90" s="60">
        <v>2.8150559857358899</v>
      </c>
      <c r="I90" t="s">
        <v>255</v>
      </c>
      <c r="J90">
        <v>4</v>
      </c>
      <c r="K90" t="s">
        <v>256</v>
      </c>
      <c r="L90" t="s">
        <v>257</v>
      </c>
      <c r="M90" s="60">
        <f t="shared" si="4"/>
        <v>8.5036788811372919</v>
      </c>
      <c r="N90" s="12">
        <f t="shared" si="5"/>
        <v>2.3281803918240362E-2</v>
      </c>
    </row>
    <row r="91" spans="1:14" x14ac:dyDescent="0.25">
      <c r="A91" t="s">
        <v>249</v>
      </c>
      <c r="B91" s="100" t="s">
        <v>250</v>
      </c>
      <c r="C91" t="s">
        <v>251</v>
      </c>
      <c r="D91" t="s">
        <v>47</v>
      </c>
      <c r="E91" t="s">
        <v>4</v>
      </c>
      <c r="F91" t="s">
        <v>240</v>
      </c>
      <c r="G91" s="60">
        <v>162060</v>
      </c>
      <c r="H91" s="60">
        <v>73584</v>
      </c>
      <c r="I91" t="s">
        <v>91</v>
      </c>
      <c r="J91">
        <v>1</v>
      </c>
      <c r="M91" s="60">
        <f t="shared" si="4"/>
        <v>6752.5</v>
      </c>
      <c r="N91" s="12">
        <f t="shared" si="5"/>
        <v>18.487337440109513</v>
      </c>
    </row>
    <row r="92" spans="1:14" x14ac:dyDescent="0.25">
      <c r="A92" t="s">
        <v>249</v>
      </c>
      <c r="B92" s="100" t="s">
        <v>250</v>
      </c>
      <c r="C92" t="s">
        <v>251</v>
      </c>
      <c r="D92" t="s">
        <v>47</v>
      </c>
      <c r="E92" t="s">
        <v>8</v>
      </c>
      <c r="F92" t="s">
        <v>240</v>
      </c>
      <c r="G92" s="60">
        <v>162060</v>
      </c>
      <c r="H92" s="60">
        <v>73584</v>
      </c>
      <c r="I92" t="s">
        <v>91</v>
      </c>
      <c r="J92">
        <v>1</v>
      </c>
      <c r="M92" s="60">
        <f t="shared" si="4"/>
        <v>6752.5</v>
      </c>
      <c r="N92" s="12">
        <f t="shared" si="5"/>
        <v>18.487337440109513</v>
      </c>
    </row>
  </sheetData>
  <hyperlinks>
    <hyperlink ref="B2" r:id="rId1" xr:uid="{D3C0FE12-D934-488C-9AAE-3FD8C28FB60D}"/>
    <hyperlink ref="B3" r:id="rId2" xr:uid="{21096DA4-458D-40FD-AC3B-59432C576073}"/>
    <hyperlink ref="B4" r:id="rId3" xr:uid="{1DC249ED-829D-4536-87A1-90E995C53C57}"/>
    <hyperlink ref="B5" r:id="rId4" xr:uid="{A00D22C2-3CAC-429C-981A-8780D8BC0AB9}"/>
    <hyperlink ref="B6" r:id="rId5" xr:uid="{01FF678A-22EB-4DBC-A52E-50CCC16203A4}"/>
    <hyperlink ref="B7" r:id="rId6" xr:uid="{B4A038EA-30BC-4035-B918-73E054638A80}"/>
    <hyperlink ref="B8" r:id="rId7" xr:uid="{827588DA-EF84-42E7-96E7-12639A6173A4}"/>
    <hyperlink ref="B9" r:id="rId8" xr:uid="{DFC381FF-175A-45B9-9755-DDBF2D7B0783}"/>
    <hyperlink ref="B10" r:id="rId9" xr:uid="{B478E482-E391-4488-BF08-8308038627AB}"/>
    <hyperlink ref="B11" r:id="rId10" xr:uid="{08D9CC40-AFB9-4CA5-87AA-33D6A3654432}"/>
    <hyperlink ref="B12" r:id="rId11" xr:uid="{5A8B19F5-9721-4619-AE0E-2B0B2D47D29D}"/>
    <hyperlink ref="B13" r:id="rId12" xr:uid="{50DCA632-AB31-4FB4-8E5E-3A05A0EC9FA5}"/>
    <hyperlink ref="B14" r:id="rId13" xr:uid="{F9F760DC-6029-4F11-A4CB-38543DAE49EA}"/>
    <hyperlink ref="B15" r:id="rId14" xr:uid="{4700F5B8-4B66-4C5B-98CF-916F39F1364C}"/>
    <hyperlink ref="B16" r:id="rId15" xr:uid="{993DCBCB-02B6-46A2-B490-3465E86A2F26}"/>
    <hyperlink ref="B17" r:id="rId16" xr:uid="{C39370AA-1E3A-4197-B284-F5905AF8E3B6}"/>
    <hyperlink ref="B18" r:id="rId17" xr:uid="{3985466C-BF92-4DE6-BED4-90850C741374}"/>
    <hyperlink ref="B19" r:id="rId18" xr:uid="{5E7A54CC-E203-4D52-B4D7-CE8D5C4F22B4}"/>
    <hyperlink ref="B20" r:id="rId19" xr:uid="{2541B4D4-1132-4786-8D83-897A8AF59E4C}"/>
    <hyperlink ref="B21" r:id="rId20" xr:uid="{2BA540A1-D14C-4CD9-8AA8-274F9255A82E}"/>
    <hyperlink ref="B22" r:id="rId21" xr:uid="{F0115908-3F23-4FFC-9428-EE7D159FB854}"/>
    <hyperlink ref="B23" r:id="rId22" xr:uid="{E6C354C6-2DA1-4784-A7D9-E74F37B46323}"/>
    <hyperlink ref="B24" r:id="rId23" xr:uid="{216771DC-CE10-438A-857C-1E916CF8BA7D}"/>
    <hyperlink ref="B25" r:id="rId24" xr:uid="{EE8478F4-A345-49EA-84F0-5B7D3F7C15BC}"/>
    <hyperlink ref="B26" r:id="rId25" xr:uid="{E90CD758-E21E-4800-AC2D-06D90873DCEB}"/>
    <hyperlink ref="B27" r:id="rId26" xr:uid="{F0E5940B-08CB-4940-8017-6D70EE4F0AB4}"/>
    <hyperlink ref="B28" r:id="rId27" xr:uid="{27060287-6845-4742-AB33-C2541ABFED8E}"/>
    <hyperlink ref="B29" r:id="rId28" xr:uid="{F6B8167D-1869-43D8-ABF0-A00737183AA1}"/>
    <hyperlink ref="B30" r:id="rId29" xr:uid="{5A6566C2-B807-4C96-93CA-58D90FB63257}"/>
    <hyperlink ref="B31" r:id="rId30" xr:uid="{477855FA-A3DC-4120-8111-21D8F9669C01}"/>
    <hyperlink ref="B32" r:id="rId31" xr:uid="{DDA5DBEB-AEAF-41A4-92FE-6766F3F6116E}"/>
    <hyperlink ref="B33" r:id="rId32" xr:uid="{C7F66F1C-0FDA-4C3C-9A61-893E58164C16}"/>
    <hyperlink ref="B34" r:id="rId33" xr:uid="{028A9CB1-0BCE-479B-9A62-A9ED67252080}"/>
    <hyperlink ref="B35" r:id="rId34" xr:uid="{781E1756-DBE1-4B54-9E5C-D6F64DDCDCD5}"/>
    <hyperlink ref="B36" r:id="rId35" xr:uid="{2F2FE50F-F4E1-464F-88CF-B2465403241E}"/>
    <hyperlink ref="B37" r:id="rId36" xr:uid="{D2AA955D-5361-48FB-B667-216876462398}"/>
    <hyperlink ref="B38" r:id="rId37" xr:uid="{3D7B7098-34AA-4836-B20A-66345A382A99}"/>
    <hyperlink ref="B39" r:id="rId38" xr:uid="{059958DC-9847-4CBF-AB7B-B5E4ACE511D7}"/>
    <hyperlink ref="B40" r:id="rId39" xr:uid="{C2CD8E47-3A3C-4D33-9CE7-D386985CD8DA}"/>
    <hyperlink ref="B41" r:id="rId40" xr:uid="{6650AE90-1EB0-4DE7-BDCD-90191EBECDB7}"/>
    <hyperlink ref="B42" r:id="rId41" xr:uid="{814FB408-9000-4B18-8947-F48B2CA90916}"/>
    <hyperlink ref="B43" r:id="rId42" xr:uid="{12F454DA-F93F-432E-B1BD-7B92970F438D}"/>
    <hyperlink ref="B44" r:id="rId43" xr:uid="{513177CE-01E1-4CD6-B101-A8114C73F8DF}"/>
    <hyperlink ref="B45" r:id="rId44" xr:uid="{76C90484-DE12-42B1-8510-1380E093DA0C}"/>
    <hyperlink ref="B46" r:id="rId45" xr:uid="{864C998E-80E1-4D99-9B32-DC6123BDCB73}"/>
    <hyperlink ref="B47" r:id="rId46" xr:uid="{62F857D9-152F-4F60-BCAD-58487D64A689}"/>
    <hyperlink ref="B48" r:id="rId47" xr:uid="{9917DA2B-7B10-45CE-B0F9-BF761E66AF4E}"/>
    <hyperlink ref="B49" r:id="rId48" xr:uid="{655ED140-054C-4CDF-8332-5DAE6FE1DF13}"/>
    <hyperlink ref="B50" r:id="rId49" xr:uid="{215F2F1E-84DF-42F0-9035-BFBD9836F23B}"/>
    <hyperlink ref="B51" r:id="rId50" xr:uid="{0FF5E2BE-92FA-4592-A810-D8517DBC1605}"/>
    <hyperlink ref="B52" r:id="rId51" xr:uid="{54877602-A512-4231-ACB3-50F14218C3E0}"/>
    <hyperlink ref="B53" r:id="rId52" xr:uid="{4B55C744-7318-4319-A7A1-D824D9CCABF2}"/>
    <hyperlink ref="B54" r:id="rId53" xr:uid="{0A64C07E-A4EF-4600-8BD9-E004ED638D35}"/>
    <hyperlink ref="B55" r:id="rId54" xr:uid="{35C7303B-9C3B-47F5-AB35-7A914B4E837B}"/>
    <hyperlink ref="B56" r:id="rId55" xr:uid="{973B663E-9902-4613-9B90-A26CA8EED7FC}"/>
    <hyperlink ref="B57" r:id="rId56" xr:uid="{CEE34FDE-9C1A-4861-B9A2-4343E96D9EE8}"/>
    <hyperlink ref="B58" r:id="rId57" xr:uid="{5A9029B1-3D5A-4F47-84C5-7D7FB5DD867D}"/>
    <hyperlink ref="B59" r:id="rId58" xr:uid="{D79955D7-4360-4B8C-9BAE-0CF0E579AE9B}"/>
    <hyperlink ref="B60" r:id="rId59" xr:uid="{DE3E62B1-6D42-4890-A859-7FEB741F0192}"/>
    <hyperlink ref="B61" r:id="rId60" xr:uid="{5BA2CE7E-1F48-4B77-A09A-70D3E3AD2070}"/>
    <hyperlink ref="B62" r:id="rId61" xr:uid="{195AD631-D9D3-478B-8642-C9843270762F}"/>
    <hyperlink ref="B63" r:id="rId62" xr:uid="{D23E0D37-E5B0-4541-9BC9-44EB807DDFFC}"/>
    <hyperlink ref="B64" r:id="rId63" xr:uid="{C7CBF91F-D886-4368-8BB6-6A9FB79BF25E}"/>
    <hyperlink ref="B65" r:id="rId64" xr:uid="{FF69558A-7FA3-45C8-8FA4-B83287F6DB8B}"/>
    <hyperlink ref="B66" r:id="rId65" xr:uid="{9914E879-CADB-49F6-BFCD-7FD5AD8D5A66}"/>
    <hyperlink ref="B67" r:id="rId66" xr:uid="{21095C36-180D-4BB3-A07A-FB2DF7DD35F1}"/>
    <hyperlink ref="B68" r:id="rId67" xr:uid="{56030959-A119-4B64-A111-ED65855ECB4E}"/>
    <hyperlink ref="B69" r:id="rId68" xr:uid="{0CD67FE7-CCBD-43A0-A896-E38B3F067B19}"/>
    <hyperlink ref="B70" r:id="rId69" xr:uid="{561CA523-01FC-4B19-AA67-8303A2AA1CD0}"/>
    <hyperlink ref="B71" r:id="rId70" xr:uid="{2EDBB22F-21A8-4390-9849-62413FC6C6FC}"/>
    <hyperlink ref="B72" r:id="rId71" xr:uid="{251E81B3-FC19-4808-8720-BCC2A94B6D47}"/>
    <hyperlink ref="B73" r:id="rId72" xr:uid="{5190C63F-13CA-44A0-9A5B-BBEDAE5D09F6}"/>
    <hyperlink ref="B74" r:id="rId73" xr:uid="{29F59EC9-45C6-4D19-BB9F-D854CEB1A194}"/>
    <hyperlink ref="B75" r:id="rId74" xr:uid="{79DB1EFA-1E8C-49B4-B2BE-5387A1DDBDD6}"/>
    <hyperlink ref="B76" r:id="rId75" xr:uid="{C8116804-E63E-48AC-8A9C-03B6769D1A19}"/>
    <hyperlink ref="B77" r:id="rId76" xr:uid="{61C3F5F6-DD29-47C4-BCB8-B29548FA0FAC}"/>
    <hyperlink ref="B78" r:id="rId77" xr:uid="{67ADD1E4-4FA7-49B3-8921-CEA6F1D32668}"/>
    <hyperlink ref="B79" r:id="rId78" xr:uid="{88EFAA75-EE1D-4870-BD2D-07F2A2803524}"/>
    <hyperlink ref="B80" r:id="rId79" xr:uid="{4D47E61C-E8D5-4520-AAD2-7FFEA78AF936}"/>
    <hyperlink ref="B81" r:id="rId80" xr:uid="{713C0807-CA4E-47AE-B3EC-D266823245DF}"/>
    <hyperlink ref="B82" r:id="rId81" xr:uid="{446FFAFA-47A7-47DC-AB86-60BA934D9BD7}"/>
    <hyperlink ref="B83" r:id="rId82" xr:uid="{44589779-A2A7-43D9-98E4-355DEBD2E062}"/>
    <hyperlink ref="B84" r:id="rId83" xr:uid="{2EA29331-FD9B-4249-A9FA-AE1CF30B2EF5}"/>
    <hyperlink ref="B85" r:id="rId84" xr:uid="{AE7D2E47-532D-4307-BDDA-7B0F2D0678DC}"/>
    <hyperlink ref="B86" r:id="rId85" xr:uid="{6CFD2D25-D234-4A77-8207-2F4CCEF8B886}"/>
    <hyperlink ref="B87" r:id="rId86" xr:uid="{044B5E92-62EC-4396-A266-5A12A1E6615B}"/>
    <hyperlink ref="B88" r:id="rId87" xr:uid="{1CB30304-508F-4D36-83D3-6F5D5EEB8518}"/>
    <hyperlink ref="B89" r:id="rId88" xr:uid="{968068ED-5DCD-448C-AAE3-14C3491F2A2D}"/>
    <hyperlink ref="B90" r:id="rId89" xr:uid="{45B2550A-EA0D-4B02-A214-2F749C4A59C2}"/>
    <hyperlink ref="B91" r:id="rId90" xr:uid="{109C77B8-CD58-49BA-B8C4-0D6BC356928D}"/>
    <hyperlink ref="B92" r:id="rId91" xr:uid="{49493E91-8E69-4EF6-BAD9-B26BA748146C}"/>
  </hyperlinks>
  <pageMargins left="0.7" right="0.7" top="0.75" bottom="0.75" header="0.3" footer="0.3"/>
  <tableParts count="1">
    <tablePart r:id="rId9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F5E61-3BF2-4BD3-ACEC-759BB35FDB56}">
  <dimension ref="A1:N36"/>
  <sheetViews>
    <sheetView zoomScaleNormal="100" workbookViewId="0">
      <selection activeCell="S25" sqref="S25"/>
    </sheetView>
  </sheetViews>
  <sheetFormatPr defaultRowHeight="15" x14ac:dyDescent="0.25"/>
  <cols>
    <col min="1" max="1" width="15.42578125" customWidth="1"/>
    <col min="2" max="2" width="6" customWidth="1"/>
    <col min="3" max="3" width="7.7109375" customWidth="1"/>
    <col min="4" max="5" width="5.7109375" customWidth="1"/>
    <col min="6" max="6" width="7.7109375" customWidth="1"/>
    <col min="7" max="8" width="5.7109375" customWidth="1"/>
    <col min="9" max="9" width="7.7109375" customWidth="1"/>
    <col min="10" max="11" width="5.7109375" customWidth="1"/>
    <col min="12" max="12" width="7.7109375" customWidth="1"/>
    <col min="13" max="14" width="5.7109375" customWidth="1"/>
  </cols>
  <sheetData>
    <row r="1" spans="1:14" x14ac:dyDescent="0.25">
      <c r="A1" s="143"/>
      <c r="B1" s="145"/>
      <c r="C1" s="147" t="s">
        <v>44</v>
      </c>
      <c r="D1" s="147"/>
      <c r="E1" s="147"/>
      <c r="F1" s="147" t="s">
        <v>45</v>
      </c>
      <c r="G1" s="147"/>
      <c r="H1" s="147"/>
      <c r="I1" s="147" t="s">
        <v>46</v>
      </c>
      <c r="J1" s="147"/>
      <c r="K1" s="147"/>
      <c r="L1" s="147" t="s">
        <v>303</v>
      </c>
      <c r="M1" s="147"/>
      <c r="N1" s="147"/>
    </row>
    <row r="2" spans="1:14" ht="15.75" thickBot="1" x14ac:dyDescent="0.3">
      <c r="A2" s="144"/>
      <c r="B2" s="146"/>
      <c r="C2" s="148" t="s">
        <v>304</v>
      </c>
      <c r="D2" s="148"/>
      <c r="E2" s="148"/>
      <c r="F2" s="148" t="s">
        <v>305</v>
      </c>
      <c r="G2" s="148"/>
      <c r="H2" s="148"/>
      <c r="I2" s="148" t="s">
        <v>306</v>
      </c>
      <c r="J2" s="148"/>
      <c r="K2" s="148"/>
      <c r="L2" s="148" t="s">
        <v>307</v>
      </c>
      <c r="M2" s="148"/>
      <c r="N2" s="148"/>
    </row>
    <row r="3" spans="1:14" ht="15.75" thickBot="1" x14ac:dyDescent="0.3">
      <c r="A3" s="46" t="s">
        <v>1</v>
      </c>
      <c r="B3" s="47" t="s">
        <v>2</v>
      </c>
      <c r="C3" s="48" t="s">
        <v>308</v>
      </c>
      <c r="D3" s="48" t="s">
        <v>309</v>
      </c>
      <c r="E3" s="48" t="s">
        <v>397</v>
      </c>
      <c r="F3" s="47" t="s">
        <v>308</v>
      </c>
      <c r="G3" s="48" t="s">
        <v>309</v>
      </c>
      <c r="H3" s="48" t="s">
        <v>397</v>
      </c>
      <c r="I3" s="47" t="s">
        <v>308</v>
      </c>
      <c r="J3" s="48" t="s">
        <v>309</v>
      </c>
      <c r="K3" s="48" t="s">
        <v>397</v>
      </c>
      <c r="L3" s="47" t="s">
        <v>308</v>
      </c>
      <c r="M3" s="48" t="s">
        <v>309</v>
      </c>
      <c r="N3" s="48" t="s">
        <v>397</v>
      </c>
    </row>
    <row r="4" spans="1:14" x14ac:dyDescent="0.25">
      <c r="A4" s="56" t="s">
        <v>3</v>
      </c>
      <c r="B4" s="55" t="s">
        <v>310</v>
      </c>
      <c r="C4" s="62" t="s">
        <v>379</v>
      </c>
      <c r="D4" s="142" t="s">
        <v>6</v>
      </c>
      <c r="E4" s="141" t="s">
        <v>381</v>
      </c>
      <c r="F4" s="62">
        <v>4.5</v>
      </c>
      <c r="G4" s="142" t="s">
        <v>6</v>
      </c>
      <c r="H4" s="141" t="s">
        <v>311</v>
      </c>
      <c r="I4" s="62" t="s">
        <v>382</v>
      </c>
      <c r="J4" s="142" t="s">
        <v>7</v>
      </c>
      <c r="K4" s="141" t="s">
        <v>384</v>
      </c>
      <c r="L4" s="98" t="s">
        <v>385</v>
      </c>
      <c r="M4" s="140" t="s">
        <v>7</v>
      </c>
      <c r="N4" s="141" t="s">
        <v>387</v>
      </c>
    </row>
    <row r="5" spans="1:14" x14ac:dyDescent="0.25">
      <c r="A5" s="57" t="s">
        <v>192</v>
      </c>
      <c r="B5" s="50" t="s">
        <v>312</v>
      </c>
      <c r="C5" s="63" t="s">
        <v>380</v>
      </c>
      <c r="D5" s="134"/>
      <c r="E5" s="132"/>
      <c r="F5" s="63">
        <v>5.8</v>
      </c>
      <c r="G5" s="134"/>
      <c r="H5" s="132"/>
      <c r="I5" s="63" t="s">
        <v>383</v>
      </c>
      <c r="J5" s="134"/>
      <c r="K5" s="132"/>
      <c r="L5" s="99" t="s">
        <v>386</v>
      </c>
      <c r="M5" s="136"/>
      <c r="N5" s="132"/>
    </row>
    <row r="6" spans="1:14" ht="16.5" x14ac:dyDescent="0.25">
      <c r="A6" s="101" t="s">
        <v>193</v>
      </c>
      <c r="B6" s="79"/>
      <c r="C6" s="67"/>
      <c r="D6" s="79"/>
      <c r="E6" s="97"/>
      <c r="F6" s="67"/>
      <c r="G6" s="79"/>
      <c r="H6" s="80"/>
      <c r="I6" s="67"/>
      <c r="J6" s="79"/>
      <c r="K6" s="97"/>
      <c r="L6" s="67"/>
      <c r="M6" s="79"/>
      <c r="N6" s="64"/>
    </row>
    <row r="7" spans="1:14" x14ac:dyDescent="0.25">
      <c r="A7" s="49" t="s">
        <v>10</v>
      </c>
      <c r="B7" s="50" t="s">
        <v>310</v>
      </c>
      <c r="C7" s="63" t="s">
        <v>370</v>
      </c>
      <c r="D7" s="133" t="s">
        <v>7</v>
      </c>
      <c r="E7" s="131" t="s">
        <v>372</v>
      </c>
      <c r="F7" s="81" t="s">
        <v>373</v>
      </c>
      <c r="G7" s="135" t="s">
        <v>7</v>
      </c>
      <c r="H7" s="129" t="s">
        <v>375</v>
      </c>
      <c r="I7" s="63">
        <v>87</v>
      </c>
      <c r="J7" s="133" t="s">
        <v>7</v>
      </c>
      <c r="K7" s="129" t="s">
        <v>375</v>
      </c>
      <c r="L7" s="63" t="s">
        <v>376</v>
      </c>
      <c r="M7" s="133" t="s">
        <v>13</v>
      </c>
      <c r="N7" s="129" t="s">
        <v>378</v>
      </c>
    </row>
    <row r="8" spans="1:14" x14ac:dyDescent="0.25">
      <c r="A8" s="57" t="s">
        <v>201</v>
      </c>
      <c r="B8" s="50" t="s">
        <v>312</v>
      </c>
      <c r="C8" s="63" t="s">
        <v>371</v>
      </c>
      <c r="D8" s="134"/>
      <c r="E8" s="132"/>
      <c r="F8" s="81" t="s">
        <v>374</v>
      </c>
      <c r="G8" s="136"/>
      <c r="H8" s="130"/>
      <c r="I8" s="63" t="s">
        <v>350</v>
      </c>
      <c r="J8" s="134"/>
      <c r="K8" s="130"/>
      <c r="L8" s="63" t="s">
        <v>377</v>
      </c>
      <c r="M8" s="134"/>
      <c r="N8" s="130"/>
    </row>
    <row r="9" spans="1:14" ht="17.25" x14ac:dyDescent="0.25">
      <c r="A9" s="101" t="s">
        <v>202</v>
      </c>
      <c r="B9" s="83"/>
      <c r="C9" s="84"/>
      <c r="D9" s="83"/>
      <c r="E9" s="96"/>
      <c r="F9" s="84"/>
      <c r="G9" s="83"/>
      <c r="H9" s="85"/>
      <c r="I9" s="84"/>
      <c r="J9" s="83"/>
      <c r="K9" s="96"/>
      <c r="L9" s="84"/>
      <c r="M9" s="83"/>
      <c r="N9" s="64"/>
    </row>
    <row r="10" spans="1:14" x14ac:dyDescent="0.25">
      <c r="A10" s="49" t="s">
        <v>15</v>
      </c>
      <c r="B10" s="50" t="s">
        <v>310</v>
      </c>
      <c r="C10" s="63" t="s">
        <v>363</v>
      </c>
      <c r="D10" s="133" t="s">
        <v>7</v>
      </c>
      <c r="E10" s="131" t="s">
        <v>365</v>
      </c>
      <c r="F10" s="81" t="s">
        <v>366</v>
      </c>
      <c r="G10" s="135" t="s">
        <v>7</v>
      </c>
      <c r="H10" s="129" t="s">
        <v>368</v>
      </c>
      <c r="I10" s="63">
        <v>110</v>
      </c>
      <c r="J10" s="133" t="s">
        <v>7</v>
      </c>
      <c r="K10" s="129" t="s">
        <v>368</v>
      </c>
      <c r="L10" s="63" t="s">
        <v>316</v>
      </c>
      <c r="M10" s="133" t="s">
        <v>13</v>
      </c>
      <c r="N10" s="129" t="s">
        <v>369</v>
      </c>
    </row>
    <row r="11" spans="1:14" x14ac:dyDescent="0.25">
      <c r="A11" s="57" t="s">
        <v>207</v>
      </c>
      <c r="B11" s="50" t="s">
        <v>312</v>
      </c>
      <c r="C11" s="63" t="s">
        <v>364</v>
      </c>
      <c r="D11" s="134"/>
      <c r="E11" s="132"/>
      <c r="F11" s="81" t="s">
        <v>367</v>
      </c>
      <c r="G11" s="136"/>
      <c r="H11" s="130"/>
      <c r="I11" s="63" t="s">
        <v>351</v>
      </c>
      <c r="J11" s="134"/>
      <c r="K11" s="130"/>
      <c r="L11" s="63" t="s">
        <v>318</v>
      </c>
      <c r="M11" s="134"/>
      <c r="N11" s="130"/>
    </row>
    <row r="12" spans="1:14" ht="17.25" x14ac:dyDescent="0.25">
      <c r="A12" s="101" t="s">
        <v>208</v>
      </c>
      <c r="B12" s="83"/>
      <c r="C12" s="83"/>
      <c r="D12" s="83"/>
      <c r="E12" s="96"/>
      <c r="F12" s="83"/>
      <c r="G12" s="83"/>
      <c r="H12" s="85"/>
      <c r="I12" s="83"/>
      <c r="J12" s="83"/>
      <c r="K12" s="96"/>
      <c r="L12" s="83"/>
      <c r="M12" s="83"/>
      <c r="N12" s="96"/>
    </row>
    <row r="13" spans="1:14" x14ac:dyDescent="0.25">
      <c r="A13" s="49" t="s">
        <v>21</v>
      </c>
      <c r="B13" s="50" t="s">
        <v>310</v>
      </c>
      <c r="C13" s="63" t="s">
        <v>358</v>
      </c>
      <c r="D13" s="133" t="s">
        <v>6</v>
      </c>
      <c r="E13" s="131" t="s">
        <v>360</v>
      </c>
      <c r="F13" s="63" t="s">
        <v>361</v>
      </c>
      <c r="G13" s="133" t="s">
        <v>6</v>
      </c>
      <c r="H13" s="131" t="s">
        <v>360</v>
      </c>
      <c r="I13" s="137">
        <v>1.7</v>
      </c>
      <c r="J13" s="133" t="s">
        <v>7</v>
      </c>
      <c r="K13" s="131" t="s">
        <v>360</v>
      </c>
      <c r="L13" s="137">
        <v>3</v>
      </c>
      <c r="M13" s="133" t="s">
        <v>7</v>
      </c>
      <c r="N13" s="131" t="s">
        <v>360</v>
      </c>
    </row>
    <row r="14" spans="1:14" x14ac:dyDescent="0.25">
      <c r="A14" s="57" t="s">
        <v>190</v>
      </c>
      <c r="B14" s="50" t="s">
        <v>312</v>
      </c>
      <c r="C14" s="63" t="s">
        <v>359</v>
      </c>
      <c r="D14" s="134"/>
      <c r="E14" s="132"/>
      <c r="F14" s="63" t="s">
        <v>362</v>
      </c>
      <c r="G14" s="134"/>
      <c r="H14" s="132"/>
      <c r="I14" s="138"/>
      <c r="J14" s="134"/>
      <c r="K14" s="132"/>
      <c r="L14" s="138"/>
      <c r="M14" s="134"/>
      <c r="N14" s="132"/>
    </row>
    <row r="15" spans="1:14" ht="17.25" x14ac:dyDescent="0.25">
      <c r="A15" s="101" t="s">
        <v>191</v>
      </c>
      <c r="B15" s="83"/>
      <c r="C15" s="83"/>
      <c r="D15" s="83"/>
      <c r="E15" s="96"/>
      <c r="F15" s="83"/>
      <c r="G15" s="83"/>
      <c r="H15" s="85"/>
      <c r="I15" s="86"/>
      <c r="J15" s="83"/>
      <c r="K15" s="96"/>
      <c r="L15" s="83"/>
      <c r="M15" s="83"/>
      <c r="N15" s="96"/>
    </row>
    <row r="16" spans="1:14" ht="16.5" x14ac:dyDescent="0.25">
      <c r="A16" s="49" t="s">
        <v>24</v>
      </c>
      <c r="B16" s="50" t="s">
        <v>310</v>
      </c>
      <c r="C16" s="63" t="s">
        <v>353</v>
      </c>
      <c r="D16" s="133" t="s">
        <v>6</v>
      </c>
      <c r="E16" s="131" t="s">
        <v>355</v>
      </c>
      <c r="F16" s="81"/>
      <c r="G16" s="50"/>
      <c r="H16" s="82"/>
      <c r="I16" s="63">
        <v>2.4</v>
      </c>
      <c r="J16" s="133" t="s">
        <v>26</v>
      </c>
      <c r="K16" s="131" t="s">
        <v>356</v>
      </c>
      <c r="L16" s="137">
        <v>32</v>
      </c>
      <c r="M16" s="133" t="s">
        <v>7</v>
      </c>
      <c r="N16" s="129" t="s">
        <v>357</v>
      </c>
    </row>
    <row r="17" spans="1:14" ht="16.5" x14ac:dyDescent="0.25">
      <c r="A17" s="57" t="s">
        <v>260</v>
      </c>
      <c r="B17" s="50" t="s">
        <v>312</v>
      </c>
      <c r="C17" s="63" t="s">
        <v>354</v>
      </c>
      <c r="D17" s="134"/>
      <c r="E17" s="132"/>
      <c r="F17" s="81"/>
      <c r="G17" s="50"/>
      <c r="H17" s="82"/>
      <c r="I17" s="63">
        <v>5.3</v>
      </c>
      <c r="J17" s="134"/>
      <c r="K17" s="132"/>
      <c r="L17" s="138"/>
      <c r="M17" s="134"/>
      <c r="N17" s="130"/>
    </row>
    <row r="18" spans="1:14" ht="17.25" x14ac:dyDescent="0.25">
      <c r="A18" s="101" t="s">
        <v>261</v>
      </c>
      <c r="B18" s="83"/>
      <c r="C18" s="83"/>
      <c r="D18" s="83"/>
      <c r="E18" s="96"/>
      <c r="F18" s="83"/>
      <c r="G18" s="83"/>
      <c r="H18" s="85"/>
      <c r="I18" s="86"/>
      <c r="J18" s="83"/>
      <c r="K18" s="96"/>
      <c r="L18" s="83"/>
      <c r="M18" s="83"/>
      <c r="N18" s="96"/>
    </row>
    <row r="19" spans="1:14" ht="16.5" x14ac:dyDescent="0.25">
      <c r="A19" s="49" t="s">
        <v>28</v>
      </c>
      <c r="B19" s="50" t="s">
        <v>310</v>
      </c>
      <c r="C19" s="63" t="s">
        <v>347</v>
      </c>
      <c r="D19" s="133" t="s">
        <v>6</v>
      </c>
      <c r="E19" s="131" t="s">
        <v>349</v>
      </c>
      <c r="F19" s="63"/>
      <c r="G19" s="65"/>
      <c r="H19" s="61"/>
      <c r="I19" s="63"/>
      <c r="J19" s="65"/>
      <c r="K19" s="66"/>
      <c r="L19" s="63" t="s">
        <v>350</v>
      </c>
      <c r="M19" s="133" t="s">
        <v>7</v>
      </c>
      <c r="N19" s="129" t="s">
        <v>352</v>
      </c>
    </row>
    <row r="20" spans="1:14" ht="16.5" x14ac:dyDescent="0.25">
      <c r="A20" s="57" t="s">
        <v>198</v>
      </c>
      <c r="B20" s="50" t="s">
        <v>312</v>
      </c>
      <c r="C20" s="63" t="s">
        <v>348</v>
      </c>
      <c r="D20" s="134"/>
      <c r="E20" s="132"/>
      <c r="F20" s="63"/>
      <c r="G20" s="65"/>
      <c r="H20" s="61"/>
      <c r="I20" s="63"/>
      <c r="J20" s="65"/>
      <c r="K20" s="66"/>
      <c r="L20" s="63" t="s">
        <v>351</v>
      </c>
      <c r="M20" s="134"/>
      <c r="N20" s="130"/>
    </row>
    <row r="21" spans="1:14" ht="17.25" x14ac:dyDescent="0.25">
      <c r="A21" s="101" t="s">
        <v>199</v>
      </c>
      <c r="B21" s="83"/>
      <c r="C21" s="83"/>
      <c r="D21" s="83"/>
      <c r="E21" s="96"/>
      <c r="F21" s="83"/>
      <c r="G21" s="83"/>
      <c r="H21" s="85"/>
      <c r="I21" s="86"/>
      <c r="J21" s="83"/>
      <c r="K21" s="96"/>
      <c r="L21" s="83"/>
      <c r="M21" s="83"/>
      <c r="N21" s="96"/>
    </row>
    <row r="22" spans="1:14" ht="33" customHeight="1" x14ac:dyDescent="0.25">
      <c r="A22" s="49" t="s">
        <v>29</v>
      </c>
      <c r="B22" s="50" t="s">
        <v>310</v>
      </c>
      <c r="C22" s="63" t="s">
        <v>340</v>
      </c>
      <c r="D22" s="65" t="s">
        <v>6</v>
      </c>
      <c r="E22" s="131" t="s">
        <v>398</v>
      </c>
      <c r="F22" s="63">
        <v>16</v>
      </c>
      <c r="G22" s="135" t="s">
        <v>7</v>
      </c>
      <c r="H22" s="129" t="s">
        <v>342</v>
      </c>
      <c r="I22" s="81" t="s">
        <v>344</v>
      </c>
      <c r="J22" s="133" t="s">
        <v>7</v>
      </c>
      <c r="K22" s="131" t="s">
        <v>345</v>
      </c>
      <c r="L22" s="137" t="s">
        <v>346</v>
      </c>
      <c r="M22" s="133" t="s">
        <v>13</v>
      </c>
      <c r="N22" s="129" t="s">
        <v>399</v>
      </c>
    </row>
    <row r="23" spans="1:14" ht="16.5" customHeight="1" x14ac:dyDescent="0.25">
      <c r="A23" s="57" t="s">
        <v>220</v>
      </c>
      <c r="B23" s="50" t="s">
        <v>312</v>
      </c>
      <c r="C23" s="63" t="s">
        <v>341</v>
      </c>
      <c r="D23" s="65" t="s">
        <v>7</v>
      </c>
      <c r="E23" s="132"/>
      <c r="F23" s="63">
        <v>22</v>
      </c>
      <c r="G23" s="136"/>
      <c r="H23" s="130"/>
      <c r="I23" s="81" t="s">
        <v>343</v>
      </c>
      <c r="J23" s="134"/>
      <c r="K23" s="132"/>
      <c r="L23" s="138"/>
      <c r="M23" s="134"/>
      <c r="N23" s="130"/>
    </row>
    <row r="24" spans="1:14" ht="17.25" x14ac:dyDescent="0.25">
      <c r="A24" s="101" t="s">
        <v>221</v>
      </c>
      <c r="B24" s="83"/>
      <c r="C24" s="83"/>
      <c r="D24" s="83"/>
      <c r="E24" s="96"/>
      <c r="F24" s="83"/>
      <c r="G24" s="83"/>
      <c r="H24" s="85"/>
      <c r="I24" s="83"/>
      <c r="J24" s="83"/>
      <c r="K24" s="96"/>
      <c r="L24" s="83"/>
      <c r="M24" s="83"/>
      <c r="N24" s="96"/>
    </row>
    <row r="25" spans="1:14" ht="16.5" x14ac:dyDescent="0.25">
      <c r="A25" s="49" t="s">
        <v>33</v>
      </c>
      <c r="B25" s="50" t="s">
        <v>310</v>
      </c>
      <c r="C25" s="63" t="s">
        <v>332</v>
      </c>
      <c r="D25" s="133" t="s">
        <v>7</v>
      </c>
      <c r="E25" s="131" t="s">
        <v>334</v>
      </c>
      <c r="F25" s="81" t="s">
        <v>335</v>
      </c>
      <c r="G25" s="135" t="s">
        <v>7</v>
      </c>
      <c r="H25" s="129" t="s">
        <v>337</v>
      </c>
      <c r="I25" s="63"/>
      <c r="J25" s="65"/>
      <c r="K25" s="66"/>
      <c r="L25" s="78" t="s">
        <v>338</v>
      </c>
      <c r="M25" s="65" t="s">
        <v>13</v>
      </c>
      <c r="N25" s="129" t="s">
        <v>328</v>
      </c>
    </row>
    <row r="26" spans="1:14" ht="16.5" x14ac:dyDescent="0.25">
      <c r="A26" s="57" t="s">
        <v>204</v>
      </c>
      <c r="B26" s="50" t="s">
        <v>312</v>
      </c>
      <c r="C26" s="63" t="s">
        <v>333</v>
      </c>
      <c r="D26" s="134"/>
      <c r="E26" s="132"/>
      <c r="F26" s="81" t="s">
        <v>336</v>
      </c>
      <c r="G26" s="136"/>
      <c r="H26" s="130"/>
      <c r="I26" s="63"/>
      <c r="J26" s="65"/>
      <c r="K26" s="66"/>
      <c r="L26" s="78" t="s">
        <v>339</v>
      </c>
      <c r="M26" s="65"/>
      <c r="N26" s="130"/>
    </row>
    <row r="27" spans="1:14" ht="17.25" x14ac:dyDescent="0.25">
      <c r="A27" s="101" t="s">
        <v>205</v>
      </c>
      <c r="B27" s="83"/>
      <c r="C27" s="83"/>
      <c r="D27" s="83"/>
      <c r="E27" s="96"/>
      <c r="F27" s="83"/>
      <c r="G27" s="83"/>
      <c r="H27" s="85"/>
      <c r="I27" s="86"/>
      <c r="J27" s="83"/>
      <c r="K27" s="96"/>
      <c r="L27" s="83"/>
      <c r="M27" s="83"/>
      <c r="N27" s="96"/>
    </row>
    <row r="28" spans="1:14" ht="132" x14ac:dyDescent="0.25">
      <c r="A28" s="49" t="s">
        <v>39</v>
      </c>
      <c r="B28" s="50" t="s">
        <v>310</v>
      </c>
      <c r="C28" s="63" t="s">
        <v>329</v>
      </c>
      <c r="D28" s="133" t="s">
        <v>7</v>
      </c>
      <c r="E28" s="66" t="s">
        <v>331</v>
      </c>
      <c r="F28" s="81"/>
      <c r="G28" s="50"/>
      <c r="H28" s="57"/>
      <c r="I28" s="81"/>
      <c r="J28" s="50"/>
      <c r="K28" s="82"/>
      <c r="L28" s="81" t="s">
        <v>326</v>
      </c>
      <c r="M28" s="133" t="s">
        <v>13</v>
      </c>
      <c r="N28" s="129" t="s">
        <v>328</v>
      </c>
    </row>
    <row r="29" spans="1:14" ht="16.5" x14ac:dyDescent="0.25">
      <c r="A29" s="57" t="s">
        <v>195</v>
      </c>
      <c r="B29" s="50" t="s">
        <v>312</v>
      </c>
      <c r="C29" s="63" t="s">
        <v>330</v>
      </c>
      <c r="D29" s="134"/>
      <c r="E29" s="66"/>
      <c r="F29" s="81"/>
      <c r="G29" s="50"/>
      <c r="H29" s="57"/>
      <c r="I29" s="81"/>
      <c r="J29" s="50"/>
      <c r="K29" s="82"/>
      <c r="L29" s="81" t="s">
        <v>327</v>
      </c>
      <c r="M29" s="134"/>
      <c r="N29" s="130"/>
    </row>
    <row r="30" spans="1:14" ht="17.25" x14ac:dyDescent="0.25">
      <c r="A30" s="101" t="s">
        <v>196</v>
      </c>
      <c r="B30" s="83"/>
      <c r="C30" s="83"/>
      <c r="D30" s="83"/>
      <c r="E30" s="96"/>
      <c r="F30" s="87"/>
      <c r="G30" s="59"/>
      <c r="H30" s="58"/>
      <c r="I30" s="88"/>
      <c r="J30" s="59"/>
      <c r="K30" s="64"/>
      <c r="L30" s="87"/>
      <c r="M30" s="59"/>
      <c r="N30" s="64"/>
    </row>
    <row r="31" spans="1:14" ht="16.5" x14ac:dyDescent="0.25">
      <c r="A31" s="49" t="s">
        <v>42</v>
      </c>
      <c r="B31" s="50" t="s">
        <v>310</v>
      </c>
      <c r="C31" s="81"/>
      <c r="D31" s="50"/>
      <c r="E31" s="82"/>
      <c r="F31" s="81"/>
      <c r="G31" s="50"/>
      <c r="H31" s="57"/>
      <c r="I31" s="81"/>
      <c r="J31" s="50"/>
      <c r="K31" s="82"/>
      <c r="L31" s="139" t="s">
        <v>323</v>
      </c>
      <c r="M31" s="133" t="s">
        <v>13</v>
      </c>
      <c r="N31" s="129" t="s">
        <v>315</v>
      </c>
    </row>
    <row r="32" spans="1:14" ht="16.5" x14ac:dyDescent="0.25">
      <c r="A32" s="57" t="s">
        <v>249</v>
      </c>
      <c r="B32" s="50" t="s">
        <v>312</v>
      </c>
      <c r="C32" s="81"/>
      <c r="D32" s="50"/>
      <c r="E32" s="82"/>
      <c r="F32" s="81"/>
      <c r="G32" s="50"/>
      <c r="H32" s="57"/>
      <c r="I32" s="81"/>
      <c r="J32" s="50"/>
      <c r="K32" s="82"/>
      <c r="L32" s="139"/>
      <c r="M32" s="134"/>
      <c r="N32" s="130"/>
    </row>
    <row r="33" spans="1:14" ht="17.25" x14ac:dyDescent="0.25">
      <c r="A33" s="101" t="s">
        <v>250</v>
      </c>
      <c r="B33" s="83"/>
      <c r="C33" s="83"/>
      <c r="D33" s="83"/>
      <c r="E33" s="96"/>
      <c r="F33" s="83"/>
      <c r="G33" s="83"/>
      <c r="H33" s="85"/>
      <c r="I33" s="83"/>
      <c r="J33" s="83"/>
      <c r="K33" s="96"/>
      <c r="L33" s="67"/>
      <c r="M33" s="83"/>
      <c r="N33" s="64"/>
    </row>
    <row r="34" spans="1:14" ht="33" customHeight="1" x14ac:dyDescent="0.25">
      <c r="A34" s="49" t="s">
        <v>43</v>
      </c>
      <c r="B34" s="50" t="s">
        <v>310</v>
      </c>
      <c r="C34" s="81" t="s">
        <v>321</v>
      </c>
      <c r="D34" s="133" t="s">
        <v>7</v>
      </c>
      <c r="E34" s="131" t="s">
        <v>324</v>
      </c>
      <c r="F34" s="63" t="s">
        <v>319</v>
      </c>
      <c r="G34" s="135" t="s">
        <v>7</v>
      </c>
      <c r="H34" s="131" t="s">
        <v>324</v>
      </c>
      <c r="I34" s="81">
        <v>3.3</v>
      </c>
      <c r="J34" s="135" t="s">
        <v>7</v>
      </c>
      <c r="K34" s="131" t="s">
        <v>324</v>
      </c>
      <c r="L34" s="137" t="s">
        <v>316</v>
      </c>
      <c r="M34" s="133" t="s">
        <v>7</v>
      </c>
      <c r="N34" s="129" t="s">
        <v>325</v>
      </c>
    </row>
    <row r="35" spans="1:14" ht="16.5" customHeight="1" x14ac:dyDescent="0.25">
      <c r="A35" s="57" t="s">
        <v>252</v>
      </c>
      <c r="B35" s="50" t="s">
        <v>312</v>
      </c>
      <c r="C35" s="81" t="s">
        <v>322</v>
      </c>
      <c r="D35" s="134"/>
      <c r="E35" s="132"/>
      <c r="F35" s="63" t="s">
        <v>320</v>
      </c>
      <c r="G35" s="136"/>
      <c r="H35" s="132"/>
      <c r="I35" s="81" t="s">
        <v>317</v>
      </c>
      <c r="J35" s="136"/>
      <c r="K35" s="132"/>
      <c r="L35" s="138"/>
      <c r="M35" s="134"/>
      <c r="N35" s="130"/>
    </row>
    <row r="36" spans="1:14" ht="17.25" x14ac:dyDescent="0.25">
      <c r="A36" s="102" t="s">
        <v>253</v>
      </c>
      <c r="B36" s="51"/>
      <c r="C36" s="89"/>
      <c r="D36" s="52"/>
      <c r="E36" s="53"/>
      <c r="F36" s="54"/>
      <c r="G36" s="90"/>
      <c r="H36" s="91"/>
      <c r="I36" s="89"/>
      <c r="J36" s="90"/>
      <c r="K36" s="92"/>
      <c r="L36" s="93"/>
      <c r="M36" s="94"/>
      <c r="N36" s="95"/>
    </row>
  </sheetData>
  <mergeCells count="83">
    <mergeCell ref="L1:N1"/>
    <mergeCell ref="C2:E2"/>
    <mergeCell ref="F2:H2"/>
    <mergeCell ref="I2:K2"/>
    <mergeCell ref="L2:N2"/>
    <mergeCell ref="A1:A2"/>
    <mergeCell ref="B1:B2"/>
    <mergeCell ref="C1:E1"/>
    <mergeCell ref="F1:H1"/>
    <mergeCell ref="I1:K1"/>
    <mergeCell ref="M4:M5"/>
    <mergeCell ref="N4:N5"/>
    <mergeCell ref="D4:D5"/>
    <mergeCell ref="E4:E5"/>
    <mergeCell ref="G4:G5"/>
    <mergeCell ref="H4:H5"/>
    <mergeCell ref="J4:J5"/>
    <mergeCell ref="K4:K5"/>
    <mergeCell ref="N28:N29"/>
    <mergeCell ref="D28:D29"/>
    <mergeCell ref="N34:N35"/>
    <mergeCell ref="M31:M32"/>
    <mergeCell ref="N31:N32"/>
    <mergeCell ref="L34:L35"/>
    <mergeCell ref="M34:M35"/>
    <mergeCell ref="J34:J35"/>
    <mergeCell ref="L31:L32"/>
    <mergeCell ref="M28:M29"/>
    <mergeCell ref="G34:G35"/>
    <mergeCell ref="D34:D35"/>
    <mergeCell ref="K34:K35"/>
    <mergeCell ref="H34:H35"/>
    <mergeCell ref="E34:E35"/>
    <mergeCell ref="D25:D26"/>
    <mergeCell ref="E25:E26"/>
    <mergeCell ref="G25:G26"/>
    <mergeCell ref="H25:H26"/>
    <mergeCell ref="N25:N26"/>
    <mergeCell ref="M22:M23"/>
    <mergeCell ref="N22:N23"/>
    <mergeCell ref="D19:D20"/>
    <mergeCell ref="E19:E20"/>
    <mergeCell ref="N19:N20"/>
    <mergeCell ref="K22:K23"/>
    <mergeCell ref="E22:E23"/>
    <mergeCell ref="G22:G23"/>
    <mergeCell ref="H22:H23"/>
    <mergeCell ref="J22:J23"/>
    <mergeCell ref="L22:L23"/>
    <mergeCell ref="M19:M20"/>
    <mergeCell ref="N16:N17"/>
    <mergeCell ref="D13:D14"/>
    <mergeCell ref="E13:E14"/>
    <mergeCell ref="H13:H14"/>
    <mergeCell ref="G13:G14"/>
    <mergeCell ref="K13:K14"/>
    <mergeCell ref="N13:N14"/>
    <mergeCell ref="I13:I14"/>
    <mergeCell ref="J13:J14"/>
    <mergeCell ref="L13:L14"/>
    <mergeCell ref="D16:D17"/>
    <mergeCell ref="E16:E17"/>
    <mergeCell ref="J16:J17"/>
    <mergeCell ref="K16:K17"/>
    <mergeCell ref="L16:L17"/>
    <mergeCell ref="M16:M17"/>
    <mergeCell ref="M13:M14"/>
    <mergeCell ref="D10:D11"/>
    <mergeCell ref="E10:E11"/>
    <mergeCell ref="G10:G11"/>
    <mergeCell ref="H10:H11"/>
    <mergeCell ref="J10:J11"/>
    <mergeCell ref="K10:K11"/>
    <mergeCell ref="M10:M11"/>
    <mergeCell ref="N10:N11"/>
    <mergeCell ref="E7:E8"/>
    <mergeCell ref="D7:D8"/>
    <mergeCell ref="G7:G8"/>
    <mergeCell ref="H7:H8"/>
    <mergeCell ref="J7:J8"/>
    <mergeCell ref="K7:K8"/>
    <mergeCell ref="M7:M8"/>
    <mergeCell ref="N7:N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ECFE0-21B5-43E9-A330-7405DB79D6C3}">
  <dimension ref="B1:G116"/>
  <sheetViews>
    <sheetView topLeftCell="A124" workbookViewId="0">
      <selection activeCell="B152" sqref="B152"/>
    </sheetView>
  </sheetViews>
  <sheetFormatPr defaultRowHeight="15" x14ac:dyDescent="0.25"/>
  <cols>
    <col min="2" max="2" width="85.28515625" customWidth="1"/>
    <col min="4" max="4" width="84.28515625" customWidth="1"/>
    <col min="7" max="7" width="75.28515625" customWidth="1"/>
  </cols>
  <sheetData>
    <row r="1" spans="2:7" x14ac:dyDescent="0.25">
      <c r="B1" t="s">
        <v>278</v>
      </c>
    </row>
    <row r="4" spans="2:7" ht="15.75" x14ac:dyDescent="0.25">
      <c r="B4" s="34" t="s">
        <v>187</v>
      </c>
      <c r="D4" s="34" t="s">
        <v>262</v>
      </c>
      <c r="G4" s="34" t="s">
        <v>200</v>
      </c>
    </row>
    <row r="5" spans="2:7" x14ac:dyDescent="0.25">
      <c r="B5" s="35" t="s">
        <v>279</v>
      </c>
      <c r="D5" s="35" t="s">
        <v>280</v>
      </c>
      <c r="G5" s="35" t="s">
        <v>281</v>
      </c>
    </row>
    <row r="41" spans="2:7" ht="15.75" x14ac:dyDescent="0.25">
      <c r="B41" s="34" t="s">
        <v>222</v>
      </c>
      <c r="D41" s="34" t="s">
        <v>206</v>
      </c>
      <c r="G41" s="34" t="s">
        <v>197</v>
      </c>
    </row>
    <row r="42" spans="2:7" x14ac:dyDescent="0.25">
      <c r="B42" s="35" t="s">
        <v>282</v>
      </c>
      <c r="D42" s="35" t="s">
        <v>283</v>
      </c>
      <c r="G42" s="35" t="s">
        <v>284</v>
      </c>
    </row>
    <row r="78" spans="2:7" ht="15.75" x14ac:dyDescent="0.25">
      <c r="B78" s="34" t="s">
        <v>194</v>
      </c>
      <c r="D78" s="34" t="s">
        <v>203</v>
      </c>
      <c r="G78" s="34" t="s">
        <v>209</v>
      </c>
    </row>
    <row r="79" spans="2:7" x14ac:dyDescent="0.25">
      <c r="B79" s="35" t="s">
        <v>285</v>
      </c>
      <c r="D79" s="35" t="s">
        <v>286</v>
      </c>
      <c r="G79" s="35" t="s">
        <v>287</v>
      </c>
    </row>
    <row r="115" spans="2:4" ht="15.75" x14ac:dyDescent="0.25">
      <c r="B115" s="34" t="s">
        <v>288</v>
      </c>
      <c r="D115" s="34" t="s">
        <v>289</v>
      </c>
    </row>
    <row r="116" spans="2:4" x14ac:dyDescent="0.25">
      <c r="B116" s="35" t="s">
        <v>290</v>
      </c>
      <c r="D116" s="35" t="s">
        <v>291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C59C7-DFD3-4B03-B385-EAA9E7B5D052}">
  <dimension ref="A1:V92"/>
  <sheetViews>
    <sheetView workbookViewId="0">
      <selection activeCell="L1" sqref="L1"/>
    </sheetView>
  </sheetViews>
  <sheetFormatPr defaultRowHeight="15" x14ac:dyDescent="0.25"/>
  <sheetData>
    <row r="1" spans="1:22" x14ac:dyDescent="0.25">
      <c r="A1" s="33" t="s">
        <v>189</v>
      </c>
      <c r="B1" s="33" t="s">
        <v>210</v>
      </c>
      <c r="C1" s="33" t="s">
        <v>188</v>
      </c>
      <c r="D1" s="33" t="s">
        <v>0</v>
      </c>
      <c r="E1" s="33" t="s">
        <v>247</v>
      </c>
      <c r="F1" s="33" t="s">
        <v>263</v>
      </c>
      <c r="G1" s="33" t="s">
        <v>264</v>
      </c>
      <c r="H1" s="33" t="s">
        <v>265</v>
      </c>
      <c r="I1" s="33" t="s">
        <v>266</v>
      </c>
      <c r="J1" s="33" t="s">
        <v>267</v>
      </c>
      <c r="K1" s="33" t="s">
        <v>268</v>
      </c>
      <c r="L1" s="33" t="s">
        <v>269</v>
      </c>
      <c r="M1" s="33" t="s">
        <v>270</v>
      </c>
      <c r="N1" s="33" t="s">
        <v>271</v>
      </c>
      <c r="O1" s="33" t="s">
        <v>272</v>
      </c>
      <c r="P1" s="33" t="s">
        <v>273</v>
      </c>
      <c r="Q1" s="33" t="s">
        <v>274</v>
      </c>
      <c r="R1" s="33" t="s">
        <v>275</v>
      </c>
      <c r="S1" s="33" t="s">
        <v>276</v>
      </c>
      <c r="T1" s="33" t="s">
        <v>277</v>
      </c>
      <c r="U1" s="33" t="s">
        <v>2</v>
      </c>
      <c r="V1" s="33" t="s">
        <v>211</v>
      </c>
    </row>
    <row r="2" spans="1:22" x14ac:dyDescent="0.25">
      <c r="A2" t="s">
        <v>199</v>
      </c>
      <c r="B2" t="s">
        <v>200</v>
      </c>
      <c r="C2" t="s">
        <v>198</v>
      </c>
      <c r="D2" t="s">
        <v>47</v>
      </c>
      <c r="E2">
        <v>3262.2880264232499</v>
      </c>
      <c r="F2">
        <v>4</v>
      </c>
      <c r="G2">
        <v>-0.30874967269067899</v>
      </c>
      <c r="H2">
        <v>3.7431255670881498</v>
      </c>
      <c r="I2">
        <v>2.1531346941120502</v>
      </c>
      <c r="J2">
        <v>0.49568497409101397</v>
      </c>
      <c r="K2">
        <v>-0.87848174220527697</v>
      </c>
      <c r="L2">
        <v>-0.63924280165522995</v>
      </c>
      <c r="M2">
        <v>-0.77074210856626202</v>
      </c>
      <c r="N2">
        <v>1.1937939321981199</v>
      </c>
      <c r="O2">
        <v>1.6276806279624201</v>
      </c>
      <c r="P2">
        <v>-0.98108054126397304</v>
      </c>
      <c r="Q2">
        <v>0.557654739259965</v>
      </c>
      <c r="R2">
        <v>2.2685292526352501</v>
      </c>
      <c r="S2">
        <v>-0.41880790191981299</v>
      </c>
      <c r="T2">
        <v>-0.38759452694552399</v>
      </c>
      <c r="U2" t="s">
        <v>4</v>
      </c>
      <c r="V2" t="s">
        <v>240</v>
      </c>
    </row>
    <row r="3" spans="1:22" x14ac:dyDescent="0.25">
      <c r="A3" t="s">
        <v>261</v>
      </c>
      <c r="B3" t="s">
        <v>262</v>
      </c>
      <c r="C3" t="s">
        <v>260</v>
      </c>
      <c r="D3" t="s">
        <v>47</v>
      </c>
      <c r="E3">
        <v>768</v>
      </c>
      <c r="F3">
        <v>3</v>
      </c>
      <c r="G3">
        <v>-0.30874967269067899</v>
      </c>
      <c r="H3">
        <v>-0.264220628265046</v>
      </c>
      <c r="I3">
        <v>2.1531346941120502</v>
      </c>
      <c r="J3">
        <v>-0.56842135615871703</v>
      </c>
      <c r="K3">
        <v>0</v>
      </c>
      <c r="L3">
        <v>-0.63924280165522995</v>
      </c>
      <c r="M3">
        <v>-0.77074210856626202</v>
      </c>
      <c r="N3">
        <v>1.1937939321981199</v>
      </c>
      <c r="O3">
        <v>1.6276806279624201</v>
      </c>
      <c r="P3">
        <v>-0.29112743760141002</v>
      </c>
      <c r="Q3">
        <v>0.90292303834193999</v>
      </c>
      <c r="R3">
        <v>-1.4644217063860101</v>
      </c>
      <c r="S3">
        <v>0.25836848534527102</v>
      </c>
      <c r="T3">
        <v>-0.38759452694552399</v>
      </c>
      <c r="U3" t="s">
        <v>8</v>
      </c>
      <c r="V3" t="s">
        <v>240</v>
      </c>
    </row>
    <row r="4" spans="1:22" x14ac:dyDescent="0.25">
      <c r="A4" t="s">
        <v>202</v>
      </c>
      <c r="B4" t="s">
        <v>203</v>
      </c>
      <c r="C4" t="s">
        <v>201</v>
      </c>
      <c r="D4" t="s">
        <v>47</v>
      </c>
      <c r="E4">
        <v>116462.47983839099</v>
      </c>
      <c r="F4">
        <v>4</v>
      </c>
      <c r="G4">
        <v>-0.30874967269067899</v>
      </c>
      <c r="H4">
        <v>-0.264220628265046</v>
      </c>
      <c r="I4">
        <v>-0.459335401410572</v>
      </c>
      <c r="J4">
        <v>-0.29707424194503601</v>
      </c>
      <c r="K4">
        <v>0</v>
      </c>
      <c r="L4">
        <v>-0.63924280165522995</v>
      </c>
      <c r="M4">
        <v>-0.77074210856626202</v>
      </c>
      <c r="N4">
        <v>1.1937939321981199</v>
      </c>
      <c r="O4">
        <v>1.6276806279624201</v>
      </c>
      <c r="P4">
        <v>-0.85577017722956294</v>
      </c>
      <c r="Q4">
        <v>-1.5516591509462201</v>
      </c>
      <c r="R4">
        <v>-0.59469348765291496</v>
      </c>
      <c r="S4">
        <v>-1.5481213645216201</v>
      </c>
      <c r="T4">
        <v>-0.38759452694552399</v>
      </c>
      <c r="U4" t="s">
        <v>4</v>
      </c>
      <c r="V4" t="s">
        <v>240</v>
      </c>
    </row>
    <row r="5" spans="1:22" x14ac:dyDescent="0.25">
      <c r="A5" t="s">
        <v>250</v>
      </c>
      <c r="B5" t="s">
        <v>251</v>
      </c>
      <c r="C5" t="s">
        <v>249</v>
      </c>
      <c r="D5" t="s">
        <v>47</v>
      </c>
      <c r="E5">
        <v>162060</v>
      </c>
      <c r="F5">
        <v>4</v>
      </c>
      <c r="G5">
        <v>-0.30874967269067899</v>
      </c>
      <c r="H5">
        <v>-0.264220628265046</v>
      </c>
      <c r="I5">
        <v>-0.459335401410572</v>
      </c>
      <c r="J5">
        <v>0</v>
      </c>
      <c r="K5">
        <v>0</v>
      </c>
      <c r="L5">
        <v>-0.63924280165522995</v>
      </c>
      <c r="M5">
        <v>-0.77074210856626202</v>
      </c>
      <c r="N5">
        <v>1.1937939321981199</v>
      </c>
      <c r="O5">
        <v>1.6276806279624201</v>
      </c>
      <c r="P5">
        <v>1.9070542531184</v>
      </c>
      <c r="Q5">
        <v>-0.80741083153710902</v>
      </c>
      <c r="R5">
        <v>-2.3743861870168002</v>
      </c>
      <c r="S5">
        <v>3.0908427633710298</v>
      </c>
      <c r="T5">
        <v>2.55166396905804</v>
      </c>
      <c r="U5" t="s">
        <v>4</v>
      </c>
      <c r="V5" t="s">
        <v>240</v>
      </c>
    </row>
    <row r="6" spans="1:22" x14ac:dyDescent="0.25">
      <c r="A6" t="s">
        <v>196</v>
      </c>
      <c r="B6" t="s">
        <v>197</v>
      </c>
      <c r="C6" t="s">
        <v>195</v>
      </c>
      <c r="D6" t="s">
        <v>47</v>
      </c>
      <c r="E6">
        <v>35040</v>
      </c>
      <c r="F6">
        <v>4</v>
      </c>
      <c r="G6">
        <v>-0.30874967269067899</v>
      </c>
      <c r="H6">
        <v>-0.264220628265046</v>
      </c>
      <c r="I6">
        <v>-0.459335401410572</v>
      </c>
      <c r="J6">
        <v>-0.52763061349914397</v>
      </c>
      <c r="K6">
        <v>-0.75510043860629295</v>
      </c>
      <c r="L6">
        <v>-0.63924280165522995</v>
      </c>
      <c r="M6">
        <v>-0.77074210856626202</v>
      </c>
      <c r="N6">
        <v>1.1937939321981199</v>
      </c>
      <c r="O6">
        <v>1.6276806279624201</v>
      </c>
      <c r="P6">
        <v>0.84308938820902302</v>
      </c>
      <c r="Q6">
        <v>5.13458702293745E-2</v>
      </c>
      <c r="R6">
        <v>2.29138074442618E-3</v>
      </c>
      <c r="S6">
        <v>1.34517530056246</v>
      </c>
      <c r="T6">
        <v>-0.38759452694552399</v>
      </c>
      <c r="U6" t="s">
        <v>4</v>
      </c>
      <c r="V6" t="s">
        <v>240</v>
      </c>
    </row>
    <row r="7" spans="1:22" x14ac:dyDescent="0.25">
      <c r="A7" t="s">
        <v>208</v>
      </c>
      <c r="B7" t="s">
        <v>209</v>
      </c>
      <c r="C7" t="s">
        <v>207</v>
      </c>
      <c r="D7" t="s">
        <v>47</v>
      </c>
      <c r="E7">
        <v>32564.026463831298</v>
      </c>
      <c r="F7">
        <v>4</v>
      </c>
      <c r="G7">
        <v>-0.30874967269067899</v>
      </c>
      <c r="H7">
        <v>-0.264220628265046</v>
      </c>
      <c r="I7">
        <v>-0.459335401410572</v>
      </c>
      <c r="J7">
        <v>-0.50989550799498196</v>
      </c>
      <c r="K7">
        <v>0</v>
      </c>
      <c r="L7">
        <v>-0.63924280165522995</v>
      </c>
      <c r="M7">
        <v>-0.77074210856626202</v>
      </c>
      <c r="N7">
        <v>1.1937939321981199</v>
      </c>
      <c r="O7">
        <v>1.6276806279624201</v>
      </c>
      <c r="P7">
        <v>2.1150456426859101</v>
      </c>
      <c r="Q7">
        <v>-0.79460753403566997</v>
      </c>
      <c r="R7">
        <v>-0.461062806651034</v>
      </c>
      <c r="S7">
        <v>0.92341878677192502</v>
      </c>
      <c r="T7">
        <v>-0.38759452694552399</v>
      </c>
      <c r="U7" t="s">
        <v>8</v>
      </c>
      <c r="V7" t="s">
        <v>240</v>
      </c>
    </row>
    <row r="8" spans="1:22" x14ac:dyDescent="0.25">
      <c r="A8" t="s">
        <v>202</v>
      </c>
      <c r="B8" t="s">
        <v>203</v>
      </c>
      <c r="C8" t="s">
        <v>201</v>
      </c>
      <c r="D8" t="s">
        <v>47</v>
      </c>
      <c r="E8">
        <v>125882.070149363</v>
      </c>
      <c r="F8">
        <v>4</v>
      </c>
      <c r="G8">
        <v>-0.30874967269067899</v>
      </c>
      <c r="H8">
        <v>-0.264220628265046</v>
      </c>
      <c r="I8">
        <v>-0.459335401410572</v>
      </c>
      <c r="J8">
        <v>-0.29707424194503601</v>
      </c>
      <c r="K8">
        <v>0</v>
      </c>
      <c r="L8">
        <v>-0.63924280165522995</v>
      </c>
      <c r="M8">
        <v>-0.77074210856626202</v>
      </c>
      <c r="N8">
        <v>1.1937939321981199</v>
      </c>
      <c r="O8">
        <v>1.6276806279624201</v>
      </c>
      <c r="P8">
        <v>-0.85577017722956294</v>
      </c>
      <c r="Q8">
        <v>-1.5516591509462201</v>
      </c>
      <c r="R8">
        <v>-0.59469348765291496</v>
      </c>
      <c r="S8">
        <v>-1.5481213645216201</v>
      </c>
      <c r="T8">
        <v>-0.38759452694552399</v>
      </c>
      <c r="U8" t="s">
        <v>8</v>
      </c>
      <c r="V8" t="s">
        <v>240</v>
      </c>
    </row>
    <row r="9" spans="1:22" x14ac:dyDescent="0.25">
      <c r="A9" t="s">
        <v>208</v>
      </c>
      <c r="B9" t="s">
        <v>209</v>
      </c>
      <c r="C9" t="s">
        <v>207</v>
      </c>
      <c r="D9" t="s">
        <v>47</v>
      </c>
      <c r="E9">
        <v>30116.4371016888</v>
      </c>
      <c r="F9">
        <v>4</v>
      </c>
      <c r="G9">
        <v>-0.30874967269067899</v>
      </c>
      <c r="H9">
        <v>-0.264220628265046</v>
      </c>
      <c r="I9">
        <v>-0.459335401410572</v>
      </c>
      <c r="J9">
        <v>-0.50989550799498196</v>
      </c>
      <c r="K9">
        <v>0</v>
      </c>
      <c r="L9">
        <v>-0.63924280165522995</v>
      </c>
      <c r="M9">
        <v>-0.77074210856626202</v>
      </c>
      <c r="N9">
        <v>1.1937939321981199</v>
      </c>
      <c r="O9">
        <v>1.6276806279624201</v>
      </c>
      <c r="P9">
        <v>2.1150456426859101</v>
      </c>
      <c r="Q9">
        <v>-0.79460753403566997</v>
      </c>
      <c r="R9">
        <v>-0.461062806651034</v>
      </c>
      <c r="S9">
        <v>0.92341878677192502</v>
      </c>
      <c r="T9">
        <v>-0.38759452694552399</v>
      </c>
      <c r="U9" t="s">
        <v>4</v>
      </c>
      <c r="V9" t="s">
        <v>240</v>
      </c>
    </row>
    <row r="10" spans="1:22" x14ac:dyDescent="0.25">
      <c r="A10" t="s">
        <v>199</v>
      </c>
      <c r="B10" t="s">
        <v>200</v>
      </c>
      <c r="C10" t="s">
        <v>198</v>
      </c>
      <c r="D10" t="s">
        <v>47</v>
      </c>
      <c r="E10">
        <v>3053.7521053202099</v>
      </c>
      <c r="F10">
        <v>4</v>
      </c>
      <c r="G10">
        <v>-0.30874967269067899</v>
      </c>
      <c r="H10">
        <v>3.7431255670881498</v>
      </c>
      <c r="I10">
        <v>2.1531346941120502</v>
      </c>
      <c r="J10">
        <v>0.49568497409101397</v>
      </c>
      <c r="K10">
        <v>-0.87848174220527697</v>
      </c>
      <c r="L10">
        <v>-0.63924280165522995</v>
      </c>
      <c r="M10">
        <v>-0.77074210856626202</v>
      </c>
      <c r="N10">
        <v>1.1937939321981199</v>
      </c>
      <c r="O10">
        <v>1.6276806279624201</v>
      </c>
      <c r="P10">
        <v>-0.98108054126397304</v>
      </c>
      <c r="Q10">
        <v>0.557654739259965</v>
      </c>
      <c r="R10">
        <v>2.2685292526352501</v>
      </c>
      <c r="S10">
        <v>-0.41880790191981299</v>
      </c>
      <c r="T10">
        <v>-0.38759452694552399</v>
      </c>
      <c r="U10" t="s">
        <v>8</v>
      </c>
      <c r="V10" t="s">
        <v>240</v>
      </c>
    </row>
    <row r="11" spans="1:22" x14ac:dyDescent="0.25">
      <c r="A11" t="s">
        <v>196</v>
      </c>
      <c r="B11" t="s">
        <v>197</v>
      </c>
      <c r="C11" t="s">
        <v>195</v>
      </c>
      <c r="D11" t="s">
        <v>47</v>
      </c>
      <c r="E11">
        <v>62196</v>
      </c>
      <c r="F11">
        <v>4</v>
      </c>
      <c r="G11">
        <v>-0.30874967269067899</v>
      </c>
      <c r="H11">
        <v>-0.264220628265046</v>
      </c>
      <c r="I11">
        <v>-0.459335401410572</v>
      </c>
      <c r="J11">
        <v>-0.52763061349914397</v>
      </c>
      <c r="K11">
        <v>-0.75510043860629295</v>
      </c>
      <c r="L11">
        <v>-0.63924280165522995</v>
      </c>
      <c r="M11">
        <v>-0.77074210856626202</v>
      </c>
      <c r="N11">
        <v>1.1937939321981199</v>
      </c>
      <c r="O11">
        <v>1.6276806279624201</v>
      </c>
      <c r="P11">
        <v>0.84308938820902302</v>
      </c>
      <c r="Q11">
        <v>5.13458702293745E-2</v>
      </c>
      <c r="R11">
        <v>2.29138074442618E-3</v>
      </c>
      <c r="S11">
        <v>1.34517530056246</v>
      </c>
      <c r="T11">
        <v>-0.38759452694552399</v>
      </c>
      <c r="U11" t="s">
        <v>8</v>
      </c>
      <c r="V11" t="s">
        <v>240</v>
      </c>
    </row>
    <row r="12" spans="1:22" x14ac:dyDescent="0.25">
      <c r="A12" t="s">
        <v>191</v>
      </c>
      <c r="B12" t="s">
        <v>187</v>
      </c>
      <c r="C12" t="s">
        <v>190</v>
      </c>
      <c r="D12" t="s">
        <v>47</v>
      </c>
      <c r="E12">
        <v>72</v>
      </c>
      <c r="F12">
        <v>2</v>
      </c>
      <c r="G12">
        <v>3.20327785416579</v>
      </c>
      <c r="H12">
        <v>-0.264220628265046</v>
      </c>
      <c r="I12">
        <v>-0.459335401410572</v>
      </c>
      <c r="J12">
        <v>-0.56842135615871703</v>
      </c>
      <c r="K12">
        <v>0</v>
      </c>
      <c r="L12">
        <v>-0.63924280165522995</v>
      </c>
      <c r="M12">
        <v>-0.77074210856626202</v>
      </c>
      <c r="N12">
        <v>1.1937939321981199</v>
      </c>
      <c r="O12">
        <v>1.6276806279624201</v>
      </c>
      <c r="P12">
        <v>-1.52836528374985</v>
      </c>
      <c r="Q12">
        <v>1.3822825877101199</v>
      </c>
      <c r="R12">
        <v>-3.2568395104979601E-2</v>
      </c>
      <c r="S12">
        <v>-1.0748792097766999</v>
      </c>
      <c r="T12">
        <v>-0.38759452694552399</v>
      </c>
      <c r="U12" t="s">
        <v>4</v>
      </c>
      <c r="V12" t="s">
        <v>240</v>
      </c>
    </row>
    <row r="13" spans="1:22" x14ac:dyDescent="0.25">
      <c r="A13" t="s">
        <v>261</v>
      </c>
      <c r="B13" t="s">
        <v>262</v>
      </c>
      <c r="C13" t="s">
        <v>260</v>
      </c>
      <c r="D13" t="s">
        <v>47</v>
      </c>
      <c r="E13">
        <v>768</v>
      </c>
      <c r="F13">
        <v>3</v>
      </c>
      <c r="G13">
        <v>-0.30874967269067899</v>
      </c>
      <c r="H13">
        <v>-0.264220628265046</v>
      </c>
      <c r="I13">
        <v>2.1531346941120502</v>
      </c>
      <c r="J13">
        <v>-0.56842135615871703</v>
      </c>
      <c r="K13">
        <v>0</v>
      </c>
      <c r="L13">
        <v>-0.63924280165522995</v>
      </c>
      <c r="M13">
        <v>-0.77074210856626202</v>
      </c>
      <c r="N13">
        <v>1.1937939321981199</v>
      </c>
      <c r="O13">
        <v>1.6276806279624201</v>
      </c>
      <c r="P13">
        <v>-0.29112743760141002</v>
      </c>
      <c r="Q13">
        <v>0.90292303834193999</v>
      </c>
      <c r="R13">
        <v>-1.4644217063860101</v>
      </c>
      <c r="S13">
        <v>0.25836848534527102</v>
      </c>
      <c r="T13">
        <v>-0.38759452694552399</v>
      </c>
      <c r="U13" t="s">
        <v>4</v>
      </c>
      <c r="V13" t="s">
        <v>240</v>
      </c>
    </row>
    <row r="14" spans="1:22" x14ac:dyDescent="0.25">
      <c r="A14" t="s">
        <v>193</v>
      </c>
      <c r="B14" t="s">
        <v>194</v>
      </c>
      <c r="C14" t="s">
        <v>192</v>
      </c>
      <c r="D14" t="s">
        <v>47</v>
      </c>
      <c r="E14">
        <v>840.27479321579995</v>
      </c>
      <c r="F14">
        <v>3</v>
      </c>
      <c r="G14">
        <v>-0.30874967269067899</v>
      </c>
      <c r="H14">
        <v>-0.264220628265046</v>
      </c>
      <c r="I14">
        <v>-0.459335401410572</v>
      </c>
      <c r="J14">
        <v>2.7125731621112901</v>
      </c>
      <c r="K14">
        <v>2.6075195454903701</v>
      </c>
      <c r="L14">
        <v>-0.63924280165522995</v>
      </c>
      <c r="M14">
        <v>-0.77074210856626202</v>
      </c>
      <c r="N14">
        <v>1.1937939321981199</v>
      </c>
      <c r="O14">
        <v>1.6276806279624201</v>
      </c>
      <c r="P14">
        <v>-5.8251907590521103E-2</v>
      </c>
      <c r="Q14">
        <v>-1.5083287215004499</v>
      </c>
      <c r="R14">
        <v>0.53726805731585103</v>
      </c>
      <c r="S14">
        <v>-0.86544597855535499</v>
      </c>
      <c r="T14">
        <v>-0.38759452694552399</v>
      </c>
      <c r="U14" t="s">
        <v>4</v>
      </c>
      <c r="V14" t="s">
        <v>240</v>
      </c>
    </row>
    <row r="15" spans="1:22" x14ac:dyDescent="0.25">
      <c r="A15" t="s">
        <v>253</v>
      </c>
      <c r="B15" t="s">
        <v>43</v>
      </c>
      <c r="C15" t="s">
        <v>252</v>
      </c>
      <c r="D15" t="s">
        <v>47</v>
      </c>
      <c r="E15">
        <v>81</v>
      </c>
      <c r="F15">
        <v>2</v>
      </c>
      <c r="G15">
        <v>-0.30874967269067899</v>
      </c>
      <c r="H15">
        <v>-0.264220628265046</v>
      </c>
      <c r="I15">
        <v>-0.459335401410572</v>
      </c>
      <c r="J15">
        <v>0</v>
      </c>
      <c r="K15">
        <v>0</v>
      </c>
      <c r="L15">
        <v>-0.63924280165522995</v>
      </c>
      <c r="M15">
        <v>-0.77074210856626202</v>
      </c>
      <c r="N15">
        <v>1.1937939321981199</v>
      </c>
      <c r="O15">
        <v>1.6276806279624201</v>
      </c>
      <c r="P15">
        <v>-0.15779804303703801</v>
      </c>
      <c r="Q15">
        <v>0.72788281553480805</v>
      </c>
      <c r="R15">
        <v>-0.31982191689408102</v>
      </c>
      <c r="S15">
        <v>-0.30695661562148502</v>
      </c>
      <c r="T15">
        <v>2.55166396905804</v>
      </c>
      <c r="U15" t="s">
        <v>8</v>
      </c>
      <c r="V15" t="s">
        <v>240</v>
      </c>
    </row>
    <row r="16" spans="1:22" x14ac:dyDescent="0.25">
      <c r="A16" t="s">
        <v>193</v>
      </c>
      <c r="B16" t="s">
        <v>194</v>
      </c>
      <c r="C16" t="s">
        <v>192</v>
      </c>
      <c r="D16" t="s">
        <v>47</v>
      </c>
      <c r="E16">
        <v>862.16342621285605</v>
      </c>
      <c r="F16">
        <v>3</v>
      </c>
      <c r="G16">
        <v>-0.30874967269067899</v>
      </c>
      <c r="H16">
        <v>-0.264220628265046</v>
      </c>
      <c r="I16">
        <v>-0.459335401410572</v>
      </c>
      <c r="J16">
        <v>2.7125731621112901</v>
      </c>
      <c r="K16">
        <v>2.6075195454903701</v>
      </c>
      <c r="L16">
        <v>-0.63924280165522995</v>
      </c>
      <c r="M16">
        <v>-0.77074210856626202</v>
      </c>
      <c r="N16">
        <v>1.1937939321981199</v>
      </c>
      <c r="O16">
        <v>1.6276806279624201</v>
      </c>
      <c r="P16">
        <v>-5.8251907590521103E-2</v>
      </c>
      <c r="Q16">
        <v>-1.5083287215004499</v>
      </c>
      <c r="R16">
        <v>0.53726805731585103</v>
      </c>
      <c r="S16">
        <v>-0.86544597855535499</v>
      </c>
      <c r="T16">
        <v>-0.38759452694552399</v>
      </c>
      <c r="U16" t="s">
        <v>8</v>
      </c>
      <c r="V16" t="s">
        <v>240</v>
      </c>
    </row>
    <row r="17" spans="1:22" x14ac:dyDescent="0.25">
      <c r="A17" t="s">
        <v>250</v>
      </c>
      <c r="B17" t="s">
        <v>251</v>
      </c>
      <c r="C17" t="s">
        <v>249</v>
      </c>
      <c r="D17" t="s">
        <v>47</v>
      </c>
      <c r="E17">
        <v>162060</v>
      </c>
      <c r="F17">
        <v>4</v>
      </c>
      <c r="G17">
        <v>-0.30874967269067899</v>
      </c>
      <c r="H17">
        <v>-0.264220628265046</v>
      </c>
      <c r="I17">
        <v>-0.459335401410572</v>
      </c>
      <c r="J17">
        <v>0</v>
      </c>
      <c r="K17">
        <v>0</v>
      </c>
      <c r="L17">
        <v>-0.63924280165522995</v>
      </c>
      <c r="M17">
        <v>-0.77074210856626202</v>
      </c>
      <c r="N17">
        <v>1.1937939321981199</v>
      </c>
      <c r="O17">
        <v>1.6276806279624201</v>
      </c>
      <c r="P17">
        <v>1.9070542531184</v>
      </c>
      <c r="Q17">
        <v>-0.80741083153710902</v>
      </c>
      <c r="R17">
        <v>-2.3743861870168002</v>
      </c>
      <c r="S17">
        <v>3.0908427633710298</v>
      </c>
      <c r="T17">
        <v>2.55166396905804</v>
      </c>
      <c r="U17" t="s">
        <v>8</v>
      </c>
      <c r="V17" t="s">
        <v>240</v>
      </c>
    </row>
    <row r="18" spans="1:22" x14ac:dyDescent="0.25">
      <c r="A18" t="s">
        <v>191</v>
      </c>
      <c r="B18" t="s">
        <v>187</v>
      </c>
      <c r="C18" t="s">
        <v>190</v>
      </c>
      <c r="D18" t="s">
        <v>47</v>
      </c>
      <c r="E18">
        <v>72</v>
      </c>
      <c r="F18">
        <v>2</v>
      </c>
      <c r="G18">
        <v>3.20327785416579</v>
      </c>
      <c r="H18">
        <v>-0.264220628265046</v>
      </c>
      <c r="I18">
        <v>-0.459335401410572</v>
      </c>
      <c r="J18">
        <v>-0.56842135615871703</v>
      </c>
      <c r="K18">
        <v>0</v>
      </c>
      <c r="L18">
        <v>-0.63924280165522995</v>
      </c>
      <c r="M18">
        <v>-0.77074210856626202</v>
      </c>
      <c r="N18">
        <v>1.1937939321981199</v>
      </c>
      <c r="O18">
        <v>1.6276806279624201</v>
      </c>
      <c r="P18">
        <v>-1.52836528374985</v>
      </c>
      <c r="Q18">
        <v>1.3822825877101199</v>
      </c>
      <c r="R18">
        <v>-3.2568395104979601E-2</v>
      </c>
      <c r="S18">
        <v>-1.0748792097766999</v>
      </c>
      <c r="T18">
        <v>-0.38759452694552399</v>
      </c>
      <c r="U18" t="s">
        <v>8</v>
      </c>
      <c r="V18" t="s">
        <v>240</v>
      </c>
    </row>
    <row r="19" spans="1:22" x14ac:dyDescent="0.25">
      <c r="A19" t="s">
        <v>253</v>
      </c>
      <c r="B19" t="s">
        <v>43</v>
      </c>
      <c r="C19" t="s">
        <v>252</v>
      </c>
      <c r="D19" t="s">
        <v>47</v>
      </c>
      <c r="E19">
        <v>81</v>
      </c>
      <c r="F19">
        <v>2</v>
      </c>
      <c r="G19">
        <v>-0.30874967269067899</v>
      </c>
      <c r="H19">
        <v>-0.264220628265046</v>
      </c>
      <c r="I19">
        <v>-0.459335401410572</v>
      </c>
      <c r="J19">
        <v>0</v>
      </c>
      <c r="K19">
        <v>0</v>
      </c>
      <c r="L19">
        <v>-0.63924280165522995</v>
      </c>
      <c r="M19">
        <v>-0.77074210856626202</v>
      </c>
      <c r="N19">
        <v>1.1937939321981199</v>
      </c>
      <c r="O19">
        <v>1.6276806279624201</v>
      </c>
      <c r="P19">
        <v>-0.15779804303703801</v>
      </c>
      <c r="Q19">
        <v>0.72788281553480805</v>
      </c>
      <c r="R19">
        <v>-0.31982191689408102</v>
      </c>
      <c r="S19">
        <v>-0.30695661562148502</v>
      </c>
      <c r="T19">
        <v>2.55166396905804</v>
      </c>
      <c r="U19" t="s">
        <v>4</v>
      </c>
      <c r="V19" t="s">
        <v>240</v>
      </c>
    </row>
    <row r="20" spans="1:22" x14ac:dyDescent="0.25">
      <c r="A20" t="s">
        <v>221</v>
      </c>
      <c r="B20" t="s">
        <v>222</v>
      </c>
      <c r="C20" t="s">
        <v>220</v>
      </c>
      <c r="D20" t="s">
        <v>47</v>
      </c>
      <c r="E20">
        <v>30647.6782397151</v>
      </c>
      <c r="F20">
        <v>4</v>
      </c>
      <c r="G20">
        <v>-0.30874967269067899</v>
      </c>
      <c r="H20">
        <v>-0.264220628265046</v>
      </c>
      <c r="I20">
        <v>-0.459335401410572</v>
      </c>
      <c r="J20">
        <v>-0.40880540662125697</v>
      </c>
      <c r="K20">
        <v>-0.83820701616001203</v>
      </c>
      <c r="L20">
        <v>-0.63924280165522995</v>
      </c>
      <c r="M20">
        <v>-0.77074210856626202</v>
      </c>
      <c r="N20">
        <v>1.1937939321981199</v>
      </c>
      <c r="O20">
        <v>1.6276806279624201</v>
      </c>
      <c r="P20">
        <v>-6.7875875851501302E-2</v>
      </c>
      <c r="Q20">
        <v>0.62480992134845004</v>
      </c>
      <c r="R20">
        <v>1.2333372022470801</v>
      </c>
      <c r="S20">
        <v>0.54595086987311903</v>
      </c>
      <c r="T20">
        <v>-0.38759452694552399</v>
      </c>
      <c r="U20" t="s">
        <v>8</v>
      </c>
      <c r="V20" t="s">
        <v>240</v>
      </c>
    </row>
    <row r="21" spans="1:22" x14ac:dyDescent="0.25">
      <c r="A21" t="s">
        <v>205</v>
      </c>
      <c r="B21" t="s">
        <v>206</v>
      </c>
      <c r="C21" t="s">
        <v>204</v>
      </c>
      <c r="D21" t="s">
        <v>47</v>
      </c>
      <c r="E21">
        <v>28032</v>
      </c>
      <c r="F21">
        <v>4</v>
      </c>
      <c r="G21">
        <v>-0.30874967269067899</v>
      </c>
      <c r="H21">
        <v>-0.264220628265046</v>
      </c>
      <c r="I21">
        <v>-0.459335401410572</v>
      </c>
      <c r="J21">
        <v>-0.51698955019664705</v>
      </c>
      <c r="K21">
        <v>-0.82542138884405503</v>
      </c>
      <c r="L21">
        <v>-0.63924280165522995</v>
      </c>
      <c r="M21">
        <v>-0.77074210856626202</v>
      </c>
      <c r="N21">
        <v>1.1937939321981199</v>
      </c>
      <c r="O21">
        <v>1.6276806279624201</v>
      </c>
      <c r="P21">
        <v>0.30830181802305801</v>
      </c>
      <c r="Q21">
        <v>0.283442961960023</v>
      </c>
      <c r="R21">
        <v>0.10562563906992201</v>
      </c>
      <c r="S21">
        <v>0.78013138210300403</v>
      </c>
      <c r="T21">
        <v>-0.38759452694552399</v>
      </c>
      <c r="U21" t="s">
        <v>8</v>
      </c>
      <c r="V21" t="s">
        <v>240</v>
      </c>
    </row>
    <row r="22" spans="1:22" x14ac:dyDescent="0.25">
      <c r="A22" t="s">
        <v>221</v>
      </c>
      <c r="B22" t="s">
        <v>222</v>
      </c>
      <c r="C22" t="s">
        <v>220</v>
      </c>
      <c r="D22" t="s">
        <v>47</v>
      </c>
      <c r="E22">
        <v>30781.929710363202</v>
      </c>
      <c r="F22">
        <v>4</v>
      </c>
      <c r="G22">
        <v>-0.30874967269067899</v>
      </c>
      <c r="H22">
        <v>-0.264220628265046</v>
      </c>
      <c r="I22">
        <v>-0.459335401410572</v>
      </c>
      <c r="J22">
        <v>-0.40880540662125697</v>
      </c>
      <c r="K22">
        <v>-0.83820701616001203</v>
      </c>
      <c r="L22">
        <v>-0.63924280165522995</v>
      </c>
      <c r="M22">
        <v>-0.77074210856626202</v>
      </c>
      <c r="N22">
        <v>1.1937939321981199</v>
      </c>
      <c r="O22">
        <v>1.6276806279624201</v>
      </c>
      <c r="P22">
        <v>-6.7875875851501302E-2</v>
      </c>
      <c r="Q22">
        <v>0.62480992134845004</v>
      </c>
      <c r="R22">
        <v>1.2333372022470801</v>
      </c>
      <c r="S22">
        <v>0.54595086987311903</v>
      </c>
      <c r="T22">
        <v>-0.38759452694552399</v>
      </c>
      <c r="U22" t="s">
        <v>4</v>
      </c>
      <c r="V22" t="s">
        <v>240</v>
      </c>
    </row>
    <row r="23" spans="1:22" x14ac:dyDescent="0.25">
      <c r="A23" t="s">
        <v>205</v>
      </c>
      <c r="B23" t="s">
        <v>206</v>
      </c>
      <c r="C23" t="s">
        <v>204</v>
      </c>
      <c r="D23" t="s">
        <v>47</v>
      </c>
      <c r="E23">
        <v>14892</v>
      </c>
      <c r="F23">
        <v>4</v>
      </c>
      <c r="G23">
        <v>-0.30874967269067899</v>
      </c>
      <c r="H23">
        <v>-0.264220628265046</v>
      </c>
      <c r="I23">
        <v>-0.459335401410572</v>
      </c>
      <c r="J23">
        <v>-0.51698955019664705</v>
      </c>
      <c r="K23">
        <v>-0.82542138884405503</v>
      </c>
      <c r="L23">
        <v>-0.63924280165522995</v>
      </c>
      <c r="M23">
        <v>-0.77074210856626202</v>
      </c>
      <c r="N23">
        <v>1.1937939321981199</v>
      </c>
      <c r="O23">
        <v>1.6276806279624201</v>
      </c>
      <c r="P23">
        <v>0.30830181802305801</v>
      </c>
      <c r="Q23">
        <v>0.283442961960023</v>
      </c>
      <c r="R23">
        <v>0.10562563906992201</v>
      </c>
      <c r="S23">
        <v>0.78013138210300403</v>
      </c>
      <c r="T23">
        <v>-0.38759452694552399</v>
      </c>
      <c r="U23" t="s">
        <v>4</v>
      </c>
      <c r="V23" t="s">
        <v>240</v>
      </c>
    </row>
    <row r="24" spans="1:22" x14ac:dyDescent="0.25">
      <c r="A24" t="s">
        <v>202</v>
      </c>
      <c r="B24" t="s">
        <v>203</v>
      </c>
      <c r="C24" t="s">
        <v>201</v>
      </c>
      <c r="D24" t="s">
        <v>46</v>
      </c>
      <c r="E24">
        <v>3384</v>
      </c>
      <c r="F24">
        <v>4</v>
      </c>
      <c r="G24">
        <v>-0.30874967269067899</v>
      </c>
      <c r="H24">
        <v>-0.264220628265046</v>
      </c>
      <c r="I24">
        <v>-0.459335401410572</v>
      </c>
      <c r="J24">
        <v>-0.29707424194503601</v>
      </c>
      <c r="K24">
        <v>0</v>
      </c>
      <c r="L24">
        <v>0.330282659621084</v>
      </c>
      <c r="M24">
        <v>5.34826769519888E-2</v>
      </c>
      <c r="N24">
        <v>1.1970287647890501</v>
      </c>
      <c r="O24">
        <v>0.28640651591872501</v>
      </c>
      <c r="P24">
        <v>-0.85577017722956294</v>
      </c>
      <c r="Q24">
        <v>-1.5516591509462201</v>
      </c>
      <c r="R24">
        <v>-0.59469348765291496</v>
      </c>
      <c r="S24">
        <v>-1.5481213645216201</v>
      </c>
      <c r="T24">
        <v>-0.38759452694552399</v>
      </c>
      <c r="U24" t="s">
        <v>8</v>
      </c>
      <c r="V24" t="s">
        <v>57</v>
      </c>
    </row>
    <row r="25" spans="1:22" x14ac:dyDescent="0.25">
      <c r="A25" t="s">
        <v>261</v>
      </c>
      <c r="B25" t="s">
        <v>262</v>
      </c>
      <c r="C25" t="s">
        <v>260</v>
      </c>
      <c r="D25" t="s">
        <v>46</v>
      </c>
      <c r="E25">
        <v>5.3</v>
      </c>
      <c r="F25">
        <v>1</v>
      </c>
      <c r="G25">
        <v>-0.30874967269067899</v>
      </c>
      <c r="H25">
        <v>-0.264220628265046</v>
      </c>
      <c r="I25">
        <v>2.1531346941120502</v>
      </c>
      <c r="J25">
        <v>-0.56842135615871703</v>
      </c>
      <c r="K25">
        <v>0</v>
      </c>
      <c r="L25">
        <v>0.330282659621084</v>
      </c>
      <c r="M25">
        <v>5.34826769519888E-2</v>
      </c>
      <c r="N25">
        <v>1.1970287647890501</v>
      </c>
      <c r="O25">
        <v>0.28640651591872501</v>
      </c>
      <c r="P25">
        <v>-0.29112743760141002</v>
      </c>
      <c r="Q25">
        <v>0.90292303834193999</v>
      </c>
      <c r="R25">
        <v>-1.4644217063860101</v>
      </c>
      <c r="S25">
        <v>0.25836848534527102</v>
      </c>
      <c r="T25">
        <v>-0.38759452694552399</v>
      </c>
      <c r="U25" t="s">
        <v>8</v>
      </c>
      <c r="V25" t="s">
        <v>57</v>
      </c>
    </row>
    <row r="26" spans="1:22" x14ac:dyDescent="0.25">
      <c r="A26" t="s">
        <v>253</v>
      </c>
      <c r="B26" t="s">
        <v>43</v>
      </c>
      <c r="C26" t="s">
        <v>252</v>
      </c>
      <c r="D26" t="s">
        <v>46</v>
      </c>
      <c r="E26">
        <v>64.099999999999994</v>
      </c>
      <c r="F26">
        <v>2</v>
      </c>
      <c r="G26">
        <v>-0.30874967269067899</v>
      </c>
      <c r="H26">
        <v>-0.264220628265046</v>
      </c>
      <c r="I26">
        <v>-0.459335401410572</v>
      </c>
      <c r="J26">
        <v>0</v>
      </c>
      <c r="K26">
        <v>0</v>
      </c>
      <c r="L26">
        <v>0.330282659621084</v>
      </c>
      <c r="M26">
        <v>5.34826769519888E-2</v>
      </c>
      <c r="N26">
        <v>1.1970287647890501</v>
      </c>
      <c r="O26">
        <v>0.28640651591872501</v>
      </c>
      <c r="P26">
        <v>-0.15779804303703801</v>
      </c>
      <c r="Q26">
        <v>0.72788281553480805</v>
      </c>
      <c r="R26">
        <v>-0.31982191689408102</v>
      </c>
      <c r="S26">
        <v>-0.30695661562148502</v>
      </c>
      <c r="T26">
        <v>2.55166396905804</v>
      </c>
      <c r="U26" t="s">
        <v>8</v>
      </c>
      <c r="V26" t="s">
        <v>57</v>
      </c>
    </row>
    <row r="27" spans="1:22" x14ac:dyDescent="0.25">
      <c r="A27" t="s">
        <v>202</v>
      </c>
      <c r="B27" t="s">
        <v>203</v>
      </c>
      <c r="C27" t="s">
        <v>201</v>
      </c>
      <c r="D27" t="s">
        <v>46</v>
      </c>
      <c r="E27">
        <v>2088</v>
      </c>
      <c r="F27">
        <v>4</v>
      </c>
      <c r="G27">
        <v>-0.30874967269067899</v>
      </c>
      <c r="H27">
        <v>-0.264220628265046</v>
      </c>
      <c r="I27">
        <v>-0.459335401410572</v>
      </c>
      <c r="J27">
        <v>-0.29707424194503601</v>
      </c>
      <c r="K27">
        <v>0</v>
      </c>
      <c r="L27">
        <v>0.330282659621084</v>
      </c>
      <c r="M27">
        <v>5.34826769519888E-2</v>
      </c>
      <c r="N27">
        <v>1.1970287647890501</v>
      </c>
      <c r="O27">
        <v>0.28640651591872501</v>
      </c>
      <c r="P27">
        <v>-0.85577017722956294</v>
      </c>
      <c r="Q27">
        <v>-1.5516591509462201</v>
      </c>
      <c r="R27">
        <v>-0.59469348765291496</v>
      </c>
      <c r="S27">
        <v>-1.5481213645216201</v>
      </c>
      <c r="T27">
        <v>-0.38759452694552399</v>
      </c>
      <c r="U27" t="s">
        <v>4</v>
      </c>
      <c r="V27" t="s">
        <v>57</v>
      </c>
    </row>
    <row r="28" spans="1:22" x14ac:dyDescent="0.25">
      <c r="A28" t="s">
        <v>193</v>
      </c>
      <c r="B28" t="s">
        <v>194</v>
      </c>
      <c r="C28" t="s">
        <v>192</v>
      </c>
      <c r="D28" t="s">
        <v>46</v>
      </c>
      <c r="E28">
        <v>25.4950419007119</v>
      </c>
      <c r="F28">
        <v>2</v>
      </c>
      <c r="G28">
        <v>-0.30874967269067899</v>
      </c>
      <c r="H28">
        <v>-0.264220628265046</v>
      </c>
      <c r="I28">
        <v>-0.459335401410572</v>
      </c>
      <c r="J28">
        <v>2.7125731621112901</v>
      </c>
      <c r="K28">
        <v>2.6075195454903701</v>
      </c>
      <c r="L28">
        <v>0.330282659621084</v>
      </c>
      <c r="M28">
        <v>5.34826769519888E-2</v>
      </c>
      <c r="N28">
        <v>1.1970287647890501</v>
      </c>
      <c r="O28">
        <v>0.28640651591872501</v>
      </c>
      <c r="P28">
        <v>-5.8251907590521103E-2</v>
      </c>
      <c r="Q28">
        <v>-1.5083287215004499</v>
      </c>
      <c r="R28">
        <v>0.53726805731585103</v>
      </c>
      <c r="S28">
        <v>-0.86544597855535499</v>
      </c>
      <c r="T28">
        <v>-0.38759452694552399</v>
      </c>
      <c r="U28" t="s">
        <v>4</v>
      </c>
      <c r="V28" t="s">
        <v>57</v>
      </c>
    </row>
    <row r="29" spans="1:22" x14ac:dyDescent="0.25">
      <c r="A29" t="s">
        <v>261</v>
      </c>
      <c r="B29" t="s">
        <v>262</v>
      </c>
      <c r="C29" t="s">
        <v>260</v>
      </c>
      <c r="D29" t="s">
        <v>46</v>
      </c>
      <c r="E29">
        <v>2.4</v>
      </c>
      <c r="F29">
        <v>1</v>
      </c>
      <c r="G29">
        <v>-0.30874967269067899</v>
      </c>
      <c r="H29">
        <v>-0.264220628265046</v>
      </c>
      <c r="I29">
        <v>2.1531346941120502</v>
      </c>
      <c r="J29">
        <v>-0.56842135615871703</v>
      </c>
      <c r="K29">
        <v>0</v>
      </c>
      <c r="L29">
        <v>0.330282659621084</v>
      </c>
      <c r="M29">
        <v>5.34826769519888E-2</v>
      </c>
      <c r="N29">
        <v>1.1970287647890501</v>
      </c>
      <c r="O29">
        <v>0.28640651591872501</v>
      </c>
      <c r="P29">
        <v>-0.29112743760141002</v>
      </c>
      <c r="Q29">
        <v>0.90292303834193999</v>
      </c>
      <c r="R29">
        <v>-1.4644217063860101</v>
      </c>
      <c r="S29">
        <v>0.25836848534527102</v>
      </c>
      <c r="T29">
        <v>-0.38759452694552399</v>
      </c>
      <c r="U29" t="s">
        <v>4</v>
      </c>
      <c r="V29" t="s">
        <v>57</v>
      </c>
    </row>
    <row r="30" spans="1:22" x14ac:dyDescent="0.25">
      <c r="A30" t="s">
        <v>191</v>
      </c>
      <c r="B30" t="s">
        <v>187</v>
      </c>
      <c r="C30" t="s">
        <v>190</v>
      </c>
      <c r="D30" t="s">
        <v>46</v>
      </c>
      <c r="E30">
        <v>40.32</v>
      </c>
      <c r="F30">
        <v>2</v>
      </c>
      <c r="G30">
        <v>3.20327785416579</v>
      </c>
      <c r="H30">
        <v>-0.264220628265046</v>
      </c>
      <c r="I30">
        <v>-0.459335401410572</v>
      </c>
      <c r="J30">
        <v>-0.56842135615871703</v>
      </c>
      <c r="K30">
        <v>0</v>
      </c>
      <c r="L30">
        <v>0.330282659621084</v>
      </c>
      <c r="M30">
        <v>5.34826769519888E-2</v>
      </c>
      <c r="N30">
        <v>1.1970287647890501</v>
      </c>
      <c r="O30">
        <v>0.28640651591872501</v>
      </c>
      <c r="P30">
        <v>-1.52836528374985</v>
      </c>
      <c r="Q30">
        <v>1.3822825877101199</v>
      </c>
      <c r="R30">
        <v>-3.2568395104979601E-2</v>
      </c>
      <c r="S30">
        <v>-1.0748792097766999</v>
      </c>
      <c r="T30">
        <v>-0.38759452694552399</v>
      </c>
      <c r="U30" t="s">
        <v>8</v>
      </c>
      <c r="V30" t="s">
        <v>57</v>
      </c>
    </row>
    <row r="31" spans="1:22" x14ac:dyDescent="0.25">
      <c r="A31" t="s">
        <v>221</v>
      </c>
      <c r="B31" t="s">
        <v>222</v>
      </c>
      <c r="C31" t="s">
        <v>220</v>
      </c>
      <c r="D31" t="s">
        <v>46</v>
      </c>
      <c r="E31">
        <v>782.4</v>
      </c>
      <c r="F31">
        <v>3</v>
      </c>
      <c r="G31">
        <v>-0.30874967269067899</v>
      </c>
      <c r="H31">
        <v>-0.264220628265046</v>
      </c>
      <c r="I31">
        <v>-0.459335401410572</v>
      </c>
      <c r="J31">
        <v>-0.40880540662125697</v>
      </c>
      <c r="K31">
        <v>-0.87912102357107402</v>
      </c>
      <c r="L31">
        <v>0.330282659621084</v>
      </c>
      <c r="M31">
        <v>5.34826769519888E-2</v>
      </c>
      <c r="N31">
        <v>1.1970287647890501</v>
      </c>
      <c r="O31">
        <v>0.28640651591872501</v>
      </c>
      <c r="P31">
        <v>-6.7875875851501302E-2</v>
      </c>
      <c r="Q31">
        <v>0.62480992134845004</v>
      </c>
      <c r="R31">
        <v>1.2333372022470801</v>
      </c>
      <c r="S31">
        <v>0.54595086987311903</v>
      </c>
      <c r="T31">
        <v>-0.38759452694552399</v>
      </c>
      <c r="U31" t="s">
        <v>4</v>
      </c>
      <c r="V31" t="s">
        <v>57</v>
      </c>
    </row>
    <row r="32" spans="1:22" x14ac:dyDescent="0.25">
      <c r="A32" t="s">
        <v>221</v>
      </c>
      <c r="B32" t="s">
        <v>222</v>
      </c>
      <c r="C32" t="s">
        <v>220</v>
      </c>
      <c r="D32" t="s">
        <v>46</v>
      </c>
      <c r="E32">
        <v>501.6</v>
      </c>
      <c r="F32">
        <v>3</v>
      </c>
      <c r="G32">
        <v>-0.30874967269067899</v>
      </c>
      <c r="H32">
        <v>-0.264220628265046</v>
      </c>
      <c r="I32">
        <v>-0.459335401410572</v>
      </c>
      <c r="J32">
        <v>-0.40880540662125697</v>
      </c>
      <c r="K32">
        <v>-0.87912102357107402</v>
      </c>
      <c r="L32">
        <v>0.330282659621084</v>
      </c>
      <c r="M32">
        <v>5.34826769519888E-2</v>
      </c>
      <c r="N32">
        <v>1.1970287647890501</v>
      </c>
      <c r="O32">
        <v>0.28640651591872501</v>
      </c>
      <c r="P32">
        <v>-6.7875875851501302E-2</v>
      </c>
      <c r="Q32">
        <v>0.62480992134845004</v>
      </c>
      <c r="R32">
        <v>1.2333372022470801</v>
      </c>
      <c r="S32">
        <v>0.54595086987311903</v>
      </c>
      <c r="T32">
        <v>-0.38759452694552399</v>
      </c>
      <c r="U32" t="s">
        <v>8</v>
      </c>
      <c r="V32" t="s">
        <v>57</v>
      </c>
    </row>
    <row r="33" spans="1:22" x14ac:dyDescent="0.25">
      <c r="A33" t="s">
        <v>208</v>
      </c>
      <c r="B33" t="s">
        <v>209</v>
      </c>
      <c r="C33" t="s">
        <v>207</v>
      </c>
      <c r="D33" t="s">
        <v>46</v>
      </c>
      <c r="E33">
        <v>3168</v>
      </c>
      <c r="F33">
        <v>4</v>
      </c>
      <c r="G33">
        <v>-0.30874967269067899</v>
      </c>
      <c r="H33">
        <v>-0.264220628265046</v>
      </c>
      <c r="I33">
        <v>-0.459335401410572</v>
      </c>
      <c r="J33">
        <v>-0.50989550799498196</v>
      </c>
      <c r="K33">
        <v>0</v>
      </c>
      <c r="L33">
        <v>0.330282659621084</v>
      </c>
      <c r="M33">
        <v>5.34826769519888E-2</v>
      </c>
      <c r="N33">
        <v>1.1970287647890501</v>
      </c>
      <c r="O33">
        <v>0.28640651591872501</v>
      </c>
      <c r="P33">
        <v>2.1150456426859101</v>
      </c>
      <c r="Q33">
        <v>-0.79460753403566997</v>
      </c>
      <c r="R33">
        <v>-0.461062806651034</v>
      </c>
      <c r="S33">
        <v>0.92341878677192502</v>
      </c>
      <c r="T33">
        <v>-0.38759452694552399</v>
      </c>
      <c r="U33" t="s">
        <v>8</v>
      </c>
      <c r="V33" t="s">
        <v>57</v>
      </c>
    </row>
    <row r="34" spans="1:22" x14ac:dyDescent="0.25">
      <c r="A34" t="s">
        <v>191</v>
      </c>
      <c r="B34" t="s">
        <v>187</v>
      </c>
      <c r="C34" t="s">
        <v>190</v>
      </c>
      <c r="D34" t="s">
        <v>46</v>
      </c>
      <c r="E34">
        <v>41.01</v>
      </c>
      <c r="F34">
        <v>2</v>
      </c>
      <c r="G34">
        <v>3.20327785416579</v>
      </c>
      <c r="H34">
        <v>-0.264220628265046</v>
      </c>
      <c r="I34">
        <v>-0.459335401410572</v>
      </c>
      <c r="J34">
        <v>-0.56842135615871703</v>
      </c>
      <c r="K34">
        <v>0</v>
      </c>
      <c r="L34">
        <v>0.330282659621084</v>
      </c>
      <c r="M34">
        <v>5.34826769519888E-2</v>
      </c>
      <c r="N34">
        <v>1.1970287647890501</v>
      </c>
      <c r="O34">
        <v>0.28640651591872501</v>
      </c>
      <c r="P34">
        <v>-1.52836528374985</v>
      </c>
      <c r="Q34">
        <v>1.3822825877101199</v>
      </c>
      <c r="R34">
        <v>-3.2568395104979601E-2</v>
      </c>
      <c r="S34">
        <v>-1.0748792097766999</v>
      </c>
      <c r="T34">
        <v>-0.38759452694552399</v>
      </c>
      <c r="U34" t="s">
        <v>4</v>
      </c>
      <c r="V34" t="s">
        <v>57</v>
      </c>
    </row>
    <row r="35" spans="1:22" x14ac:dyDescent="0.25">
      <c r="A35" t="s">
        <v>193</v>
      </c>
      <c r="B35" t="s">
        <v>194</v>
      </c>
      <c r="C35" t="s">
        <v>192</v>
      </c>
      <c r="D35" t="s">
        <v>46</v>
      </c>
      <c r="E35">
        <v>37.204034026087598</v>
      </c>
      <c r="F35">
        <v>2</v>
      </c>
      <c r="G35">
        <v>-0.30874967269067899</v>
      </c>
      <c r="H35">
        <v>-0.264220628265046</v>
      </c>
      <c r="I35">
        <v>-0.459335401410572</v>
      </c>
      <c r="J35">
        <v>2.7125731621112901</v>
      </c>
      <c r="K35">
        <v>2.6075195454903701</v>
      </c>
      <c r="L35">
        <v>0.330282659621084</v>
      </c>
      <c r="M35">
        <v>5.34826769519888E-2</v>
      </c>
      <c r="N35">
        <v>1.1970287647890501</v>
      </c>
      <c r="O35">
        <v>0.28640651591872501</v>
      </c>
      <c r="P35">
        <v>-5.8251907590521103E-2</v>
      </c>
      <c r="Q35">
        <v>-1.5083287215004499</v>
      </c>
      <c r="R35">
        <v>0.53726805731585103</v>
      </c>
      <c r="S35">
        <v>-0.86544597855535499</v>
      </c>
      <c r="T35">
        <v>-0.38759452694552399</v>
      </c>
      <c r="U35" t="s">
        <v>8</v>
      </c>
      <c r="V35" t="s">
        <v>57</v>
      </c>
    </row>
    <row r="36" spans="1:22" x14ac:dyDescent="0.25">
      <c r="A36" t="s">
        <v>208</v>
      </c>
      <c r="B36" t="s">
        <v>209</v>
      </c>
      <c r="C36" t="s">
        <v>207</v>
      </c>
      <c r="D36" t="s">
        <v>46</v>
      </c>
      <c r="E36">
        <v>2640</v>
      </c>
      <c r="F36">
        <v>4</v>
      </c>
      <c r="G36">
        <v>-0.30874967269067899</v>
      </c>
      <c r="H36">
        <v>-0.264220628265046</v>
      </c>
      <c r="I36">
        <v>-0.459335401410572</v>
      </c>
      <c r="J36">
        <v>-0.50989550799498196</v>
      </c>
      <c r="K36">
        <v>0</v>
      </c>
      <c r="L36">
        <v>0.330282659621084</v>
      </c>
      <c r="M36">
        <v>5.34826769519888E-2</v>
      </c>
      <c r="N36">
        <v>1.1970287647890501</v>
      </c>
      <c r="O36">
        <v>0.28640651591872501</v>
      </c>
      <c r="P36">
        <v>2.1150456426859101</v>
      </c>
      <c r="Q36">
        <v>-0.79460753403566997</v>
      </c>
      <c r="R36">
        <v>-0.461062806651034</v>
      </c>
      <c r="S36">
        <v>0.92341878677192502</v>
      </c>
      <c r="T36">
        <v>-0.38759452694552399</v>
      </c>
      <c r="U36" t="s">
        <v>4</v>
      </c>
      <c r="V36" t="s">
        <v>57</v>
      </c>
    </row>
    <row r="37" spans="1:22" x14ac:dyDescent="0.25">
      <c r="A37" t="s">
        <v>221</v>
      </c>
      <c r="B37" t="s">
        <v>222</v>
      </c>
      <c r="C37" t="s">
        <v>220</v>
      </c>
      <c r="D37" t="s">
        <v>46</v>
      </c>
      <c r="E37">
        <v>482.4</v>
      </c>
      <c r="F37">
        <v>3</v>
      </c>
      <c r="G37">
        <v>-0.30874967269067899</v>
      </c>
      <c r="H37">
        <v>-0.264220628265046</v>
      </c>
      <c r="I37">
        <v>-0.459335401410572</v>
      </c>
      <c r="J37">
        <v>-0.40880540662125697</v>
      </c>
      <c r="K37">
        <v>-0.87912102357107402</v>
      </c>
      <c r="L37">
        <v>0.330282659621084</v>
      </c>
      <c r="M37">
        <v>5.34826769519888E-2</v>
      </c>
      <c r="N37">
        <v>1.1970287647890501</v>
      </c>
      <c r="O37">
        <v>0.28640651591872501</v>
      </c>
      <c r="P37">
        <v>-6.7875875851501302E-2</v>
      </c>
      <c r="Q37">
        <v>0.62480992134845004</v>
      </c>
      <c r="R37">
        <v>1.2333372022470801</v>
      </c>
      <c r="S37">
        <v>0.54595086987311903</v>
      </c>
      <c r="T37">
        <v>-0.38759452694552399</v>
      </c>
      <c r="U37" t="s">
        <v>8</v>
      </c>
      <c r="V37" t="s">
        <v>54</v>
      </c>
    </row>
    <row r="38" spans="1:22" x14ac:dyDescent="0.25">
      <c r="A38" t="s">
        <v>253</v>
      </c>
      <c r="B38" t="s">
        <v>43</v>
      </c>
      <c r="C38" t="s">
        <v>252</v>
      </c>
      <c r="D38" t="s">
        <v>46</v>
      </c>
      <c r="E38">
        <v>79.599999999999994</v>
      </c>
      <c r="F38">
        <v>2</v>
      </c>
      <c r="G38">
        <v>-0.30874967269067899</v>
      </c>
      <c r="H38">
        <v>-0.264220628265046</v>
      </c>
      <c r="I38">
        <v>-0.459335401410572</v>
      </c>
      <c r="J38">
        <v>0</v>
      </c>
      <c r="K38">
        <v>0</v>
      </c>
      <c r="L38">
        <v>0.330282659621084</v>
      </c>
      <c r="M38">
        <v>5.34826769519888E-2</v>
      </c>
      <c r="N38">
        <v>1.1970287647890501</v>
      </c>
      <c r="O38">
        <v>0.28640651591872501</v>
      </c>
      <c r="P38">
        <v>-0.15779804303703801</v>
      </c>
      <c r="Q38">
        <v>0.72788281553480805</v>
      </c>
      <c r="R38">
        <v>-0.31982191689408102</v>
      </c>
      <c r="S38">
        <v>-0.30695661562148502</v>
      </c>
      <c r="T38">
        <v>2.55166396905804</v>
      </c>
      <c r="U38" t="s">
        <v>4</v>
      </c>
      <c r="V38" t="s">
        <v>57</v>
      </c>
    </row>
    <row r="39" spans="1:22" x14ac:dyDescent="0.25">
      <c r="A39" t="s">
        <v>208</v>
      </c>
      <c r="B39" t="s">
        <v>209</v>
      </c>
      <c r="C39" t="s">
        <v>207</v>
      </c>
      <c r="D39" t="s">
        <v>45</v>
      </c>
      <c r="E39">
        <v>1027.44</v>
      </c>
      <c r="F39">
        <v>3</v>
      </c>
      <c r="G39">
        <v>-0.30874967269067899</v>
      </c>
      <c r="H39">
        <v>-0.264220628265046</v>
      </c>
      <c r="I39">
        <v>-0.459335401410572</v>
      </c>
      <c r="J39">
        <v>-0.50989550799498196</v>
      </c>
      <c r="K39">
        <v>0</v>
      </c>
      <c r="L39">
        <v>2.1980642105116899</v>
      </c>
      <c r="M39">
        <v>-1.6534045244486999</v>
      </c>
      <c r="N39">
        <v>-1.04238099656497</v>
      </c>
      <c r="O39">
        <v>-0.93493042944155103</v>
      </c>
      <c r="P39">
        <v>2.1150456426859101</v>
      </c>
      <c r="Q39">
        <v>-0.79460753403566997</v>
      </c>
      <c r="R39">
        <v>-0.461062806651034</v>
      </c>
      <c r="S39">
        <v>0.92341878677192502</v>
      </c>
      <c r="T39">
        <v>-0.38759452694552399</v>
      </c>
      <c r="U39" t="s">
        <v>8</v>
      </c>
      <c r="V39" t="s">
        <v>54</v>
      </c>
    </row>
    <row r="40" spans="1:22" x14ac:dyDescent="0.25">
      <c r="A40" t="s">
        <v>253</v>
      </c>
      <c r="B40" t="s">
        <v>43</v>
      </c>
      <c r="C40" t="s">
        <v>252</v>
      </c>
      <c r="D40" t="s">
        <v>45</v>
      </c>
      <c r="E40">
        <v>24.2</v>
      </c>
      <c r="F40">
        <v>2</v>
      </c>
      <c r="G40">
        <v>-0.30874967269067899</v>
      </c>
      <c r="H40">
        <v>-0.264220628265046</v>
      </c>
      <c r="I40">
        <v>-0.459335401410572</v>
      </c>
      <c r="J40">
        <v>0</v>
      </c>
      <c r="K40">
        <v>0</v>
      </c>
      <c r="L40">
        <v>2.1980642105116899</v>
      </c>
      <c r="M40">
        <v>-1.6534045244486999</v>
      </c>
      <c r="N40">
        <v>-1.04238099656497</v>
      </c>
      <c r="O40">
        <v>-0.93493042944155103</v>
      </c>
      <c r="P40">
        <v>-0.15779804303703801</v>
      </c>
      <c r="Q40">
        <v>0.72788281553480805</v>
      </c>
      <c r="R40">
        <v>-0.31982191689408102</v>
      </c>
      <c r="S40">
        <v>-0.30695661562148502</v>
      </c>
      <c r="T40">
        <v>2.55166396905804</v>
      </c>
      <c r="U40" t="s">
        <v>4</v>
      </c>
      <c r="V40" t="s">
        <v>54</v>
      </c>
    </row>
    <row r="41" spans="1:22" x14ac:dyDescent="0.25">
      <c r="A41" t="s">
        <v>253</v>
      </c>
      <c r="B41" t="s">
        <v>43</v>
      </c>
      <c r="C41" t="s">
        <v>252</v>
      </c>
      <c r="D41" t="s">
        <v>45</v>
      </c>
      <c r="E41">
        <v>36.9</v>
      </c>
      <c r="F41">
        <v>2</v>
      </c>
      <c r="G41">
        <v>-0.30874967269067899</v>
      </c>
      <c r="H41">
        <v>-0.264220628265046</v>
      </c>
      <c r="I41">
        <v>-0.459335401410572</v>
      </c>
      <c r="J41">
        <v>0</v>
      </c>
      <c r="K41">
        <v>0</v>
      </c>
      <c r="L41">
        <v>2.1980642105116899</v>
      </c>
      <c r="M41">
        <v>-1.6534045244486999</v>
      </c>
      <c r="N41">
        <v>-1.04238099656497</v>
      </c>
      <c r="O41">
        <v>-0.93493042944155103</v>
      </c>
      <c r="P41">
        <v>-0.15779804303703801</v>
      </c>
      <c r="Q41">
        <v>0.72788281553480805</v>
      </c>
      <c r="R41">
        <v>-0.31982191689408102</v>
      </c>
      <c r="S41">
        <v>-0.30695661562148502</v>
      </c>
      <c r="T41">
        <v>2.55166396905804</v>
      </c>
      <c r="U41" t="s">
        <v>8</v>
      </c>
      <c r="V41" t="s">
        <v>54</v>
      </c>
    </row>
    <row r="42" spans="1:22" x14ac:dyDescent="0.25">
      <c r="A42" t="s">
        <v>191</v>
      </c>
      <c r="B42" t="s">
        <v>187</v>
      </c>
      <c r="C42" t="s">
        <v>190</v>
      </c>
      <c r="D42" t="s">
        <v>45</v>
      </c>
      <c r="E42">
        <v>6.2369237543814098</v>
      </c>
      <c r="F42">
        <v>1</v>
      </c>
      <c r="G42">
        <v>3.20327785416579</v>
      </c>
      <c r="H42">
        <v>-0.264220628265046</v>
      </c>
      <c r="I42">
        <v>-0.459335401410572</v>
      </c>
      <c r="J42">
        <v>-0.56842135615871703</v>
      </c>
      <c r="K42">
        <v>0</v>
      </c>
      <c r="L42">
        <v>2.1980642105116899</v>
      </c>
      <c r="M42">
        <v>-1.6534045244486999</v>
      </c>
      <c r="N42">
        <v>-1.04238099656497</v>
      </c>
      <c r="O42">
        <v>-0.93493042944155103</v>
      </c>
      <c r="P42">
        <v>-1.52836528374985</v>
      </c>
      <c r="Q42">
        <v>1.3822825877101199</v>
      </c>
      <c r="R42">
        <v>-3.2568395104979601E-2</v>
      </c>
      <c r="S42">
        <v>-1.0748792097766999</v>
      </c>
      <c r="T42">
        <v>-0.38759452694552399</v>
      </c>
      <c r="U42" t="s">
        <v>4</v>
      </c>
      <c r="V42" t="s">
        <v>54</v>
      </c>
    </row>
    <row r="43" spans="1:22" x14ac:dyDescent="0.25">
      <c r="A43" t="s">
        <v>193</v>
      </c>
      <c r="B43" t="s">
        <v>194</v>
      </c>
      <c r="C43" t="s">
        <v>192</v>
      </c>
      <c r="D43" t="s">
        <v>45</v>
      </c>
      <c r="E43">
        <v>4.5</v>
      </c>
      <c r="F43">
        <v>1</v>
      </c>
      <c r="G43">
        <v>-0.30874967269067899</v>
      </c>
      <c r="H43">
        <v>-0.264220628265046</v>
      </c>
      <c r="I43">
        <v>-0.459335401410572</v>
      </c>
      <c r="J43">
        <v>2.7125731621112901</v>
      </c>
      <c r="K43">
        <v>2.6075195454903701</v>
      </c>
      <c r="L43">
        <v>2.1980642105116899</v>
      </c>
      <c r="M43">
        <v>-1.6534045244486999</v>
      </c>
      <c r="N43">
        <v>-1.04238099656497</v>
      </c>
      <c r="O43">
        <v>-0.93493042944155103</v>
      </c>
      <c r="P43">
        <v>-5.8251907590521103E-2</v>
      </c>
      <c r="Q43">
        <v>-1.5083287215004499</v>
      </c>
      <c r="R43">
        <v>0.53726805731585103</v>
      </c>
      <c r="S43">
        <v>-0.86544597855535499</v>
      </c>
      <c r="T43">
        <v>-0.38759452694552399</v>
      </c>
      <c r="U43" t="s">
        <v>4</v>
      </c>
      <c r="V43" t="s">
        <v>54</v>
      </c>
    </row>
    <row r="44" spans="1:22" x14ac:dyDescent="0.25">
      <c r="A44" t="s">
        <v>191</v>
      </c>
      <c r="B44" t="s">
        <v>187</v>
      </c>
      <c r="C44" t="s">
        <v>190</v>
      </c>
      <c r="D44" t="s">
        <v>45</v>
      </c>
      <c r="E44">
        <v>11.7702827905661</v>
      </c>
      <c r="F44">
        <v>1</v>
      </c>
      <c r="G44">
        <v>3.20327785416579</v>
      </c>
      <c r="H44">
        <v>-0.264220628265046</v>
      </c>
      <c r="I44">
        <v>-0.459335401410572</v>
      </c>
      <c r="J44">
        <v>-0.56842135615871703</v>
      </c>
      <c r="K44">
        <v>0</v>
      </c>
      <c r="L44">
        <v>2.1980642105116899</v>
      </c>
      <c r="M44">
        <v>-1.6534045244486999</v>
      </c>
      <c r="N44">
        <v>-1.04238099656497</v>
      </c>
      <c r="O44">
        <v>-0.93493042944155103</v>
      </c>
      <c r="P44">
        <v>-1.52836528374985</v>
      </c>
      <c r="Q44">
        <v>1.3822825877101199</v>
      </c>
      <c r="R44">
        <v>-3.2568395104979601E-2</v>
      </c>
      <c r="S44">
        <v>-1.0748792097766999</v>
      </c>
      <c r="T44">
        <v>-0.38759452694552399</v>
      </c>
      <c r="U44" t="s">
        <v>8</v>
      </c>
      <c r="V44" t="s">
        <v>54</v>
      </c>
    </row>
    <row r="45" spans="1:22" x14ac:dyDescent="0.25">
      <c r="A45" t="s">
        <v>221</v>
      </c>
      <c r="B45" t="s">
        <v>222</v>
      </c>
      <c r="C45" t="s">
        <v>220</v>
      </c>
      <c r="D45" t="s">
        <v>45</v>
      </c>
      <c r="E45">
        <v>374.4</v>
      </c>
      <c r="F45">
        <v>3</v>
      </c>
      <c r="G45">
        <v>-0.30874967269067899</v>
      </c>
      <c r="H45">
        <v>-0.264220628265046</v>
      </c>
      <c r="I45">
        <v>-0.459335401410572</v>
      </c>
      <c r="J45">
        <v>-0.40880540662125697</v>
      </c>
      <c r="K45">
        <v>-0.87912102357107402</v>
      </c>
      <c r="L45">
        <v>2.1980642105116899</v>
      </c>
      <c r="M45">
        <v>-1.6534045244486999</v>
      </c>
      <c r="N45">
        <v>-1.04238099656497</v>
      </c>
      <c r="O45">
        <v>-0.93493042944155103</v>
      </c>
      <c r="P45">
        <v>-6.7875875851501302E-2</v>
      </c>
      <c r="Q45">
        <v>0.62480992134845004</v>
      </c>
      <c r="R45">
        <v>1.2333372022470801</v>
      </c>
      <c r="S45">
        <v>0.54595086987311903</v>
      </c>
      <c r="T45">
        <v>-0.38759452694552399</v>
      </c>
      <c r="U45" t="s">
        <v>4</v>
      </c>
      <c r="V45" t="s">
        <v>54</v>
      </c>
    </row>
    <row r="46" spans="1:22" x14ac:dyDescent="0.25">
      <c r="A46" t="s">
        <v>221</v>
      </c>
      <c r="B46" t="s">
        <v>222</v>
      </c>
      <c r="C46" t="s">
        <v>220</v>
      </c>
      <c r="D46" t="s">
        <v>45</v>
      </c>
      <c r="E46">
        <v>520.79999999999995</v>
      </c>
      <c r="F46">
        <v>3</v>
      </c>
      <c r="G46">
        <v>-0.30874967269067899</v>
      </c>
      <c r="H46">
        <v>-0.264220628265046</v>
      </c>
      <c r="I46">
        <v>-0.459335401410572</v>
      </c>
      <c r="J46">
        <v>-0.40880540662125697</v>
      </c>
      <c r="K46">
        <v>-0.87912102357107402</v>
      </c>
      <c r="L46">
        <v>2.1980642105116899</v>
      </c>
      <c r="M46">
        <v>-1.6534045244486999</v>
      </c>
      <c r="N46">
        <v>-1.04238099656497</v>
      </c>
      <c r="O46">
        <v>-0.93493042944155103</v>
      </c>
      <c r="P46">
        <v>-6.7875875851501302E-2</v>
      </c>
      <c r="Q46">
        <v>0.62480992134845004</v>
      </c>
      <c r="R46">
        <v>1.2333372022470801</v>
      </c>
      <c r="S46">
        <v>0.54595086987311903</v>
      </c>
      <c r="T46">
        <v>-0.38759452694552399</v>
      </c>
      <c r="U46" t="s">
        <v>8</v>
      </c>
      <c r="V46" t="s">
        <v>54</v>
      </c>
    </row>
    <row r="47" spans="1:22" x14ac:dyDescent="0.25">
      <c r="A47" t="s">
        <v>202</v>
      </c>
      <c r="B47" t="s">
        <v>203</v>
      </c>
      <c r="C47" t="s">
        <v>201</v>
      </c>
      <c r="D47" t="s">
        <v>45</v>
      </c>
      <c r="E47">
        <v>643.44000000000005</v>
      </c>
      <c r="F47">
        <v>3</v>
      </c>
      <c r="G47">
        <v>-0.30874967269067899</v>
      </c>
      <c r="H47">
        <v>-0.264220628265046</v>
      </c>
      <c r="I47">
        <v>-0.459335401410572</v>
      </c>
      <c r="J47">
        <v>-0.29707424194503601</v>
      </c>
      <c r="K47">
        <v>0</v>
      </c>
      <c r="L47">
        <v>2.1980642105116899</v>
      </c>
      <c r="M47">
        <v>-1.6534045244486999</v>
      </c>
      <c r="N47">
        <v>-1.04238099656497</v>
      </c>
      <c r="O47">
        <v>-0.93493042944155103</v>
      </c>
      <c r="P47">
        <v>-0.85577017722956294</v>
      </c>
      <c r="Q47">
        <v>-1.5516591509462201</v>
      </c>
      <c r="R47">
        <v>-0.59469348765291496</v>
      </c>
      <c r="S47">
        <v>-1.5481213645216201</v>
      </c>
      <c r="T47">
        <v>-0.38759452694552399</v>
      </c>
      <c r="U47" t="s">
        <v>4</v>
      </c>
      <c r="V47" t="s">
        <v>54</v>
      </c>
    </row>
    <row r="48" spans="1:22" x14ac:dyDescent="0.25">
      <c r="A48" t="s">
        <v>202</v>
      </c>
      <c r="B48" t="s">
        <v>203</v>
      </c>
      <c r="C48" t="s">
        <v>201</v>
      </c>
      <c r="D48" t="s">
        <v>45</v>
      </c>
      <c r="E48">
        <v>671.28</v>
      </c>
      <c r="F48">
        <v>3</v>
      </c>
      <c r="G48">
        <v>-0.30874967269067899</v>
      </c>
      <c r="H48">
        <v>-0.264220628265046</v>
      </c>
      <c r="I48">
        <v>-0.459335401410572</v>
      </c>
      <c r="J48">
        <v>-0.29707424194503601</v>
      </c>
      <c r="K48">
        <v>0</v>
      </c>
      <c r="L48">
        <v>2.1980642105116899</v>
      </c>
      <c r="M48">
        <v>-1.6534045244486999</v>
      </c>
      <c r="N48">
        <v>-1.04238099656497</v>
      </c>
      <c r="O48">
        <v>-0.93493042944155103</v>
      </c>
      <c r="P48">
        <v>-0.85577017722956294</v>
      </c>
      <c r="Q48">
        <v>-1.5516591509462201</v>
      </c>
      <c r="R48">
        <v>-0.59469348765291496</v>
      </c>
      <c r="S48">
        <v>-1.5481213645216201</v>
      </c>
      <c r="T48">
        <v>-0.38759452694552399</v>
      </c>
      <c r="U48" t="s">
        <v>8</v>
      </c>
      <c r="V48" t="s">
        <v>54</v>
      </c>
    </row>
    <row r="49" spans="1:22" x14ac:dyDescent="0.25">
      <c r="A49" t="s">
        <v>205</v>
      </c>
      <c r="B49" t="s">
        <v>206</v>
      </c>
      <c r="C49" t="s">
        <v>204</v>
      </c>
      <c r="D49" t="s">
        <v>45</v>
      </c>
      <c r="E49">
        <v>2088.4426262578399</v>
      </c>
      <c r="F49">
        <v>4</v>
      </c>
      <c r="G49">
        <v>-0.30874967269067899</v>
      </c>
      <c r="H49">
        <v>-0.264220628265046</v>
      </c>
      <c r="I49">
        <v>-0.459335401410572</v>
      </c>
      <c r="J49">
        <v>-0.51698955019664705</v>
      </c>
      <c r="K49">
        <v>-0.82542138884405503</v>
      </c>
      <c r="L49">
        <v>2.1980642105116899</v>
      </c>
      <c r="M49">
        <v>-1.6534045244486999</v>
      </c>
      <c r="N49">
        <v>-1.04238099656497</v>
      </c>
      <c r="O49">
        <v>-0.93493042944155103</v>
      </c>
      <c r="P49">
        <v>0.30830181802305801</v>
      </c>
      <c r="Q49">
        <v>0.283442961960023</v>
      </c>
      <c r="R49">
        <v>0.10562563906992201</v>
      </c>
      <c r="S49">
        <v>0.78013138210300403</v>
      </c>
      <c r="T49">
        <v>-0.38759452694552399</v>
      </c>
      <c r="U49" t="s">
        <v>8</v>
      </c>
      <c r="V49" t="s">
        <v>54</v>
      </c>
    </row>
    <row r="50" spans="1:22" x14ac:dyDescent="0.25">
      <c r="A50" t="s">
        <v>208</v>
      </c>
      <c r="B50" t="s">
        <v>209</v>
      </c>
      <c r="C50" t="s">
        <v>207</v>
      </c>
      <c r="D50" t="s">
        <v>45</v>
      </c>
      <c r="E50">
        <v>907.2</v>
      </c>
      <c r="F50">
        <v>3</v>
      </c>
      <c r="G50">
        <v>-0.30874967269067899</v>
      </c>
      <c r="H50">
        <v>-0.264220628265046</v>
      </c>
      <c r="I50">
        <v>-0.459335401410572</v>
      </c>
      <c r="J50">
        <v>-0.50989550799498196</v>
      </c>
      <c r="K50">
        <v>0</v>
      </c>
      <c r="L50">
        <v>2.1980642105116899</v>
      </c>
      <c r="M50">
        <v>-1.6534045244486999</v>
      </c>
      <c r="N50">
        <v>-1.04238099656497</v>
      </c>
      <c r="O50">
        <v>-0.93493042944155103</v>
      </c>
      <c r="P50">
        <v>2.1150456426859101</v>
      </c>
      <c r="Q50">
        <v>-0.79460753403566997</v>
      </c>
      <c r="R50">
        <v>-0.461062806651034</v>
      </c>
      <c r="S50">
        <v>0.92341878677192502</v>
      </c>
      <c r="T50">
        <v>-0.38759452694552399</v>
      </c>
      <c r="U50" t="s">
        <v>4</v>
      </c>
      <c r="V50" t="s">
        <v>54</v>
      </c>
    </row>
    <row r="51" spans="1:22" x14ac:dyDescent="0.25">
      <c r="A51" t="s">
        <v>193</v>
      </c>
      <c r="B51" t="s">
        <v>194</v>
      </c>
      <c r="C51" t="s">
        <v>192</v>
      </c>
      <c r="D51" t="s">
        <v>45</v>
      </c>
      <c r="E51">
        <v>5.8</v>
      </c>
      <c r="F51">
        <v>1</v>
      </c>
      <c r="G51">
        <v>-0.30874967269067899</v>
      </c>
      <c r="H51">
        <v>-0.264220628265046</v>
      </c>
      <c r="I51">
        <v>-0.459335401410572</v>
      </c>
      <c r="J51">
        <v>2.7125731621112901</v>
      </c>
      <c r="K51">
        <v>2.6075195454903701</v>
      </c>
      <c r="L51">
        <v>2.1980642105116899</v>
      </c>
      <c r="M51">
        <v>-1.6534045244486999</v>
      </c>
      <c r="N51">
        <v>-1.04238099656497</v>
      </c>
      <c r="O51">
        <v>-0.93493042944155103</v>
      </c>
      <c r="P51">
        <v>-5.8251907590521103E-2</v>
      </c>
      <c r="Q51">
        <v>-1.5083287215004499</v>
      </c>
      <c r="R51">
        <v>0.53726805731585103</v>
      </c>
      <c r="S51">
        <v>-0.86544597855535499</v>
      </c>
      <c r="T51">
        <v>-0.38759452694552399</v>
      </c>
      <c r="U51" t="s">
        <v>8</v>
      </c>
      <c r="V51" t="s">
        <v>54</v>
      </c>
    </row>
    <row r="52" spans="1:22" x14ac:dyDescent="0.25">
      <c r="A52" t="s">
        <v>205</v>
      </c>
      <c r="B52" t="s">
        <v>206</v>
      </c>
      <c r="C52" t="s">
        <v>204</v>
      </c>
      <c r="D52" t="s">
        <v>45</v>
      </c>
      <c r="E52">
        <v>1007.51246279091</v>
      </c>
      <c r="F52">
        <v>3</v>
      </c>
      <c r="G52">
        <v>-0.30874967269067899</v>
      </c>
      <c r="H52">
        <v>-0.264220628265046</v>
      </c>
      <c r="I52">
        <v>-0.459335401410572</v>
      </c>
      <c r="J52">
        <v>-0.51698955019664705</v>
      </c>
      <c r="K52">
        <v>-0.82542138884405503</v>
      </c>
      <c r="L52">
        <v>2.1980642105116899</v>
      </c>
      <c r="M52">
        <v>-1.6534045244486999</v>
      </c>
      <c r="N52">
        <v>-1.04238099656497</v>
      </c>
      <c r="O52">
        <v>-0.93493042944155103</v>
      </c>
      <c r="P52">
        <v>0.30830181802305801</v>
      </c>
      <c r="Q52">
        <v>0.283442961960023</v>
      </c>
      <c r="R52">
        <v>0.10562563906992201</v>
      </c>
      <c r="S52">
        <v>0.78013138210300403</v>
      </c>
      <c r="T52">
        <v>-0.38759452694552399</v>
      </c>
      <c r="U52" t="s">
        <v>4</v>
      </c>
      <c r="V52" t="s">
        <v>54</v>
      </c>
    </row>
    <row r="53" spans="1:22" x14ac:dyDescent="0.25">
      <c r="A53" t="s">
        <v>199</v>
      </c>
      <c r="B53" t="s">
        <v>200</v>
      </c>
      <c r="C53" t="s">
        <v>198</v>
      </c>
      <c r="D53" t="s">
        <v>44</v>
      </c>
      <c r="E53">
        <v>2.1</v>
      </c>
      <c r="F53">
        <v>1</v>
      </c>
      <c r="G53">
        <v>-0.30874967269067899</v>
      </c>
      <c r="H53">
        <v>3.7431255670881498</v>
      </c>
      <c r="I53">
        <v>2.1531346941120502</v>
      </c>
      <c r="J53">
        <v>0.49568497409101397</v>
      </c>
      <c r="K53">
        <v>-0.87848174220527697</v>
      </c>
      <c r="L53">
        <v>-0.54159493012662097</v>
      </c>
      <c r="M53">
        <v>0.98254373941149498</v>
      </c>
      <c r="N53">
        <v>-0.74063910070711803</v>
      </c>
      <c r="O53">
        <v>-0.67540113854430905</v>
      </c>
      <c r="P53">
        <v>-0.98108054126397304</v>
      </c>
      <c r="Q53">
        <v>0.557654739259965</v>
      </c>
      <c r="R53">
        <v>2.2685292526352501</v>
      </c>
      <c r="S53">
        <v>-0.41880790191981299</v>
      </c>
      <c r="T53">
        <v>-0.38759452694552399</v>
      </c>
      <c r="U53" t="s">
        <v>4</v>
      </c>
      <c r="V53" t="s">
        <v>240</v>
      </c>
    </row>
    <row r="54" spans="1:22" x14ac:dyDescent="0.25">
      <c r="A54" t="s">
        <v>199</v>
      </c>
      <c r="B54" t="s">
        <v>200</v>
      </c>
      <c r="C54" t="s">
        <v>198</v>
      </c>
      <c r="D54" t="s">
        <v>44</v>
      </c>
      <c r="E54">
        <v>15.4</v>
      </c>
      <c r="F54">
        <v>2</v>
      </c>
      <c r="G54">
        <v>-0.30874967269067899</v>
      </c>
      <c r="H54">
        <v>3.7431255670881498</v>
      </c>
      <c r="I54">
        <v>2.1531346941120502</v>
      </c>
      <c r="J54">
        <v>0.49568497409101397</v>
      </c>
      <c r="K54">
        <v>-0.87848174220527697</v>
      </c>
      <c r="L54">
        <v>-0.54159493012662097</v>
      </c>
      <c r="M54">
        <v>0.98254373941149498</v>
      </c>
      <c r="N54">
        <v>-0.74063910070711803</v>
      </c>
      <c r="O54">
        <v>-0.67540113854430905</v>
      </c>
      <c r="P54">
        <v>-0.98108054126397304</v>
      </c>
      <c r="Q54">
        <v>0.557654739259965</v>
      </c>
      <c r="R54">
        <v>2.2685292526352501</v>
      </c>
      <c r="S54">
        <v>-0.41880790191981299</v>
      </c>
      <c r="T54">
        <v>-0.38759452694552399</v>
      </c>
      <c r="U54" t="s">
        <v>8</v>
      </c>
      <c r="V54" t="s">
        <v>240</v>
      </c>
    </row>
    <row r="55" spans="1:22" x14ac:dyDescent="0.25">
      <c r="A55" t="s">
        <v>261</v>
      </c>
      <c r="B55" t="s">
        <v>262</v>
      </c>
      <c r="C55" t="s">
        <v>260</v>
      </c>
      <c r="D55" t="s">
        <v>44</v>
      </c>
      <c r="E55">
        <v>0.5</v>
      </c>
      <c r="F55">
        <v>1</v>
      </c>
      <c r="G55">
        <v>-0.30874967269067899</v>
      </c>
      <c r="H55">
        <v>-0.264220628265046</v>
      </c>
      <c r="I55">
        <v>2.1531346941120502</v>
      </c>
      <c r="J55">
        <v>-0.56842135615871703</v>
      </c>
      <c r="K55">
        <v>0</v>
      </c>
      <c r="L55">
        <v>-0.54159493012662097</v>
      </c>
      <c r="M55">
        <v>0.98254373941149498</v>
      </c>
      <c r="N55">
        <v>-0.74063910070711803</v>
      </c>
      <c r="O55">
        <v>-0.67540113854430905</v>
      </c>
      <c r="P55">
        <v>-0.29112743760141002</v>
      </c>
      <c r="Q55">
        <v>0.90292303834193999</v>
      </c>
      <c r="R55">
        <v>-1.4644217063860101</v>
      </c>
      <c r="S55">
        <v>0.25836848534527102</v>
      </c>
      <c r="T55">
        <v>-0.38759452694552399</v>
      </c>
      <c r="U55" t="s">
        <v>4</v>
      </c>
      <c r="V55" t="s">
        <v>240</v>
      </c>
    </row>
    <row r="56" spans="1:22" x14ac:dyDescent="0.25">
      <c r="A56" t="s">
        <v>199</v>
      </c>
      <c r="B56" t="s">
        <v>200</v>
      </c>
      <c r="C56" t="s">
        <v>198</v>
      </c>
      <c r="D56" t="s">
        <v>44</v>
      </c>
      <c r="E56">
        <v>2.4</v>
      </c>
      <c r="F56">
        <v>1</v>
      </c>
      <c r="G56">
        <v>-0.30874967269067899</v>
      </c>
      <c r="H56">
        <v>3.7431255670881498</v>
      </c>
      <c r="I56">
        <v>2.1531346941120502</v>
      </c>
      <c r="J56">
        <v>0.49568497409101397</v>
      </c>
      <c r="K56">
        <v>-0.87848174220527697</v>
      </c>
      <c r="L56">
        <v>-0.54159493012662097</v>
      </c>
      <c r="M56">
        <v>0.98254373941149498</v>
      </c>
      <c r="N56">
        <v>-0.74063910070711803</v>
      </c>
      <c r="O56">
        <v>-0.67540113854430905</v>
      </c>
      <c r="P56">
        <v>-0.98108054126397304</v>
      </c>
      <c r="Q56">
        <v>0.557654739259965</v>
      </c>
      <c r="R56">
        <v>2.2685292526352501</v>
      </c>
      <c r="S56">
        <v>-0.41880790191981299</v>
      </c>
      <c r="T56">
        <v>-0.38759452694552399</v>
      </c>
      <c r="U56" t="s">
        <v>8</v>
      </c>
      <c r="V56" t="s">
        <v>57</v>
      </c>
    </row>
    <row r="57" spans="1:22" x14ac:dyDescent="0.25">
      <c r="A57" t="s">
        <v>199</v>
      </c>
      <c r="B57" t="s">
        <v>200</v>
      </c>
      <c r="C57" t="s">
        <v>198</v>
      </c>
      <c r="D57" t="s">
        <v>44</v>
      </c>
      <c r="E57">
        <v>1.2</v>
      </c>
      <c r="F57">
        <v>1</v>
      </c>
      <c r="G57">
        <v>-0.30874967269067899</v>
      </c>
      <c r="H57">
        <v>3.7431255670881498</v>
      </c>
      <c r="I57">
        <v>2.1531346941120502</v>
      </c>
      <c r="J57">
        <v>0.49568497409101397</v>
      </c>
      <c r="K57">
        <v>-0.87848174220527697</v>
      </c>
      <c r="L57">
        <v>-0.54159493012662097</v>
      </c>
      <c r="M57">
        <v>0.98254373941149498</v>
      </c>
      <c r="N57">
        <v>-0.74063910070711803</v>
      </c>
      <c r="O57">
        <v>-0.67540113854430905</v>
      </c>
      <c r="P57">
        <v>-0.98108054126397304</v>
      </c>
      <c r="Q57">
        <v>0.557654739259965</v>
      </c>
      <c r="R57">
        <v>2.2685292526352501</v>
      </c>
      <c r="S57">
        <v>-0.41880790191981299</v>
      </c>
      <c r="T57">
        <v>-0.38759452694552399</v>
      </c>
      <c r="U57" t="s">
        <v>4</v>
      </c>
      <c r="V57" t="s">
        <v>57</v>
      </c>
    </row>
    <row r="58" spans="1:22" x14ac:dyDescent="0.25">
      <c r="A58" t="s">
        <v>196</v>
      </c>
      <c r="B58" t="s">
        <v>197</v>
      </c>
      <c r="C58" t="s">
        <v>195</v>
      </c>
      <c r="D58" t="s">
        <v>44</v>
      </c>
      <c r="E58">
        <v>1070.06811710701</v>
      </c>
      <c r="F58">
        <v>3</v>
      </c>
      <c r="G58">
        <v>-0.30874967269067899</v>
      </c>
      <c r="H58">
        <v>-0.264220628265046</v>
      </c>
      <c r="I58">
        <v>-0.459335401410572</v>
      </c>
      <c r="J58">
        <v>-0.52763061349914397</v>
      </c>
      <c r="K58">
        <v>-0.75510043860629295</v>
      </c>
      <c r="L58">
        <v>-0.54159493012662097</v>
      </c>
      <c r="M58">
        <v>0.98254373941149498</v>
      </c>
      <c r="N58">
        <v>-0.74063910070711803</v>
      </c>
      <c r="O58">
        <v>-0.67540113854430905</v>
      </c>
      <c r="P58">
        <v>0.84308938820902302</v>
      </c>
      <c r="Q58">
        <v>5.13458702293745E-2</v>
      </c>
      <c r="R58">
        <v>2.29138074442618E-3</v>
      </c>
      <c r="S58">
        <v>1.34517530056246</v>
      </c>
      <c r="T58">
        <v>-0.38759452694552399</v>
      </c>
      <c r="U58" t="s">
        <v>4</v>
      </c>
      <c r="V58" t="s">
        <v>57</v>
      </c>
    </row>
    <row r="59" spans="1:22" x14ac:dyDescent="0.25">
      <c r="A59" t="s">
        <v>261</v>
      </c>
      <c r="B59" t="s">
        <v>262</v>
      </c>
      <c r="C59" t="s">
        <v>260</v>
      </c>
      <c r="D59" t="s">
        <v>44</v>
      </c>
      <c r="E59">
        <v>7.28</v>
      </c>
      <c r="F59">
        <v>1</v>
      </c>
      <c r="G59">
        <v>-0.30874967269067899</v>
      </c>
      <c r="H59">
        <v>-0.264220628265046</v>
      </c>
      <c r="I59">
        <v>2.1531346941120502</v>
      </c>
      <c r="J59">
        <v>-0.56842135615871703</v>
      </c>
      <c r="K59">
        <v>0</v>
      </c>
      <c r="L59">
        <v>-0.54159493012662097</v>
      </c>
      <c r="M59">
        <v>0.98254373941149498</v>
      </c>
      <c r="N59">
        <v>-0.74063910070711803</v>
      </c>
      <c r="O59">
        <v>-0.67540113854430905</v>
      </c>
      <c r="P59">
        <v>-0.29112743760141002</v>
      </c>
      <c r="Q59">
        <v>0.90292303834193999</v>
      </c>
      <c r="R59">
        <v>-1.4644217063860101</v>
      </c>
      <c r="S59">
        <v>0.25836848534527102</v>
      </c>
      <c r="T59">
        <v>-0.38759452694552399</v>
      </c>
      <c r="U59" t="s">
        <v>4</v>
      </c>
      <c r="V59" t="s">
        <v>57</v>
      </c>
    </row>
    <row r="60" spans="1:22" x14ac:dyDescent="0.25">
      <c r="A60" t="s">
        <v>196</v>
      </c>
      <c r="B60" t="s">
        <v>197</v>
      </c>
      <c r="C60" t="s">
        <v>195</v>
      </c>
      <c r="D60" t="s">
        <v>44</v>
      </c>
      <c r="E60">
        <v>1412.22110248579</v>
      </c>
      <c r="F60">
        <v>3</v>
      </c>
      <c r="G60">
        <v>-0.30874967269067899</v>
      </c>
      <c r="H60">
        <v>-0.264220628265046</v>
      </c>
      <c r="I60">
        <v>-0.459335401410572</v>
      </c>
      <c r="J60">
        <v>-0.52763061349914397</v>
      </c>
      <c r="K60">
        <v>-0.75510043860629295</v>
      </c>
      <c r="L60">
        <v>-0.54159493012662097</v>
      </c>
      <c r="M60">
        <v>0.98254373941149498</v>
      </c>
      <c r="N60">
        <v>-0.74063910070711803</v>
      </c>
      <c r="O60">
        <v>-0.67540113854430905</v>
      </c>
      <c r="P60">
        <v>0.84308938820902302</v>
      </c>
      <c r="Q60">
        <v>5.13458702293745E-2</v>
      </c>
      <c r="R60">
        <v>2.29138074442618E-3</v>
      </c>
      <c r="S60">
        <v>1.34517530056246</v>
      </c>
      <c r="T60">
        <v>-0.38759452694552399</v>
      </c>
      <c r="U60" t="s">
        <v>4</v>
      </c>
      <c r="V60" t="s">
        <v>54</v>
      </c>
    </row>
    <row r="61" spans="1:22" x14ac:dyDescent="0.25">
      <c r="A61" t="s">
        <v>196</v>
      </c>
      <c r="B61" t="s">
        <v>197</v>
      </c>
      <c r="C61" t="s">
        <v>195</v>
      </c>
      <c r="D61" t="s">
        <v>44</v>
      </c>
      <c r="E61">
        <v>1322.1751365797199</v>
      </c>
      <c r="F61">
        <v>3</v>
      </c>
      <c r="G61">
        <v>-0.30874967269067899</v>
      </c>
      <c r="H61">
        <v>-0.264220628265046</v>
      </c>
      <c r="I61">
        <v>-0.459335401410572</v>
      </c>
      <c r="J61">
        <v>-0.52763061349914397</v>
      </c>
      <c r="K61">
        <v>-0.75510043860629295</v>
      </c>
      <c r="L61">
        <v>-0.54159493012662097</v>
      </c>
      <c r="M61">
        <v>0.98254373941149498</v>
      </c>
      <c r="N61">
        <v>-0.74063910070711803</v>
      </c>
      <c r="O61">
        <v>-0.67540113854430905</v>
      </c>
      <c r="P61">
        <v>0.84308938820902302</v>
      </c>
      <c r="Q61">
        <v>5.13458702293745E-2</v>
      </c>
      <c r="R61">
        <v>2.29138074442618E-3</v>
      </c>
      <c r="S61">
        <v>1.34517530056246</v>
      </c>
      <c r="T61">
        <v>-0.38759452694552399</v>
      </c>
      <c r="U61" t="s">
        <v>8</v>
      </c>
      <c r="V61" t="s">
        <v>54</v>
      </c>
    </row>
    <row r="62" spans="1:22" x14ac:dyDescent="0.25">
      <c r="A62" t="s">
        <v>261</v>
      </c>
      <c r="B62" t="s">
        <v>262</v>
      </c>
      <c r="C62" t="s">
        <v>260</v>
      </c>
      <c r="D62" t="s">
        <v>44</v>
      </c>
      <c r="E62">
        <v>10.9956969780736</v>
      </c>
      <c r="F62">
        <v>1</v>
      </c>
      <c r="G62">
        <v>-0.30874967269067899</v>
      </c>
      <c r="H62">
        <v>-0.264220628265046</v>
      </c>
      <c r="I62">
        <v>2.1531346941120502</v>
      </c>
      <c r="J62">
        <v>-0.56842135615871703</v>
      </c>
      <c r="K62">
        <v>0</v>
      </c>
      <c r="L62">
        <v>-0.54159493012662097</v>
      </c>
      <c r="M62">
        <v>0.98254373941149498</v>
      </c>
      <c r="N62">
        <v>-0.74063910070711803</v>
      </c>
      <c r="O62">
        <v>-0.67540113854430905</v>
      </c>
      <c r="P62">
        <v>-0.29112743760141002</v>
      </c>
      <c r="Q62">
        <v>0.90292303834193999</v>
      </c>
      <c r="R62">
        <v>-1.4644217063860101</v>
      </c>
      <c r="S62">
        <v>0.25836848534527102</v>
      </c>
      <c r="T62">
        <v>-0.38759452694552399</v>
      </c>
      <c r="U62" t="s">
        <v>8</v>
      </c>
      <c r="V62" t="s">
        <v>54</v>
      </c>
    </row>
    <row r="63" spans="1:22" x14ac:dyDescent="0.25">
      <c r="A63" t="s">
        <v>196</v>
      </c>
      <c r="B63" t="s">
        <v>197</v>
      </c>
      <c r="C63" t="s">
        <v>195</v>
      </c>
      <c r="D63" t="s">
        <v>44</v>
      </c>
      <c r="E63">
        <v>1984.05639753676</v>
      </c>
      <c r="F63">
        <v>4</v>
      </c>
      <c r="G63">
        <v>-0.30874967269067899</v>
      </c>
      <c r="H63">
        <v>-0.264220628265046</v>
      </c>
      <c r="I63">
        <v>-0.459335401410572</v>
      </c>
      <c r="J63">
        <v>-0.52763061349914397</v>
      </c>
      <c r="K63">
        <v>-0.75510043860629295</v>
      </c>
      <c r="L63">
        <v>-0.54159493012662097</v>
      </c>
      <c r="M63">
        <v>0.98254373941149498</v>
      </c>
      <c r="N63">
        <v>-0.74063910070711803</v>
      </c>
      <c r="O63">
        <v>-0.67540113854430905</v>
      </c>
      <c r="P63">
        <v>0.84308938820902302</v>
      </c>
      <c r="Q63">
        <v>5.13458702293745E-2</v>
      </c>
      <c r="R63">
        <v>2.29138074442618E-3</v>
      </c>
      <c r="S63">
        <v>1.34517530056246</v>
      </c>
      <c r="T63">
        <v>-0.38759452694552399</v>
      </c>
      <c r="U63" t="s">
        <v>8</v>
      </c>
      <c r="V63" t="s">
        <v>57</v>
      </c>
    </row>
    <row r="64" spans="1:22" x14ac:dyDescent="0.25">
      <c r="A64" t="s">
        <v>205</v>
      </c>
      <c r="B64" t="s">
        <v>206</v>
      </c>
      <c r="C64" t="s">
        <v>204</v>
      </c>
      <c r="D64" t="s">
        <v>44</v>
      </c>
      <c r="E64">
        <v>784.92901938737896</v>
      </c>
      <c r="F64">
        <v>3</v>
      </c>
      <c r="G64">
        <v>-0.30874967269067899</v>
      </c>
      <c r="H64">
        <v>-0.264220628265046</v>
      </c>
      <c r="I64">
        <v>-0.459335401410572</v>
      </c>
      <c r="J64">
        <v>-0.51698955019664705</v>
      </c>
      <c r="K64">
        <v>-0.82542138884405503</v>
      </c>
      <c r="L64">
        <v>-0.54159493012662097</v>
      </c>
      <c r="M64">
        <v>0.98254373941149498</v>
      </c>
      <c r="N64">
        <v>-0.74063910070711803</v>
      </c>
      <c r="O64">
        <v>-0.67540113854430905</v>
      </c>
      <c r="P64">
        <v>0.30830181802305801</v>
      </c>
      <c r="Q64">
        <v>0.283442961960023</v>
      </c>
      <c r="R64">
        <v>0.10562563906992201</v>
      </c>
      <c r="S64">
        <v>0.78013138210300403</v>
      </c>
      <c r="T64">
        <v>-0.38759452694552399</v>
      </c>
      <c r="U64" t="s">
        <v>8</v>
      </c>
      <c r="V64" t="s">
        <v>57</v>
      </c>
    </row>
    <row r="65" spans="1:22" x14ac:dyDescent="0.25">
      <c r="A65" t="s">
        <v>208</v>
      </c>
      <c r="B65" t="s">
        <v>209</v>
      </c>
      <c r="C65" t="s">
        <v>207</v>
      </c>
      <c r="D65" t="s">
        <v>44</v>
      </c>
      <c r="E65">
        <v>811.64750115346897</v>
      </c>
      <c r="F65">
        <v>3</v>
      </c>
      <c r="G65">
        <v>-0.30874967269067899</v>
      </c>
      <c r="H65">
        <v>-0.264220628265046</v>
      </c>
      <c r="I65">
        <v>-0.459335401410572</v>
      </c>
      <c r="J65">
        <v>-0.50989550799498196</v>
      </c>
      <c r="K65">
        <v>0</v>
      </c>
      <c r="L65">
        <v>-0.54159493012662097</v>
      </c>
      <c r="M65">
        <v>0.98254373941149498</v>
      </c>
      <c r="N65">
        <v>-0.74063910070711803</v>
      </c>
      <c r="O65">
        <v>-0.67540113854430905</v>
      </c>
      <c r="P65">
        <v>2.1150456426859101</v>
      </c>
      <c r="Q65">
        <v>-0.79460753403566997</v>
      </c>
      <c r="R65">
        <v>-0.461062806651034</v>
      </c>
      <c r="S65">
        <v>0.92341878677192502</v>
      </c>
      <c r="T65">
        <v>-0.38759452694552399</v>
      </c>
      <c r="U65" t="s">
        <v>8</v>
      </c>
      <c r="V65" t="s">
        <v>57</v>
      </c>
    </row>
    <row r="66" spans="1:22" x14ac:dyDescent="0.25">
      <c r="A66" t="s">
        <v>261</v>
      </c>
      <c r="B66" t="s">
        <v>262</v>
      </c>
      <c r="C66" t="s">
        <v>260</v>
      </c>
      <c r="D66" t="s">
        <v>44</v>
      </c>
      <c r="E66">
        <v>7.98</v>
      </c>
      <c r="F66">
        <v>1</v>
      </c>
      <c r="G66">
        <v>-0.30874967269067899</v>
      </c>
      <c r="H66">
        <v>-0.264220628265046</v>
      </c>
      <c r="I66">
        <v>2.1531346941120502</v>
      </c>
      <c r="J66">
        <v>-0.56842135615871703</v>
      </c>
      <c r="K66">
        <v>0</v>
      </c>
      <c r="L66">
        <v>-0.54159493012662097</v>
      </c>
      <c r="M66">
        <v>0.98254373941149498</v>
      </c>
      <c r="N66">
        <v>-0.74063910070711803</v>
      </c>
      <c r="O66">
        <v>-0.67540113854430905</v>
      </c>
      <c r="P66">
        <v>-0.29112743760141002</v>
      </c>
      <c r="Q66">
        <v>0.90292303834193999</v>
      </c>
      <c r="R66">
        <v>-1.4644217063860101</v>
      </c>
      <c r="S66">
        <v>0.25836848534527102</v>
      </c>
      <c r="T66">
        <v>-0.38759452694552399</v>
      </c>
      <c r="U66" t="s">
        <v>8</v>
      </c>
      <c r="V66" t="s">
        <v>57</v>
      </c>
    </row>
    <row r="67" spans="1:22" x14ac:dyDescent="0.25">
      <c r="A67" t="s">
        <v>261</v>
      </c>
      <c r="B67" t="s">
        <v>262</v>
      </c>
      <c r="C67" t="s">
        <v>260</v>
      </c>
      <c r="D67" t="s">
        <v>44</v>
      </c>
      <c r="E67">
        <v>1.3</v>
      </c>
      <c r="F67">
        <v>1</v>
      </c>
      <c r="G67">
        <v>-0.30874967269067899</v>
      </c>
      <c r="H67">
        <v>-0.264220628265046</v>
      </c>
      <c r="I67">
        <v>2.1531346941120502</v>
      </c>
      <c r="J67">
        <v>-0.56842135615871703</v>
      </c>
      <c r="K67">
        <v>0</v>
      </c>
      <c r="L67">
        <v>-0.54159493012662097</v>
      </c>
      <c r="M67">
        <v>0.98254373941149498</v>
      </c>
      <c r="N67">
        <v>-0.74063910070711803</v>
      </c>
      <c r="O67">
        <v>-0.67540113854430905</v>
      </c>
      <c r="P67">
        <v>-0.29112743760141002</v>
      </c>
      <c r="Q67">
        <v>0.90292303834193999</v>
      </c>
      <c r="R67">
        <v>-1.4644217063860101</v>
      </c>
      <c r="S67">
        <v>0.25836848534527102</v>
      </c>
      <c r="T67">
        <v>-0.38759452694552399</v>
      </c>
      <c r="U67" t="s">
        <v>8</v>
      </c>
      <c r="V67" t="s">
        <v>240</v>
      </c>
    </row>
    <row r="68" spans="1:22" x14ac:dyDescent="0.25">
      <c r="A68" t="s">
        <v>193</v>
      </c>
      <c r="B68" t="s">
        <v>194</v>
      </c>
      <c r="C68" t="s">
        <v>192</v>
      </c>
      <c r="D68" t="s">
        <v>44</v>
      </c>
      <c r="E68">
        <v>5.0654966147499803</v>
      </c>
      <c r="F68">
        <v>1</v>
      </c>
      <c r="G68">
        <v>-0.30874967269067899</v>
      </c>
      <c r="H68">
        <v>-0.264220628265046</v>
      </c>
      <c r="I68">
        <v>-0.459335401410572</v>
      </c>
      <c r="J68">
        <v>2.7125731621112901</v>
      </c>
      <c r="K68">
        <v>2.6075195454903701</v>
      </c>
      <c r="L68">
        <v>-0.54159493012662097</v>
      </c>
      <c r="M68">
        <v>0.98254373941149498</v>
      </c>
      <c r="N68">
        <v>-0.74063910070711803</v>
      </c>
      <c r="O68">
        <v>-0.67540113854430905</v>
      </c>
      <c r="P68">
        <v>-5.8251907590521103E-2</v>
      </c>
      <c r="Q68">
        <v>-1.5083287215004499</v>
      </c>
      <c r="R68">
        <v>0.53726805731585103</v>
      </c>
      <c r="S68">
        <v>-0.86544597855535499</v>
      </c>
      <c r="T68">
        <v>-0.38759452694552399</v>
      </c>
      <c r="U68" t="s">
        <v>8</v>
      </c>
      <c r="V68" t="s">
        <v>54</v>
      </c>
    </row>
    <row r="69" spans="1:22" x14ac:dyDescent="0.25">
      <c r="A69" t="s">
        <v>221</v>
      </c>
      <c r="B69" t="s">
        <v>222</v>
      </c>
      <c r="C69" t="s">
        <v>220</v>
      </c>
      <c r="D69" t="s">
        <v>44</v>
      </c>
      <c r="E69">
        <v>4.8197084795725296</v>
      </c>
      <c r="F69">
        <v>1</v>
      </c>
      <c r="G69">
        <v>-0.30874967269067899</v>
      </c>
      <c r="H69">
        <v>-0.264220628265046</v>
      </c>
      <c r="I69">
        <v>-0.459335401410572</v>
      </c>
      <c r="J69">
        <v>-0.40880540662125697</v>
      </c>
      <c r="K69">
        <v>-0.89957802727660496</v>
      </c>
      <c r="L69">
        <v>-0.54159493012662097</v>
      </c>
      <c r="M69">
        <v>0.98254373941149498</v>
      </c>
      <c r="N69">
        <v>-0.74063910070711803</v>
      </c>
      <c r="O69">
        <v>-0.67540113854430905</v>
      </c>
      <c r="P69">
        <v>-6.7875875851501302E-2</v>
      </c>
      <c r="Q69">
        <v>0.62480992134845004</v>
      </c>
      <c r="R69">
        <v>1.2333372022470801</v>
      </c>
      <c r="S69">
        <v>0.54595086987311903</v>
      </c>
      <c r="T69">
        <v>-0.38759452694552399</v>
      </c>
      <c r="U69" t="s">
        <v>4</v>
      </c>
      <c r="V69" t="s">
        <v>57</v>
      </c>
    </row>
    <row r="70" spans="1:22" x14ac:dyDescent="0.25">
      <c r="A70" t="s">
        <v>261</v>
      </c>
      <c r="B70" t="s">
        <v>262</v>
      </c>
      <c r="C70" t="s">
        <v>260</v>
      </c>
      <c r="D70" t="s">
        <v>44</v>
      </c>
      <c r="E70">
        <v>6.0874612449546603</v>
      </c>
      <c r="F70">
        <v>1</v>
      </c>
      <c r="G70">
        <v>-0.30874967269067899</v>
      </c>
      <c r="H70">
        <v>-0.264220628265046</v>
      </c>
      <c r="I70">
        <v>2.1531346941120502</v>
      </c>
      <c r="J70">
        <v>-0.56842135615871703</v>
      </c>
      <c r="K70">
        <v>0</v>
      </c>
      <c r="L70">
        <v>-0.54159493012662097</v>
      </c>
      <c r="M70">
        <v>0.98254373941149498</v>
      </c>
      <c r="N70">
        <v>-0.74063910070711803</v>
      </c>
      <c r="O70">
        <v>-0.67540113854430905</v>
      </c>
      <c r="P70">
        <v>-0.29112743760141002</v>
      </c>
      <c r="Q70">
        <v>0.90292303834193999</v>
      </c>
      <c r="R70">
        <v>-1.4644217063860101</v>
      </c>
      <c r="S70">
        <v>0.25836848534527102</v>
      </c>
      <c r="T70">
        <v>-0.38759452694552399</v>
      </c>
      <c r="U70" t="s">
        <v>4</v>
      </c>
      <c r="V70" t="s">
        <v>54</v>
      </c>
    </row>
    <row r="71" spans="1:22" x14ac:dyDescent="0.25">
      <c r="A71" t="s">
        <v>193</v>
      </c>
      <c r="B71" t="s">
        <v>194</v>
      </c>
      <c r="C71" t="s">
        <v>192</v>
      </c>
      <c r="D71" t="s">
        <v>44</v>
      </c>
      <c r="E71">
        <v>1.50920220051729</v>
      </c>
      <c r="F71">
        <v>1</v>
      </c>
      <c r="G71">
        <v>-0.30874967269067899</v>
      </c>
      <c r="H71">
        <v>-0.264220628265046</v>
      </c>
      <c r="I71">
        <v>-0.459335401410572</v>
      </c>
      <c r="J71">
        <v>2.7125731621112901</v>
      </c>
      <c r="K71">
        <v>2.6075195454903701</v>
      </c>
      <c r="L71">
        <v>-0.54159493012662097</v>
      </c>
      <c r="M71">
        <v>0.98254373941149498</v>
      </c>
      <c r="N71">
        <v>-0.74063910070711803</v>
      </c>
      <c r="O71">
        <v>-0.67540113854430905</v>
      </c>
      <c r="P71">
        <v>-5.8251907590521103E-2</v>
      </c>
      <c r="Q71">
        <v>-1.5083287215004499</v>
      </c>
      <c r="R71">
        <v>0.53726805731585103</v>
      </c>
      <c r="S71">
        <v>-0.86544597855535499</v>
      </c>
      <c r="T71">
        <v>-0.38759452694552399</v>
      </c>
      <c r="U71" t="s">
        <v>4</v>
      </c>
      <c r="V71" t="s">
        <v>57</v>
      </c>
    </row>
    <row r="72" spans="1:22" x14ac:dyDescent="0.25">
      <c r="A72" t="s">
        <v>193</v>
      </c>
      <c r="B72" t="s">
        <v>194</v>
      </c>
      <c r="C72" t="s">
        <v>192</v>
      </c>
      <c r="D72" t="s">
        <v>44</v>
      </c>
      <c r="E72">
        <v>7.42</v>
      </c>
      <c r="F72">
        <v>1</v>
      </c>
      <c r="G72">
        <v>-0.30874967269067899</v>
      </c>
      <c r="H72">
        <v>-0.264220628265046</v>
      </c>
      <c r="I72">
        <v>-0.459335401410572</v>
      </c>
      <c r="J72">
        <v>2.7125731621112901</v>
      </c>
      <c r="K72">
        <v>2.6075195454903701</v>
      </c>
      <c r="L72">
        <v>-0.54159493012662097</v>
      </c>
      <c r="M72">
        <v>0.98254373941149498</v>
      </c>
      <c r="N72">
        <v>-0.74063910070711803</v>
      </c>
      <c r="O72">
        <v>-0.67540113854430905</v>
      </c>
      <c r="P72">
        <v>-5.8251907590521103E-2</v>
      </c>
      <c r="Q72">
        <v>-1.5083287215004499</v>
      </c>
      <c r="R72">
        <v>0.53726805731585103</v>
      </c>
      <c r="S72">
        <v>-0.86544597855535499</v>
      </c>
      <c r="T72">
        <v>-0.38759452694552399</v>
      </c>
      <c r="U72" t="s">
        <v>4</v>
      </c>
      <c r="V72" t="s">
        <v>54</v>
      </c>
    </row>
    <row r="73" spans="1:22" x14ac:dyDescent="0.25">
      <c r="A73" t="s">
        <v>202</v>
      </c>
      <c r="B73" t="s">
        <v>203</v>
      </c>
      <c r="C73" t="s">
        <v>201</v>
      </c>
      <c r="D73" t="s">
        <v>44</v>
      </c>
      <c r="E73">
        <v>618.43707688559698</v>
      </c>
      <c r="F73">
        <v>3</v>
      </c>
      <c r="G73">
        <v>-0.30874967269067899</v>
      </c>
      <c r="H73">
        <v>-0.264220628265046</v>
      </c>
      <c r="I73">
        <v>-0.459335401410572</v>
      </c>
      <c r="J73">
        <v>-0.29707424194503601</v>
      </c>
      <c r="K73">
        <v>0</v>
      </c>
      <c r="L73">
        <v>-0.54159493012662097</v>
      </c>
      <c r="M73">
        <v>0.98254373941149498</v>
      </c>
      <c r="N73">
        <v>-0.74063910070711803</v>
      </c>
      <c r="O73">
        <v>-0.67540113854430905</v>
      </c>
      <c r="P73">
        <v>-0.85577017722956294</v>
      </c>
      <c r="Q73">
        <v>-1.5516591509462201</v>
      </c>
      <c r="R73">
        <v>-0.59469348765291496</v>
      </c>
      <c r="S73">
        <v>-1.5481213645216201</v>
      </c>
      <c r="T73">
        <v>-0.38759452694552399</v>
      </c>
      <c r="U73" t="s">
        <v>8</v>
      </c>
      <c r="V73" t="s">
        <v>57</v>
      </c>
    </row>
    <row r="74" spans="1:22" x14ac:dyDescent="0.25">
      <c r="A74" t="s">
        <v>253</v>
      </c>
      <c r="B74" t="s">
        <v>43</v>
      </c>
      <c r="C74" t="s">
        <v>252</v>
      </c>
      <c r="D74" t="s">
        <v>44</v>
      </c>
      <c r="E74">
        <v>67.400000000000006</v>
      </c>
      <c r="F74">
        <v>2</v>
      </c>
      <c r="G74">
        <v>-0.30874967269067899</v>
      </c>
      <c r="H74">
        <v>-0.264220628265046</v>
      </c>
      <c r="I74">
        <v>-0.459335401410572</v>
      </c>
      <c r="J74">
        <v>0</v>
      </c>
      <c r="K74">
        <v>0</v>
      </c>
      <c r="L74">
        <v>-0.54159493012662097</v>
      </c>
      <c r="M74">
        <v>0.98254373941149498</v>
      </c>
      <c r="N74">
        <v>-0.74063910070711803</v>
      </c>
      <c r="O74">
        <v>-0.67540113854430905</v>
      </c>
      <c r="P74">
        <v>-0.15779804303703801</v>
      </c>
      <c r="Q74">
        <v>0.72788281553480805</v>
      </c>
      <c r="R74">
        <v>-0.31982191689408102</v>
      </c>
      <c r="S74">
        <v>-0.30695661562148502</v>
      </c>
      <c r="T74">
        <v>2.55166396905804</v>
      </c>
      <c r="U74" t="s">
        <v>4</v>
      </c>
      <c r="V74" t="s">
        <v>54</v>
      </c>
    </row>
    <row r="75" spans="1:22" x14ac:dyDescent="0.25">
      <c r="A75" t="s">
        <v>208</v>
      </c>
      <c r="B75" t="s">
        <v>209</v>
      </c>
      <c r="C75" t="s">
        <v>207</v>
      </c>
      <c r="D75" t="s">
        <v>44</v>
      </c>
      <c r="E75">
        <v>1024.6670508775001</v>
      </c>
      <c r="F75">
        <v>3</v>
      </c>
      <c r="G75">
        <v>-0.30874967269067899</v>
      </c>
      <c r="H75">
        <v>-0.264220628265046</v>
      </c>
      <c r="I75">
        <v>-0.459335401410572</v>
      </c>
      <c r="J75">
        <v>-0.50989550799498196</v>
      </c>
      <c r="K75">
        <v>0</v>
      </c>
      <c r="L75">
        <v>-0.54159493012662097</v>
      </c>
      <c r="M75">
        <v>0.98254373941149498</v>
      </c>
      <c r="N75">
        <v>-0.74063910070711803</v>
      </c>
      <c r="O75">
        <v>-0.67540113854430905</v>
      </c>
      <c r="P75">
        <v>2.1150456426859101</v>
      </c>
      <c r="Q75">
        <v>-0.79460753403566997</v>
      </c>
      <c r="R75">
        <v>-0.461062806651034</v>
      </c>
      <c r="S75">
        <v>0.92341878677192502</v>
      </c>
      <c r="T75">
        <v>-0.38759452694552399</v>
      </c>
      <c r="U75" t="s">
        <v>4</v>
      </c>
      <c r="V75" t="s">
        <v>54</v>
      </c>
    </row>
    <row r="76" spans="1:22" x14ac:dyDescent="0.25">
      <c r="A76" t="s">
        <v>191</v>
      </c>
      <c r="B76" t="s">
        <v>187</v>
      </c>
      <c r="C76" t="s">
        <v>190</v>
      </c>
      <c r="D76" t="s">
        <v>44</v>
      </c>
      <c r="E76">
        <v>9.2200000000000006</v>
      </c>
      <c r="F76">
        <v>1</v>
      </c>
      <c r="G76">
        <v>3.20327785416579</v>
      </c>
      <c r="H76">
        <v>-0.264220628265046</v>
      </c>
      <c r="I76">
        <v>-0.459335401410572</v>
      </c>
      <c r="J76">
        <v>-0.56842135615871703</v>
      </c>
      <c r="K76">
        <v>0</v>
      </c>
      <c r="L76">
        <v>-0.54159493012662097</v>
      </c>
      <c r="M76">
        <v>0.98254373941149498</v>
      </c>
      <c r="N76">
        <v>-0.74063910070711803</v>
      </c>
      <c r="O76">
        <v>-0.67540113854430905</v>
      </c>
      <c r="P76">
        <v>-1.52836528374985</v>
      </c>
      <c r="Q76">
        <v>1.3822825877101199</v>
      </c>
      <c r="R76">
        <v>-3.2568395104979601E-2</v>
      </c>
      <c r="S76">
        <v>-1.0748792097766999</v>
      </c>
      <c r="T76">
        <v>-0.38759452694552399</v>
      </c>
      <c r="U76" t="s">
        <v>8</v>
      </c>
      <c r="V76" t="s">
        <v>54</v>
      </c>
    </row>
    <row r="77" spans="1:22" x14ac:dyDescent="0.25">
      <c r="A77" t="s">
        <v>202</v>
      </c>
      <c r="B77" t="s">
        <v>203</v>
      </c>
      <c r="C77" t="s">
        <v>201</v>
      </c>
      <c r="D77" t="s">
        <v>44</v>
      </c>
      <c r="E77">
        <v>30.8954443276502</v>
      </c>
      <c r="F77">
        <v>2</v>
      </c>
      <c r="G77">
        <v>-0.30874967269067899</v>
      </c>
      <c r="H77">
        <v>-0.264220628265046</v>
      </c>
      <c r="I77">
        <v>-0.459335401410572</v>
      </c>
      <c r="J77">
        <v>-0.29707424194503601</v>
      </c>
      <c r="K77">
        <v>0</v>
      </c>
      <c r="L77">
        <v>-0.54159493012662097</v>
      </c>
      <c r="M77">
        <v>0.98254373941149498</v>
      </c>
      <c r="N77">
        <v>-0.74063910070711803</v>
      </c>
      <c r="O77">
        <v>-0.67540113854430905</v>
      </c>
      <c r="P77">
        <v>-0.85577017722956294</v>
      </c>
      <c r="Q77">
        <v>-1.5516591509462201</v>
      </c>
      <c r="R77">
        <v>-0.59469348765291496</v>
      </c>
      <c r="S77">
        <v>-1.5481213645216201</v>
      </c>
      <c r="T77">
        <v>-0.38759452694552399</v>
      </c>
      <c r="U77" t="s">
        <v>4</v>
      </c>
      <c r="V77" t="s">
        <v>54</v>
      </c>
    </row>
    <row r="78" spans="1:22" x14ac:dyDescent="0.25">
      <c r="A78" t="s">
        <v>205</v>
      </c>
      <c r="B78" t="s">
        <v>206</v>
      </c>
      <c r="C78" t="s">
        <v>204</v>
      </c>
      <c r="D78" t="s">
        <v>44</v>
      </c>
      <c r="E78">
        <v>153.6</v>
      </c>
      <c r="F78">
        <v>2</v>
      </c>
      <c r="G78">
        <v>-0.30874967269067899</v>
      </c>
      <c r="H78">
        <v>-0.264220628265046</v>
      </c>
      <c r="I78">
        <v>-0.459335401410572</v>
      </c>
      <c r="J78">
        <v>-0.51698955019664705</v>
      </c>
      <c r="K78">
        <v>-0.82542138884405503</v>
      </c>
      <c r="L78">
        <v>-0.54159493012662097</v>
      </c>
      <c r="M78">
        <v>0.98254373941149498</v>
      </c>
      <c r="N78">
        <v>-0.74063910070711803</v>
      </c>
      <c r="O78">
        <v>-0.67540113854430905</v>
      </c>
      <c r="P78">
        <v>0.30830181802305801</v>
      </c>
      <c r="Q78">
        <v>0.283442961960023</v>
      </c>
      <c r="R78">
        <v>0.10562563906992201</v>
      </c>
      <c r="S78">
        <v>0.78013138210300403</v>
      </c>
      <c r="T78">
        <v>-0.38759452694552399</v>
      </c>
      <c r="U78" t="s">
        <v>4</v>
      </c>
      <c r="V78" t="s">
        <v>54</v>
      </c>
    </row>
    <row r="79" spans="1:22" x14ac:dyDescent="0.25">
      <c r="A79" t="s">
        <v>208</v>
      </c>
      <c r="B79" t="s">
        <v>209</v>
      </c>
      <c r="C79" t="s">
        <v>207</v>
      </c>
      <c r="D79" t="s">
        <v>44</v>
      </c>
      <c r="E79">
        <v>681.09755022840295</v>
      </c>
      <c r="F79">
        <v>3</v>
      </c>
      <c r="G79">
        <v>-0.30874967269067899</v>
      </c>
      <c r="H79">
        <v>-0.264220628265046</v>
      </c>
      <c r="I79">
        <v>-0.459335401410572</v>
      </c>
      <c r="J79">
        <v>-0.50989550799498196</v>
      </c>
      <c r="K79">
        <v>0</v>
      </c>
      <c r="L79">
        <v>-0.54159493012662097</v>
      </c>
      <c r="M79">
        <v>0.98254373941149498</v>
      </c>
      <c r="N79">
        <v>-0.74063910070711803</v>
      </c>
      <c r="O79">
        <v>-0.67540113854430905</v>
      </c>
      <c r="P79">
        <v>2.1150456426859101</v>
      </c>
      <c r="Q79">
        <v>-0.79460753403566997</v>
      </c>
      <c r="R79">
        <v>-0.461062806651034</v>
      </c>
      <c r="S79">
        <v>0.92341878677192502</v>
      </c>
      <c r="T79">
        <v>-0.38759452694552399</v>
      </c>
      <c r="U79" t="s">
        <v>4</v>
      </c>
      <c r="V79" t="s">
        <v>57</v>
      </c>
    </row>
    <row r="80" spans="1:22" x14ac:dyDescent="0.25">
      <c r="A80" t="s">
        <v>208</v>
      </c>
      <c r="B80" t="s">
        <v>209</v>
      </c>
      <c r="C80" t="s">
        <v>207</v>
      </c>
      <c r="D80" t="s">
        <v>44</v>
      </c>
      <c r="E80">
        <v>864.96206393633395</v>
      </c>
      <c r="F80">
        <v>3</v>
      </c>
      <c r="G80">
        <v>-0.30874967269067899</v>
      </c>
      <c r="H80">
        <v>-0.264220628265046</v>
      </c>
      <c r="I80">
        <v>-0.459335401410572</v>
      </c>
      <c r="J80">
        <v>-0.50989550799498196</v>
      </c>
      <c r="K80">
        <v>0</v>
      </c>
      <c r="L80">
        <v>-0.54159493012662097</v>
      </c>
      <c r="M80">
        <v>0.98254373941149498</v>
      </c>
      <c r="N80">
        <v>-0.74063910070711803</v>
      </c>
      <c r="O80">
        <v>-0.67540113854430905</v>
      </c>
      <c r="P80">
        <v>2.1150456426859101</v>
      </c>
      <c r="Q80">
        <v>-0.79460753403566997</v>
      </c>
      <c r="R80">
        <v>-0.461062806651034</v>
      </c>
      <c r="S80">
        <v>0.92341878677192502</v>
      </c>
      <c r="T80">
        <v>-0.38759452694552399</v>
      </c>
      <c r="U80" t="s">
        <v>8</v>
      </c>
      <c r="V80" t="s">
        <v>54</v>
      </c>
    </row>
    <row r="81" spans="1:22" x14ac:dyDescent="0.25">
      <c r="A81" t="s">
        <v>253</v>
      </c>
      <c r="B81" t="s">
        <v>43</v>
      </c>
      <c r="C81" t="s">
        <v>252</v>
      </c>
      <c r="D81" t="s">
        <v>44</v>
      </c>
      <c r="E81">
        <v>22.6</v>
      </c>
      <c r="F81">
        <v>2</v>
      </c>
      <c r="G81">
        <v>-0.30874967269067899</v>
      </c>
      <c r="H81">
        <v>-0.264220628265046</v>
      </c>
      <c r="I81">
        <v>-0.459335401410572</v>
      </c>
      <c r="J81">
        <v>0</v>
      </c>
      <c r="K81">
        <v>0</v>
      </c>
      <c r="L81">
        <v>-0.54159493012662097</v>
      </c>
      <c r="M81">
        <v>0.98254373941149498</v>
      </c>
      <c r="N81">
        <v>-0.74063910070711803</v>
      </c>
      <c r="O81">
        <v>-0.67540113854430905</v>
      </c>
      <c r="P81">
        <v>-0.15779804303703801</v>
      </c>
      <c r="Q81">
        <v>0.72788281553480805</v>
      </c>
      <c r="R81">
        <v>-0.31982191689408102</v>
      </c>
      <c r="S81">
        <v>-0.30695661562148502</v>
      </c>
      <c r="T81">
        <v>2.55166396905804</v>
      </c>
      <c r="U81" t="s">
        <v>4</v>
      </c>
      <c r="V81" t="s">
        <v>57</v>
      </c>
    </row>
    <row r="82" spans="1:22" x14ac:dyDescent="0.25">
      <c r="A82" t="s">
        <v>221</v>
      </c>
      <c r="B82" t="s">
        <v>222</v>
      </c>
      <c r="C82" t="s">
        <v>220</v>
      </c>
      <c r="D82" t="s">
        <v>44</v>
      </c>
      <c r="E82">
        <v>195.05620837494601</v>
      </c>
      <c r="F82">
        <v>3</v>
      </c>
      <c r="G82">
        <v>-0.30874967269067899</v>
      </c>
      <c r="H82">
        <v>-0.264220628265046</v>
      </c>
      <c r="I82">
        <v>-0.459335401410572</v>
      </c>
      <c r="J82">
        <v>-0.40880540662125697</v>
      </c>
      <c r="K82">
        <v>-0.89957802727660496</v>
      </c>
      <c r="L82">
        <v>-0.54159493012662097</v>
      </c>
      <c r="M82">
        <v>0.98254373941149498</v>
      </c>
      <c r="N82">
        <v>-0.74063910070711803</v>
      </c>
      <c r="O82">
        <v>-0.67540113854430905</v>
      </c>
      <c r="P82">
        <v>-6.7875875851501302E-2</v>
      </c>
      <c r="Q82">
        <v>0.62480992134845004</v>
      </c>
      <c r="R82">
        <v>1.2333372022470801</v>
      </c>
      <c r="S82">
        <v>0.54595086987311903</v>
      </c>
      <c r="T82">
        <v>-0.38759452694552399</v>
      </c>
      <c r="U82" t="s">
        <v>8</v>
      </c>
      <c r="V82" t="s">
        <v>57</v>
      </c>
    </row>
    <row r="83" spans="1:22" x14ac:dyDescent="0.25">
      <c r="A83" t="s">
        <v>191</v>
      </c>
      <c r="B83" t="s">
        <v>187</v>
      </c>
      <c r="C83" t="s">
        <v>190</v>
      </c>
      <c r="D83" t="s">
        <v>44</v>
      </c>
      <c r="E83">
        <v>1.76</v>
      </c>
      <c r="F83">
        <v>1</v>
      </c>
      <c r="G83">
        <v>3.20327785416579</v>
      </c>
      <c r="H83">
        <v>-0.264220628265046</v>
      </c>
      <c r="I83">
        <v>-0.459335401410572</v>
      </c>
      <c r="J83">
        <v>-0.56842135615871703</v>
      </c>
      <c r="K83">
        <v>0</v>
      </c>
      <c r="L83">
        <v>-0.54159493012662097</v>
      </c>
      <c r="M83">
        <v>0.98254373941149498</v>
      </c>
      <c r="N83">
        <v>-0.74063910070711803</v>
      </c>
      <c r="O83">
        <v>-0.67540113854430905</v>
      </c>
      <c r="P83">
        <v>-1.52836528374985</v>
      </c>
      <c r="Q83">
        <v>1.3822825877101199</v>
      </c>
      <c r="R83">
        <v>-3.2568395104979601E-2</v>
      </c>
      <c r="S83">
        <v>-1.0748792097766999</v>
      </c>
      <c r="T83">
        <v>-0.38759452694552399</v>
      </c>
      <c r="U83" t="s">
        <v>4</v>
      </c>
      <c r="V83" t="s">
        <v>54</v>
      </c>
    </row>
    <row r="84" spans="1:22" x14ac:dyDescent="0.25">
      <c r="A84" t="s">
        <v>205</v>
      </c>
      <c r="B84" t="s">
        <v>206</v>
      </c>
      <c r="C84" t="s">
        <v>204</v>
      </c>
      <c r="D84" t="s">
        <v>44</v>
      </c>
      <c r="E84">
        <v>153.525739876979</v>
      </c>
      <c r="F84">
        <v>2</v>
      </c>
      <c r="G84">
        <v>-0.30874967269067899</v>
      </c>
      <c r="H84">
        <v>-0.264220628265046</v>
      </c>
      <c r="I84">
        <v>-0.459335401410572</v>
      </c>
      <c r="J84">
        <v>-0.51698955019664705</v>
      </c>
      <c r="K84">
        <v>-0.82542138884405503</v>
      </c>
      <c r="L84">
        <v>-0.54159493012662097</v>
      </c>
      <c r="M84">
        <v>0.98254373941149498</v>
      </c>
      <c r="N84">
        <v>-0.74063910070711803</v>
      </c>
      <c r="O84">
        <v>-0.67540113854430905</v>
      </c>
      <c r="P84">
        <v>0.30830181802305801</v>
      </c>
      <c r="Q84">
        <v>0.283442961960023</v>
      </c>
      <c r="R84">
        <v>0.10562563906992201</v>
      </c>
      <c r="S84">
        <v>0.78013138210300403</v>
      </c>
      <c r="T84">
        <v>-0.38759452694552399</v>
      </c>
      <c r="U84" t="s">
        <v>4</v>
      </c>
      <c r="V84" t="s">
        <v>57</v>
      </c>
    </row>
    <row r="85" spans="1:22" x14ac:dyDescent="0.25">
      <c r="A85" t="s">
        <v>202</v>
      </c>
      <c r="B85" t="s">
        <v>203</v>
      </c>
      <c r="C85" t="s">
        <v>201</v>
      </c>
      <c r="D85" t="s">
        <v>44</v>
      </c>
      <c r="E85">
        <v>645.6</v>
      </c>
      <c r="F85">
        <v>3</v>
      </c>
      <c r="G85">
        <v>-0.30874967269067899</v>
      </c>
      <c r="H85">
        <v>-0.264220628265046</v>
      </c>
      <c r="I85">
        <v>-0.459335401410572</v>
      </c>
      <c r="J85">
        <v>-0.29707424194503601</v>
      </c>
      <c r="K85">
        <v>0</v>
      </c>
      <c r="L85">
        <v>-0.54159493012662097</v>
      </c>
      <c r="M85">
        <v>0.98254373941149498</v>
      </c>
      <c r="N85">
        <v>-0.74063910070711803</v>
      </c>
      <c r="O85">
        <v>-0.67540113854430905</v>
      </c>
      <c r="P85">
        <v>-0.85577017722956294</v>
      </c>
      <c r="Q85">
        <v>-1.5516591509462201</v>
      </c>
      <c r="R85">
        <v>-0.59469348765291496</v>
      </c>
      <c r="S85">
        <v>-1.5481213645216201</v>
      </c>
      <c r="T85">
        <v>-0.38759452694552399</v>
      </c>
      <c r="U85" t="s">
        <v>8</v>
      </c>
      <c r="V85" t="s">
        <v>54</v>
      </c>
    </row>
    <row r="86" spans="1:22" x14ac:dyDescent="0.25">
      <c r="A86" t="s">
        <v>221</v>
      </c>
      <c r="B86" t="s">
        <v>222</v>
      </c>
      <c r="C86" t="s">
        <v>220</v>
      </c>
      <c r="D86" t="s">
        <v>44</v>
      </c>
      <c r="E86">
        <v>204.08829314729499</v>
      </c>
      <c r="F86">
        <v>3</v>
      </c>
      <c r="G86">
        <v>-0.30874967269067899</v>
      </c>
      <c r="H86">
        <v>-0.264220628265046</v>
      </c>
      <c r="I86">
        <v>-0.459335401410572</v>
      </c>
      <c r="J86">
        <v>-0.40880540662125697</v>
      </c>
      <c r="K86">
        <v>-0.89957802727660496</v>
      </c>
      <c r="L86">
        <v>-0.54159493012662097</v>
      </c>
      <c r="M86">
        <v>0.98254373941149498</v>
      </c>
      <c r="N86">
        <v>-0.74063910070711803</v>
      </c>
      <c r="O86">
        <v>-0.67540113854430905</v>
      </c>
      <c r="P86">
        <v>-6.7875875851501302E-2</v>
      </c>
      <c r="Q86">
        <v>0.62480992134845004</v>
      </c>
      <c r="R86">
        <v>1.2333372022470801</v>
      </c>
      <c r="S86">
        <v>0.54595086987311903</v>
      </c>
      <c r="T86">
        <v>-0.38759452694552399</v>
      </c>
      <c r="U86" t="s">
        <v>8</v>
      </c>
      <c r="V86" t="s">
        <v>54</v>
      </c>
    </row>
    <row r="87" spans="1:22" x14ac:dyDescent="0.25">
      <c r="A87" t="s">
        <v>221</v>
      </c>
      <c r="B87" t="s">
        <v>222</v>
      </c>
      <c r="C87" t="s">
        <v>220</v>
      </c>
      <c r="D87" t="s">
        <v>44</v>
      </c>
      <c r="E87">
        <v>16.6742911333255</v>
      </c>
      <c r="F87">
        <v>2</v>
      </c>
      <c r="G87">
        <v>-0.30874967269067899</v>
      </c>
      <c r="H87">
        <v>-0.264220628265046</v>
      </c>
      <c r="I87">
        <v>-0.459335401410572</v>
      </c>
      <c r="J87">
        <v>-0.40880540662125697</v>
      </c>
      <c r="K87">
        <v>-0.89957802727660496</v>
      </c>
      <c r="L87">
        <v>-0.54159493012662097</v>
      </c>
      <c r="M87">
        <v>0.98254373941149498</v>
      </c>
      <c r="N87">
        <v>-0.74063910070711803</v>
      </c>
      <c r="O87">
        <v>-0.67540113854430905</v>
      </c>
      <c r="P87">
        <v>-6.7875875851501302E-2</v>
      </c>
      <c r="Q87">
        <v>0.62480992134845004</v>
      </c>
      <c r="R87">
        <v>1.2333372022470801</v>
      </c>
      <c r="S87">
        <v>0.54595086987311903</v>
      </c>
      <c r="T87">
        <v>-0.38759452694552399</v>
      </c>
      <c r="U87" t="s">
        <v>4</v>
      </c>
      <c r="V87" t="s">
        <v>54</v>
      </c>
    </row>
    <row r="88" spans="1:22" x14ac:dyDescent="0.25">
      <c r="A88" t="s">
        <v>202</v>
      </c>
      <c r="B88" t="s">
        <v>203</v>
      </c>
      <c r="C88" t="s">
        <v>201</v>
      </c>
      <c r="D88" t="s">
        <v>44</v>
      </c>
      <c r="E88">
        <v>34.210619697019297</v>
      </c>
      <c r="F88">
        <v>2</v>
      </c>
      <c r="G88">
        <v>-0.30874967269067899</v>
      </c>
      <c r="H88">
        <v>-0.264220628265046</v>
      </c>
      <c r="I88">
        <v>-0.459335401410572</v>
      </c>
      <c r="J88">
        <v>-0.29707424194503601</v>
      </c>
      <c r="K88">
        <v>0</v>
      </c>
      <c r="L88">
        <v>-0.54159493012662097</v>
      </c>
      <c r="M88">
        <v>0.98254373941149498</v>
      </c>
      <c r="N88">
        <v>-0.74063910070711803</v>
      </c>
      <c r="O88">
        <v>-0.67540113854430905</v>
      </c>
      <c r="P88">
        <v>-0.85577017722956294</v>
      </c>
      <c r="Q88">
        <v>-1.5516591509462201</v>
      </c>
      <c r="R88">
        <v>-0.59469348765291496</v>
      </c>
      <c r="S88">
        <v>-1.5481213645216201</v>
      </c>
      <c r="T88">
        <v>-0.38759452694552399</v>
      </c>
      <c r="U88" t="s">
        <v>4</v>
      </c>
      <c r="V88" t="s">
        <v>57</v>
      </c>
    </row>
    <row r="89" spans="1:22" x14ac:dyDescent="0.25">
      <c r="A89" t="s">
        <v>253</v>
      </c>
      <c r="B89" t="s">
        <v>43</v>
      </c>
      <c r="C89" t="s">
        <v>252</v>
      </c>
      <c r="D89" t="s">
        <v>44</v>
      </c>
      <c r="E89">
        <v>72.2</v>
      </c>
      <c r="F89">
        <v>2</v>
      </c>
      <c r="G89">
        <v>-0.30874967269067899</v>
      </c>
      <c r="H89">
        <v>-0.264220628265046</v>
      </c>
      <c r="I89">
        <v>-0.459335401410572</v>
      </c>
      <c r="J89">
        <v>0</v>
      </c>
      <c r="K89">
        <v>0</v>
      </c>
      <c r="L89">
        <v>-0.54159493012662097</v>
      </c>
      <c r="M89">
        <v>0.98254373941149498</v>
      </c>
      <c r="N89">
        <v>-0.74063910070711803</v>
      </c>
      <c r="O89">
        <v>-0.67540113854430905</v>
      </c>
      <c r="P89">
        <v>-0.15779804303703801</v>
      </c>
      <c r="Q89">
        <v>0.72788281553480805</v>
      </c>
      <c r="R89">
        <v>-0.31982191689408102</v>
      </c>
      <c r="S89">
        <v>-0.30695661562148502</v>
      </c>
      <c r="T89">
        <v>2.55166396905804</v>
      </c>
      <c r="U89" t="s">
        <v>8</v>
      </c>
      <c r="V89" t="s">
        <v>54</v>
      </c>
    </row>
    <row r="90" spans="1:22" x14ac:dyDescent="0.25">
      <c r="A90" t="s">
        <v>253</v>
      </c>
      <c r="B90" t="s">
        <v>43</v>
      </c>
      <c r="C90" t="s">
        <v>252</v>
      </c>
      <c r="D90" t="s">
        <v>44</v>
      </c>
      <c r="E90">
        <v>89.1</v>
      </c>
      <c r="F90">
        <v>2</v>
      </c>
      <c r="G90">
        <v>-0.30874967269067899</v>
      </c>
      <c r="H90">
        <v>-0.264220628265046</v>
      </c>
      <c r="I90">
        <v>-0.459335401410572</v>
      </c>
      <c r="J90">
        <v>0</v>
      </c>
      <c r="K90">
        <v>0</v>
      </c>
      <c r="L90">
        <v>-0.54159493012662097</v>
      </c>
      <c r="M90">
        <v>0.98254373941149498</v>
      </c>
      <c r="N90">
        <v>-0.74063910070711803</v>
      </c>
      <c r="O90">
        <v>-0.67540113854430905</v>
      </c>
      <c r="P90">
        <v>-0.15779804303703801</v>
      </c>
      <c r="Q90">
        <v>0.72788281553480805</v>
      </c>
      <c r="R90">
        <v>-0.31982191689408102</v>
      </c>
      <c r="S90">
        <v>-0.30695661562148502</v>
      </c>
      <c r="T90">
        <v>2.55166396905804</v>
      </c>
      <c r="U90" t="s">
        <v>8</v>
      </c>
      <c r="V90" t="s">
        <v>57</v>
      </c>
    </row>
    <row r="91" spans="1:22" x14ac:dyDescent="0.25">
      <c r="A91" t="s">
        <v>205</v>
      </c>
      <c r="B91" t="s">
        <v>206</v>
      </c>
      <c r="C91" t="s">
        <v>204</v>
      </c>
      <c r="D91" t="s">
        <v>44</v>
      </c>
      <c r="E91">
        <v>1309.68</v>
      </c>
      <c r="F91">
        <v>3</v>
      </c>
      <c r="G91">
        <v>-0.30874967269067899</v>
      </c>
      <c r="H91">
        <v>-0.264220628265046</v>
      </c>
      <c r="I91">
        <v>-0.459335401410572</v>
      </c>
      <c r="J91">
        <v>-0.51698955019664705</v>
      </c>
      <c r="K91">
        <v>-0.82542138884405503</v>
      </c>
      <c r="L91">
        <v>-0.54159493012662097</v>
      </c>
      <c r="M91">
        <v>0.98254373941149498</v>
      </c>
      <c r="N91">
        <v>-0.74063910070711803</v>
      </c>
      <c r="O91">
        <v>-0.67540113854430905</v>
      </c>
      <c r="P91">
        <v>0.30830181802305801</v>
      </c>
      <c r="Q91">
        <v>0.283442961960023</v>
      </c>
      <c r="R91">
        <v>0.10562563906992201</v>
      </c>
      <c r="S91">
        <v>0.78013138210300403</v>
      </c>
      <c r="T91">
        <v>-0.38759452694552399</v>
      </c>
      <c r="U91" t="s">
        <v>8</v>
      </c>
      <c r="V91" t="s">
        <v>54</v>
      </c>
    </row>
    <row r="92" spans="1:22" x14ac:dyDescent="0.25">
      <c r="A92" t="s">
        <v>193</v>
      </c>
      <c r="B92" t="s">
        <v>194</v>
      </c>
      <c r="C92" t="s">
        <v>192</v>
      </c>
      <c r="D92" t="s">
        <v>44</v>
      </c>
      <c r="E92">
        <v>3.6107209893952801</v>
      </c>
      <c r="F92">
        <v>1</v>
      </c>
      <c r="G92">
        <v>-0.30874967269067899</v>
      </c>
      <c r="H92">
        <v>-0.264220628265046</v>
      </c>
      <c r="I92">
        <v>-0.459335401410572</v>
      </c>
      <c r="J92">
        <v>2.7125731621112901</v>
      </c>
      <c r="K92">
        <v>2.6075195454903701</v>
      </c>
      <c r="L92">
        <v>-0.54159493012662097</v>
      </c>
      <c r="M92">
        <v>0.98254373941149498</v>
      </c>
      <c r="N92">
        <v>-0.74063910070711803</v>
      </c>
      <c r="O92">
        <v>-0.67540113854430905</v>
      </c>
      <c r="P92">
        <v>-5.8251907590521103E-2</v>
      </c>
      <c r="Q92">
        <v>-1.5083287215004499</v>
      </c>
      <c r="R92">
        <v>0.53726805731585103</v>
      </c>
      <c r="S92">
        <v>-0.86544597855535499</v>
      </c>
      <c r="T92">
        <v>-0.38759452694552399</v>
      </c>
      <c r="U92" t="s">
        <v>8</v>
      </c>
      <c r="V92" t="s">
        <v>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02747-0E37-490E-A3C7-09324FC6F2BB}">
  <dimension ref="A1:F21"/>
  <sheetViews>
    <sheetView tabSelected="1" zoomScaleNormal="100" workbookViewId="0">
      <selection activeCell="F21" sqref="A1:F21"/>
    </sheetView>
  </sheetViews>
  <sheetFormatPr defaultRowHeight="15" x14ac:dyDescent="0.25"/>
  <cols>
    <col min="1" max="1" width="15.7109375" customWidth="1"/>
    <col min="2" max="2" width="25.7109375" customWidth="1"/>
    <col min="3" max="3" width="11.7109375" customWidth="1"/>
    <col min="4" max="4" width="11.5703125" customWidth="1"/>
    <col min="5" max="5" width="10.7109375" customWidth="1"/>
    <col min="6" max="6" width="11.28515625" customWidth="1"/>
  </cols>
  <sheetData>
    <row r="1" spans="1:6" ht="18.75" customHeight="1" thickBot="1" x14ac:dyDescent="0.3">
      <c r="A1" s="151" t="s">
        <v>415</v>
      </c>
      <c r="B1" s="151"/>
      <c r="C1" s="151"/>
      <c r="D1" s="151"/>
      <c r="E1" s="151"/>
      <c r="F1" s="151"/>
    </row>
    <row r="2" spans="1:6" ht="48" thickBot="1" x14ac:dyDescent="0.3">
      <c r="A2" s="110" t="s">
        <v>400</v>
      </c>
      <c r="B2" s="110" t="s">
        <v>451</v>
      </c>
      <c r="C2" s="110" t="s">
        <v>449</v>
      </c>
      <c r="D2" s="110" t="s">
        <v>402</v>
      </c>
      <c r="E2" s="110" t="s">
        <v>403</v>
      </c>
      <c r="F2" s="110" t="s">
        <v>404</v>
      </c>
    </row>
    <row r="3" spans="1:6" ht="30.75" x14ac:dyDescent="0.25">
      <c r="A3" s="111" t="s">
        <v>405</v>
      </c>
      <c r="B3" s="59" t="s">
        <v>452</v>
      </c>
      <c r="C3" s="112">
        <v>45.45</v>
      </c>
      <c r="D3" s="113">
        <v>284234.09999999998</v>
      </c>
      <c r="E3" s="112">
        <v>2800</v>
      </c>
      <c r="F3" s="113">
        <v>1100000</v>
      </c>
    </row>
    <row r="4" spans="1:6" ht="30" customHeight="1" x14ac:dyDescent="0.25">
      <c r="A4" s="153" t="s">
        <v>406</v>
      </c>
      <c r="B4" s="114" t="s">
        <v>407</v>
      </c>
      <c r="C4" s="155">
        <v>100</v>
      </c>
      <c r="D4" s="114">
        <v>400.1</v>
      </c>
      <c r="E4" s="114">
        <v>214</v>
      </c>
      <c r="F4" s="114">
        <v>532</v>
      </c>
    </row>
    <row r="5" spans="1:6" ht="30" x14ac:dyDescent="0.25">
      <c r="A5" s="153"/>
      <c r="B5" s="115" t="s">
        <v>408</v>
      </c>
      <c r="C5" s="153"/>
      <c r="D5" s="115">
        <v>-2.0699999999999998</v>
      </c>
      <c r="E5" s="115">
        <v>-8.09</v>
      </c>
      <c r="F5" s="115">
        <v>1.53</v>
      </c>
    </row>
    <row r="6" spans="1:6" x14ac:dyDescent="0.25">
      <c r="A6" s="153"/>
      <c r="B6" s="159" t="s">
        <v>460</v>
      </c>
      <c r="C6" s="153"/>
      <c r="D6" s="124">
        <v>4.16</v>
      </c>
      <c r="E6" s="124">
        <v>3.46</v>
      </c>
      <c r="F6" s="124">
        <v>6.33</v>
      </c>
    </row>
    <row r="7" spans="1:6" x14ac:dyDescent="0.25">
      <c r="A7" s="153"/>
      <c r="B7" s="159" t="s">
        <v>459</v>
      </c>
      <c r="C7" s="153"/>
      <c r="D7" s="115">
        <v>3.11</v>
      </c>
      <c r="E7" s="115">
        <v>1.43</v>
      </c>
      <c r="F7" s="115">
        <v>5.61</v>
      </c>
    </row>
    <row r="8" spans="1:6" ht="30" x14ac:dyDescent="0.25">
      <c r="A8" s="153"/>
      <c r="B8" s="115" t="s">
        <v>409</v>
      </c>
      <c r="C8" s="153"/>
      <c r="D8" s="115">
        <v>-2.68</v>
      </c>
      <c r="E8" s="115">
        <v>-4.9000000000000004</v>
      </c>
      <c r="F8" s="115">
        <v>-0.5</v>
      </c>
    </row>
    <row r="9" spans="1:6" x14ac:dyDescent="0.25">
      <c r="A9" s="154"/>
      <c r="B9" s="112" t="s">
        <v>410</v>
      </c>
      <c r="C9" s="154"/>
      <c r="D9" s="112" t="s">
        <v>411</v>
      </c>
      <c r="E9" s="112">
        <v>0</v>
      </c>
      <c r="F9" s="112">
        <v>1</v>
      </c>
    </row>
    <row r="10" spans="1:6" x14ac:dyDescent="0.25">
      <c r="A10" s="156" t="s">
        <v>416</v>
      </c>
      <c r="B10" s="116" t="s">
        <v>418</v>
      </c>
      <c r="C10" s="155">
        <v>100</v>
      </c>
      <c r="D10" s="116" t="s">
        <v>412</v>
      </c>
      <c r="E10" s="155">
        <v>0</v>
      </c>
      <c r="F10" s="155">
        <v>1</v>
      </c>
    </row>
    <row r="11" spans="1:6" x14ac:dyDescent="0.25">
      <c r="A11" s="156"/>
      <c r="B11" s="116" t="s">
        <v>417</v>
      </c>
      <c r="C11" s="156"/>
      <c r="D11" s="116" t="s">
        <v>413</v>
      </c>
      <c r="E11" s="156"/>
      <c r="F11" s="156"/>
    </row>
    <row r="12" spans="1:6" ht="15.75" thickBot="1" x14ac:dyDescent="0.3">
      <c r="A12" s="157"/>
      <c r="B12" s="117" t="s">
        <v>419</v>
      </c>
      <c r="C12" s="157"/>
      <c r="D12" s="117" t="s">
        <v>414</v>
      </c>
      <c r="E12" s="157"/>
      <c r="F12" s="157"/>
    </row>
    <row r="13" spans="1:6" ht="18.75" customHeight="1" thickBot="1" x14ac:dyDescent="0.3">
      <c r="A13" s="151" t="s">
        <v>420</v>
      </c>
      <c r="B13" s="151"/>
      <c r="C13" s="151"/>
      <c r="D13" s="151"/>
      <c r="E13" s="151"/>
      <c r="F13" s="151"/>
    </row>
    <row r="14" spans="1:6" ht="90.75" customHeight="1" thickBot="1" x14ac:dyDescent="0.3">
      <c r="A14" s="118" t="s">
        <v>0</v>
      </c>
      <c r="B14" s="118" t="s">
        <v>425</v>
      </c>
      <c r="C14" s="118" t="s">
        <v>426</v>
      </c>
      <c r="D14" s="118" t="s">
        <v>424</v>
      </c>
      <c r="E14" s="152" t="s">
        <v>450</v>
      </c>
      <c r="F14" s="152"/>
    </row>
    <row r="15" spans="1:6" x14ac:dyDescent="0.25">
      <c r="A15" s="116" t="s">
        <v>47</v>
      </c>
      <c r="B15" s="116">
        <v>7.0000000000000007E-2</v>
      </c>
      <c r="C15" s="116">
        <v>20</v>
      </c>
      <c r="D15" s="116">
        <v>2.23</v>
      </c>
      <c r="E15" s="116">
        <v>1.65</v>
      </c>
      <c r="F15" s="119"/>
    </row>
    <row r="16" spans="1:6" x14ac:dyDescent="0.25">
      <c r="A16" s="116" t="s">
        <v>46</v>
      </c>
      <c r="B16" s="116">
        <v>0.06</v>
      </c>
      <c r="C16" s="116">
        <v>20.010000000000002</v>
      </c>
      <c r="D16" s="116">
        <v>9.06</v>
      </c>
      <c r="E16" s="116">
        <v>2.4</v>
      </c>
      <c r="F16" s="119"/>
    </row>
    <row r="17" spans="1:6" x14ac:dyDescent="0.25">
      <c r="A17" s="116" t="s">
        <v>45</v>
      </c>
      <c r="B17" s="116">
        <v>0.06</v>
      </c>
      <c r="C17" s="116">
        <v>10.87</v>
      </c>
      <c r="D17" s="116">
        <v>22.22</v>
      </c>
      <c r="E17" s="116">
        <v>0.84</v>
      </c>
      <c r="F17" s="119"/>
    </row>
    <row r="18" spans="1:6" ht="15.75" thickBot="1" x14ac:dyDescent="0.3">
      <c r="A18" s="117" t="s">
        <v>44</v>
      </c>
      <c r="B18" s="117">
        <v>0.06</v>
      </c>
      <c r="C18" s="117">
        <v>12.1</v>
      </c>
      <c r="D18" s="117">
        <v>2.92</v>
      </c>
      <c r="E18" s="117">
        <v>3.26</v>
      </c>
      <c r="F18" s="120"/>
    </row>
    <row r="19" spans="1:6" ht="18.75" customHeight="1" thickBot="1" x14ac:dyDescent="0.3">
      <c r="A19" s="152" t="s">
        <v>421</v>
      </c>
      <c r="B19" s="152"/>
      <c r="C19" s="152"/>
      <c r="D19" s="152"/>
      <c r="E19" s="152"/>
      <c r="F19" s="152"/>
    </row>
    <row r="20" spans="1:6" ht="17.25" customHeight="1" x14ac:dyDescent="0.25">
      <c r="A20" s="121" t="s">
        <v>2</v>
      </c>
      <c r="B20" s="150" t="s">
        <v>422</v>
      </c>
      <c r="C20" s="150"/>
      <c r="D20" s="150"/>
      <c r="E20" s="150"/>
      <c r="F20" s="122"/>
    </row>
    <row r="21" spans="1:6" ht="17.25" thickBot="1" x14ac:dyDescent="0.3">
      <c r="A21" s="118" t="s">
        <v>51</v>
      </c>
      <c r="B21" s="149" t="s">
        <v>423</v>
      </c>
      <c r="C21" s="149"/>
      <c r="D21" s="149"/>
      <c r="E21" s="149"/>
      <c r="F21" s="123"/>
    </row>
  </sheetData>
  <mergeCells count="12">
    <mergeCell ref="B21:E21"/>
    <mergeCell ref="B20:E20"/>
    <mergeCell ref="A1:F1"/>
    <mergeCell ref="A13:F13"/>
    <mergeCell ref="A19:F19"/>
    <mergeCell ref="A4:A9"/>
    <mergeCell ref="C4:C9"/>
    <mergeCell ref="F10:F12"/>
    <mergeCell ref="E14:F14"/>
    <mergeCell ref="A10:A12"/>
    <mergeCell ref="C10:C12"/>
    <mergeCell ref="E10:E12"/>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147BF-4E4C-4D0C-B416-CE2F1A49036C}">
  <dimension ref="A1:H35"/>
  <sheetViews>
    <sheetView workbookViewId="0">
      <selection activeCell="A8" sqref="A8"/>
    </sheetView>
  </sheetViews>
  <sheetFormatPr defaultRowHeight="15" x14ac:dyDescent="0.25"/>
  <cols>
    <col min="1" max="1" width="35.7109375" customWidth="1"/>
    <col min="2" max="3" width="12.7109375" customWidth="1"/>
    <col min="6" max="6" width="29.5703125" customWidth="1"/>
  </cols>
  <sheetData>
    <row r="1" spans="1:8" ht="45.75" thickBot="1" x14ac:dyDescent="0.3">
      <c r="A1" s="103" t="s">
        <v>401</v>
      </c>
      <c r="B1" s="104" t="s">
        <v>428</v>
      </c>
      <c r="C1" s="104" t="s">
        <v>429</v>
      </c>
    </row>
    <row r="2" spans="1:8" ht="15" customHeight="1" x14ac:dyDescent="0.25">
      <c r="A2" s="105" t="s">
        <v>430</v>
      </c>
      <c r="B2" s="12">
        <v>11.346399999999999</v>
      </c>
      <c r="C2" s="12">
        <v>100</v>
      </c>
      <c r="G2" t="s">
        <v>453</v>
      </c>
      <c r="H2" t="s">
        <v>453</v>
      </c>
    </row>
    <row r="3" spans="1:8" ht="15" customHeight="1" x14ac:dyDescent="0.25">
      <c r="A3" s="105" t="s">
        <v>458</v>
      </c>
      <c r="B3" s="12">
        <v>7.0887000000000002</v>
      </c>
      <c r="C3" s="12">
        <v>61.649000000000001</v>
      </c>
      <c r="F3" t="s">
        <v>454</v>
      </c>
      <c r="G3" s="12">
        <v>11.346399999999999</v>
      </c>
      <c r="H3" s="12">
        <v>100</v>
      </c>
    </row>
    <row r="4" spans="1:8" ht="15" customHeight="1" x14ac:dyDescent="0.25">
      <c r="A4" s="105" t="s">
        <v>447</v>
      </c>
      <c r="B4" s="12">
        <v>6.41</v>
      </c>
      <c r="C4" s="12">
        <v>55.536000000000001</v>
      </c>
      <c r="F4" t="s">
        <v>455</v>
      </c>
      <c r="G4" s="12">
        <v>7.0887000000000002</v>
      </c>
      <c r="H4" s="12">
        <v>61.649000000000001</v>
      </c>
    </row>
    <row r="5" spans="1:8" ht="15" customHeight="1" x14ac:dyDescent="0.25">
      <c r="A5" s="105" t="s">
        <v>431</v>
      </c>
      <c r="B5" s="12">
        <v>5.2732999999999999</v>
      </c>
      <c r="C5" s="12">
        <v>45.298000000000002</v>
      </c>
      <c r="F5" t="s">
        <v>456</v>
      </c>
      <c r="G5" s="12">
        <v>6.41</v>
      </c>
      <c r="H5" s="12">
        <v>55.536000000000001</v>
      </c>
    </row>
    <row r="6" spans="1:8" ht="15" customHeight="1" x14ac:dyDescent="0.25">
      <c r="A6" s="105" t="s">
        <v>432</v>
      </c>
      <c r="B6" s="12">
        <v>4.4477000000000002</v>
      </c>
      <c r="C6" s="12">
        <v>37.860999999999997</v>
      </c>
      <c r="F6" t="s">
        <v>271</v>
      </c>
      <c r="G6" s="12">
        <v>5.2732999999999999</v>
      </c>
      <c r="H6" s="12">
        <v>45.298000000000002</v>
      </c>
    </row>
    <row r="7" spans="1:8" ht="15" customHeight="1" x14ac:dyDescent="0.25">
      <c r="A7" s="106" t="s">
        <v>434</v>
      </c>
      <c r="B7" s="12">
        <v>3.8523999999999998</v>
      </c>
      <c r="C7" s="12">
        <v>32.499000000000002</v>
      </c>
      <c r="F7" t="s">
        <v>274</v>
      </c>
      <c r="G7" s="12">
        <v>4.4477000000000002</v>
      </c>
      <c r="H7" s="12">
        <v>37.860999999999997</v>
      </c>
    </row>
    <row r="8" spans="1:8" ht="15" customHeight="1" x14ac:dyDescent="0.25">
      <c r="A8" s="105" t="s">
        <v>457</v>
      </c>
      <c r="B8" s="12">
        <v>3.6776</v>
      </c>
      <c r="C8" s="12">
        <v>30.923999999999999</v>
      </c>
      <c r="F8" t="s">
        <v>269</v>
      </c>
      <c r="G8" s="12">
        <v>3.8523999999999998</v>
      </c>
      <c r="H8" s="12">
        <v>32.499000000000002</v>
      </c>
    </row>
    <row r="9" spans="1:8" ht="15" customHeight="1" x14ac:dyDescent="0.25">
      <c r="A9" s="105" t="s">
        <v>437</v>
      </c>
      <c r="B9" s="12">
        <v>3.49</v>
      </c>
      <c r="C9" s="12">
        <v>29.234000000000002</v>
      </c>
      <c r="F9" t="s">
        <v>273</v>
      </c>
      <c r="G9" s="12">
        <v>3.6776</v>
      </c>
      <c r="H9" s="12">
        <v>30.923999999999999</v>
      </c>
    </row>
    <row r="10" spans="1:8" ht="15" customHeight="1" x14ac:dyDescent="0.25">
      <c r="A10" s="106" t="s">
        <v>436</v>
      </c>
      <c r="B10" s="12">
        <v>3.4597000000000002</v>
      </c>
      <c r="C10" s="12">
        <v>28.962</v>
      </c>
      <c r="F10" t="s">
        <v>211</v>
      </c>
      <c r="G10" s="12">
        <v>3.49</v>
      </c>
      <c r="H10" s="12">
        <v>29.234000000000002</v>
      </c>
    </row>
    <row r="11" spans="1:8" ht="15" customHeight="1" x14ac:dyDescent="0.25">
      <c r="A11" s="105" t="s">
        <v>435</v>
      </c>
      <c r="B11" s="12">
        <v>3.0293000000000001</v>
      </c>
      <c r="C11" s="12">
        <v>25.085000000000001</v>
      </c>
      <c r="F11" t="s">
        <v>268</v>
      </c>
      <c r="G11" s="12">
        <v>3.4597000000000002</v>
      </c>
      <c r="H11" s="12">
        <v>28.962</v>
      </c>
    </row>
    <row r="12" spans="1:8" ht="15" customHeight="1" x14ac:dyDescent="0.25">
      <c r="A12" s="106" t="s">
        <v>438</v>
      </c>
      <c r="B12" s="12">
        <v>2.9056000000000002</v>
      </c>
      <c r="C12" s="12">
        <v>23.97</v>
      </c>
      <c r="F12" t="s">
        <v>275</v>
      </c>
      <c r="G12" s="12">
        <v>3.0293000000000001</v>
      </c>
      <c r="H12" s="12">
        <v>25.085000000000001</v>
      </c>
    </row>
    <row r="13" spans="1:8" ht="15" customHeight="1" x14ac:dyDescent="0.25">
      <c r="A13" s="105" t="s">
        <v>448</v>
      </c>
      <c r="B13" s="12">
        <v>2.8944999999999999</v>
      </c>
      <c r="C13" s="12">
        <v>23.870999999999999</v>
      </c>
      <c r="F13" t="s">
        <v>270</v>
      </c>
      <c r="G13" s="12">
        <v>2.9056000000000002</v>
      </c>
      <c r="H13" s="12">
        <v>23.97</v>
      </c>
    </row>
    <row r="14" spans="1:8" ht="15" customHeight="1" x14ac:dyDescent="0.25">
      <c r="A14" s="105" t="s">
        <v>2</v>
      </c>
      <c r="B14" s="12">
        <v>2.5546000000000002</v>
      </c>
      <c r="C14" s="12">
        <v>20.809000000000001</v>
      </c>
      <c r="F14" t="s">
        <v>277</v>
      </c>
      <c r="G14" s="12">
        <v>2.8944999999999999</v>
      </c>
      <c r="H14" s="12">
        <v>23.870999999999999</v>
      </c>
    </row>
    <row r="15" spans="1:8" ht="15" customHeight="1" x14ac:dyDescent="0.25">
      <c r="A15" s="106" t="s">
        <v>444</v>
      </c>
      <c r="B15" s="12">
        <v>1.5327</v>
      </c>
      <c r="C15" s="12">
        <v>11.605</v>
      </c>
      <c r="F15" t="s">
        <v>2</v>
      </c>
      <c r="G15" s="12">
        <v>2.5546000000000002</v>
      </c>
      <c r="H15" s="12">
        <v>20.809000000000001</v>
      </c>
    </row>
    <row r="16" spans="1:8" ht="15" customHeight="1" x14ac:dyDescent="0.25">
      <c r="A16" s="106" t="s">
        <v>445</v>
      </c>
      <c r="B16" s="12">
        <v>0.48549999999999999</v>
      </c>
      <c r="C16" s="12">
        <v>2.1720000000000002</v>
      </c>
      <c r="F16" t="s">
        <v>266</v>
      </c>
      <c r="G16" s="12">
        <v>1.5327</v>
      </c>
      <c r="H16" s="12">
        <v>11.605</v>
      </c>
    </row>
    <row r="17" spans="1:8" ht="15" customHeight="1" thickBot="1" x14ac:dyDescent="0.3">
      <c r="A17" s="107" t="s">
        <v>446</v>
      </c>
      <c r="B17" s="158">
        <v>0.24440000000000001</v>
      </c>
      <c r="C17" s="158">
        <v>0</v>
      </c>
      <c r="F17" t="s">
        <v>264</v>
      </c>
      <c r="G17" s="12">
        <v>0.48549999999999999</v>
      </c>
      <c r="H17" s="12">
        <v>2.1720000000000002</v>
      </c>
    </row>
    <row r="18" spans="1:8" x14ac:dyDescent="0.25">
      <c r="A18" s="108"/>
      <c r="F18" t="s">
        <v>265</v>
      </c>
      <c r="G18" s="12">
        <v>0.24440000000000001</v>
      </c>
      <c r="H18" s="12">
        <v>0</v>
      </c>
    </row>
    <row r="19" spans="1:8" x14ac:dyDescent="0.25">
      <c r="A19" s="105" t="s">
        <v>430</v>
      </c>
    </row>
    <row r="20" spans="1:8" x14ac:dyDescent="0.25">
      <c r="A20" s="105" t="s">
        <v>447</v>
      </c>
    </row>
    <row r="21" spans="1:8" x14ac:dyDescent="0.25">
      <c r="A21" s="105" t="s">
        <v>431</v>
      </c>
    </row>
    <row r="22" spans="1:8" x14ac:dyDescent="0.25">
      <c r="A22" s="105" t="s">
        <v>432</v>
      </c>
    </row>
    <row r="23" spans="1:8" x14ac:dyDescent="0.25">
      <c r="A23" s="106" t="s">
        <v>433</v>
      </c>
    </row>
    <row r="24" spans="1:8" x14ac:dyDescent="0.25">
      <c r="A24" s="106" t="s">
        <v>434</v>
      </c>
    </row>
    <row r="25" spans="1:8" x14ac:dyDescent="0.25">
      <c r="A25" s="105" t="s">
        <v>457</v>
      </c>
    </row>
    <row r="26" spans="1:8" x14ac:dyDescent="0.25">
      <c r="A26" s="105" t="s">
        <v>448</v>
      </c>
    </row>
    <row r="27" spans="1:8" x14ac:dyDescent="0.25">
      <c r="A27" s="105" t="s">
        <v>435</v>
      </c>
    </row>
    <row r="28" spans="1:8" x14ac:dyDescent="0.25">
      <c r="A28" s="106" t="s">
        <v>436</v>
      </c>
    </row>
    <row r="29" spans="1:8" x14ac:dyDescent="0.25">
      <c r="A29" s="105" t="s">
        <v>437</v>
      </c>
    </row>
    <row r="30" spans="1:8" x14ac:dyDescent="0.25">
      <c r="A30" s="105" t="s">
        <v>2</v>
      </c>
    </row>
    <row r="31" spans="1:8" x14ac:dyDescent="0.25">
      <c r="A31" s="106" t="s">
        <v>438</v>
      </c>
    </row>
    <row r="32" spans="1:8" x14ac:dyDescent="0.25">
      <c r="A32" s="106" t="s">
        <v>444</v>
      </c>
    </row>
    <row r="33" spans="1:1" x14ac:dyDescent="0.25">
      <c r="A33" s="106" t="s">
        <v>445</v>
      </c>
    </row>
    <row r="34" spans="1:1" ht="15.75" thickBot="1" x14ac:dyDescent="0.3">
      <c r="A34" s="107" t="s">
        <v>446</v>
      </c>
    </row>
    <row r="35" spans="1:1" x14ac:dyDescent="0.25">
      <c r="A35" s="105" t="s">
        <v>458</v>
      </c>
    </row>
  </sheetData>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59B65-61AF-4003-A7EB-6847D4F0579F}">
  <dimension ref="A1:P138"/>
  <sheetViews>
    <sheetView topLeftCell="A22" workbookViewId="0">
      <selection activeCell="J35" sqref="J35"/>
    </sheetView>
  </sheetViews>
  <sheetFormatPr defaultRowHeight="15" x14ac:dyDescent="0.25"/>
  <cols>
    <col min="1" max="9" width="11.85546875" style="19" customWidth="1"/>
    <col min="10" max="10" width="16.85546875" style="19" customWidth="1"/>
    <col min="11" max="11" width="11.85546875" style="20" customWidth="1"/>
    <col min="12" max="16" width="11.85546875" style="19" customWidth="1"/>
    <col min="17" max="17" width="11.85546875" customWidth="1"/>
  </cols>
  <sheetData>
    <row r="1" spans="1:16" x14ac:dyDescent="0.25">
      <c r="A1" s="18" t="s">
        <v>188</v>
      </c>
      <c r="B1" s="18" t="s">
        <v>189</v>
      </c>
      <c r="C1" s="18" t="s">
        <v>210</v>
      </c>
      <c r="D1" s="19" t="s">
        <v>0</v>
      </c>
      <c r="E1" s="19" t="s">
        <v>2</v>
      </c>
      <c r="F1" s="19" t="s">
        <v>211</v>
      </c>
      <c r="G1" s="19" t="s">
        <v>172</v>
      </c>
      <c r="H1" s="19" t="s">
        <v>212</v>
      </c>
      <c r="I1" s="19" t="s">
        <v>213</v>
      </c>
      <c r="J1" s="19" t="s">
        <v>49</v>
      </c>
      <c r="K1" s="20" t="s">
        <v>214</v>
      </c>
      <c r="L1" s="19" t="s">
        <v>215</v>
      </c>
      <c r="M1" s="19" t="s">
        <v>216</v>
      </c>
      <c r="N1" s="19" t="s">
        <v>217</v>
      </c>
      <c r="O1" s="19" t="s">
        <v>218</v>
      </c>
      <c r="P1" s="19" t="s">
        <v>219</v>
      </c>
    </row>
    <row r="2" spans="1:16" x14ac:dyDescent="0.25">
      <c r="A2" s="21" t="s">
        <v>220</v>
      </c>
      <c r="B2" s="22" t="s">
        <v>221</v>
      </c>
      <c r="C2" s="23" t="s">
        <v>222</v>
      </c>
      <c r="D2" s="19" t="s">
        <v>46</v>
      </c>
      <c r="E2" s="19" t="s">
        <v>4</v>
      </c>
      <c r="F2" s="19" t="s">
        <v>57</v>
      </c>
      <c r="G2" s="24">
        <v>0.19800000000000001</v>
      </c>
      <c r="H2" s="19" t="s">
        <v>223</v>
      </c>
      <c r="J2" s="19" t="s">
        <v>169</v>
      </c>
      <c r="K2" s="25">
        <v>15470233</v>
      </c>
      <c r="L2" s="19">
        <v>1</v>
      </c>
      <c r="O2" s="19">
        <v>10</v>
      </c>
    </row>
    <row r="3" spans="1:16" x14ac:dyDescent="0.25">
      <c r="A3" s="21" t="s">
        <v>220</v>
      </c>
      <c r="B3" s="22" t="s">
        <v>221</v>
      </c>
      <c r="C3" s="23" t="s">
        <v>222</v>
      </c>
      <c r="D3" s="19" t="s">
        <v>46</v>
      </c>
      <c r="E3" s="19" t="s">
        <v>8</v>
      </c>
      <c r="F3" s="19" t="s">
        <v>57</v>
      </c>
      <c r="G3" s="24">
        <v>0.18099999999999999</v>
      </c>
      <c r="H3" s="19" t="s">
        <v>223</v>
      </c>
      <c r="J3" s="19" t="s">
        <v>169</v>
      </c>
      <c r="K3" s="25">
        <v>15470233</v>
      </c>
      <c r="L3" s="19">
        <v>1</v>
      </c>
      <c r="O3" s="19">
        <v>10</v>
      </c>
    </row>
    <row r="4" spans="1:16" x14ac:dyDescent="0.25">
      <c r="A4" s="21" t="s">
        <v>190</v>
      </c>
      <c r="B4" s="22" t="s">
        <v>191</v>
      </c>
      <c r="C4" s="23" t="s">
        <v>187</v>
      </c>
      <c r="D4" s="19" t="s">
        <v>46</v>
      </c>
      <c r="E4" s="19" t="s">
        <v>4</v>
      </c>
      <c r="F4" s="19" t="s">
        <v>57</v>
      </c>
      <c r="G4" s="24">
        <v>0.443</v>
      </c>
      <c r="H4" s="19" t="s">
        <v>223</v>
      </c>
      <c r="J4" s="19" t="s">
        <v>81</v>
      </c>
      <c r="K4" s="25">
        <v>18353799</v>
      </c>
      <c r="L4" s="19">
        <v>1</v>
      </c>
      <c r="O4" s="19">
        <v>10</v>
      </c>
    </row>
    <row r="5" spans="1:16" x14ac:dyDescent="0.25">
      <c r="A5" s="21" t="s">
        <v>190</v>
      </c>
      <c r="B5" s="22" t="s">
        <v>191</v>
      </c>
      <c r="C5" s="23" t="s">
        <v>187</v>
      </c>
      <c r="D5" s="19" t="s">
        <v>46</v>
      </c>
      <c r="E5" s="19" t="s">
        <v>8</v>
      </c>
      <c r="F5" s="19" t="s">
        <v>57</v>
      </c>
      <c r="G5" s="24">
        <v>0.52600000000000002</v>
      </c>
      <c r="H5" s="19" t="s">
        <v>223</v>
      </c>
      <c r="J5" s="19" t="s">
        <v>81</v>
      </c>
      <c r="K5" s="25">
        <v>18353799</v>
      </c>
      <c r="L5" s="19">
        <v>1</v>
      </c>
      <c r="O5" s="19">
        <v>10</v>
      </c>
    </row>
    <row r="6" spans="1:16" x14ac:dyDescent="0.25">
      <c r="A6" s="21" t="s">
        <v>190</v>
      </c>
      <c r="B6" s="22" t="s">
        <v>191</v>
      </c>
      <c r="C6" s="23" t="s">
        <v>187</v>
      </c>
      <c r="D6" s="19" t="s">
        <v>44</v>
      </c>
      <c r="E6" s="19" t="s">
        <v>4</v>
      </c>
      <c r="F6" s="19" t="s">
        <v>57</v>
      </c>
      <c r="G6" s="24">
        <v>0.187</v>
      </c>
      <c r="H6" s="19" t="s">
        <v>223</v>
      </c>
      <c r="J6" s="19" t="s">
        <v>81</v>
      </c>
      <c r="K6" s="25">
        <v>18353799</v>
      </c>
      <c r="L6" s="19">
        <v>1</v>
      </c>
      <c r="O6" s="19">
        <v>30</v>
      </c>
    </row>
    <row r="7" spans="1:16" x14ac:dyDescent="0.25">
      <c r="A7" s="21" t="s">
        <v>190</v>
      </c>
      <c r="B7" s="22" t="s">
        <v>191</v>
      </c>
      <c r="C7" s="23" t="s">
        <v>187</v>
      </c>
      <c r="D7" s="19" t="s">
        <v>44</v>
      </c>
      <c r="E7" s="19" t="s">
        <v>8</v>
      </c>
      <c r="F7" s="19" t="s">
        <v>57</v>
      </c>
      <c r="G7" s="24">
        <v>0.253</v>
      </c>
      <c r="H7" s="19" t="s">
        <v>223</v>
      </c>
      <c r="J7" s="19" t="s">
        <v>81</v>
      </c>
      <c r="K7" s="25">
        <v>18353799</v>
      </c>
      <c r="L7" s="19">
        <v>1</v>
      </c>
      <c r="O7" s="19">
        <v>30</v>
      </c>
    </row>
    <row r="8" spans="1:16" x14ac:dyDescent="0.25">
      <c r="A8" s="21" t="s">
        <v>190</v>
      </c>
      <c r="B8" s="22" t="s">
        <v>191</v>
      </c>
      <c r="C8" s="23" t="s">
        <v>187</v>
      </c>
      <c r="D8" s="19" t="s">
        <v>44</v>
      </c>
      <c r="E8" s="19" t="s">
        <v>4</v>
      </c>
      <c r="F8" s="19" t="s">
        <v>54</v>
      </c>
      <c r="G8" s="24">
        <v>0.17299999999999999</v>
      </c>
      <c r="H8" s="19" t="s">
        <v>223</v>
      </c>
      <c r="J8" s="19" t="s">
        <v>81</v>
      </c>
      <c r="K8" s="25">
        <v>18353799</v>
      </c>
      <c r="L8" s="19">
        <v>1</v>
      </c>
      <c r="O8" s="19">
        <v>30</v>
      </c>
    </row>
    <row r="9" spans="1:16" x14ac:dyDescent="0.25">
      <c r="A9" s="21" t="s">
        <v>190</v>
      </c>
      <c r="B9" s="22" t="s">
        <v>191</v>
      </c>
      <c r="C9" s="23" t="s">
        <v>187</v>
      </c>
      <c r="D9" s="19" t="s">
        <v>44</v>
      </c>
      <c r="E9" s="19" t="s">
        <v>8</v>
      </c>
      <c r="F9" s="19" t="s">
        <v>54</v>
      </c>
      <c r="G9" s="24">
        <v>0.20899999999999999</v>
      </c>
      <c r="H9" s="19" t="s">
        <v>223</v>
      </c>
      <c r="J9" s="19" t="s">
        <v>81</v>
      </c>
      <c r="K9" s="25">
        <v>18353799</v>
      </c>
      <c r="L9" s="19">
        <v>1</v>
      </c>
      <c r="O9" s="19">
        <v>30</v>
      </c>
    </row>
    <row r="10" spans="1:16" x14ac:dyDescent="0.25">
      <c r="A10" s="21" t="s">
        <v>190</v>
      </c>
      <c r="B10" s="22" t="s">
        <v>191</v>
      </c>
      <c r="C10" s="23" t="s">
        <v>187</v>
      </c>
      <c r="D10" s="19" t="s">
        <v>45</v>
      </c>
      <c r="E10" s="19" t="s">
        <v>4</v>
      </c>
      <c r="F10" s="19" t="s">
        <v>54</v>
      </c>
      <c r="G10" s="24">
        <v>0.13400000000000001</v>
      </c>
      <c r="H10" s="19" t="s">
        <v>223</v>
      </c>
      <c r="J10" s="19" t="s">
        <v>81</v>
      </c>
      <c r="K10" s="25">
        <v>18353799</v>
      </c>
      <c r="L10" s="19">
        <v>1</v>
      </c>
      <c r="O10" s="19">
        <v>30</v>
      </c>
    </row>
    <row r="11" spans="1:16" x14ac:dyDescent="0.25">
      <c r="A11" s="21" t="s">
        <v>190</v>
      </c>
      <c r="B11" s="22" t="s">
        <v>191</v>
      </c>
      <c r="C11" s="23" t="s">
        <v>187</v>
      </c>
      <c r="D11" s="19" t="s">
        <v>45</v>
      </c>
      <c r="E11" s="19" t="s">
        <v>8</v>
      </c>
      <c r="F11" s="19" t="s">
        <v>54</v>
      </c>
      <c r="G11" s="24">
        <v>0.19500000000000001</v>
      </c>
      <c r="H11" s="19" t="s">
        <v>223</v>
      </c>
      <c r="J11" s="19" t="s">
        <v>81</v>
      </c>
      <c r="K11" s="25">
        <v>18353799</v>
      </c>
      <c r="L11" s="19">
        <v>1</v>
      </c>
      <c r="O11" s="19">
        <v>30</v>
      </c>
    </row>
    <row r="12" spans="1:16" x14ac:dyDescent="0.25">
      <c r="A12" s="21" t="s">
        <v>207</v>
      </c>
      <c r="B12" s="22" t="s">
        <v>208</v>
      </c>
      <c r="C12" s="23" t="s">
        <v>209</v>
      </c>
      <c r="D12" s="19" t="s">
        <v>46</v>
      </c>
      <c r="E12" s="19" t="s">
        <v>4</v>
      </c>
      <c r="F12" s="19" t="s">
        <v>57</v>
      </c>
      <c r="G12" s="24">
        <v>0.27400000000000002</v>
      </c>
      <c r="H12" s="19" t="s">
        <v>223</v>
      </c>
      <c r="J12" s="19" t="s">
        <v>119</v>
      </c>
      <c r="K12" s="25">
        <v>18353799</v>
      </c>
      <c r="L12" s="19">
        <v>1</v>
      </c>
      <c r="O12" s="19">
        <v>2</v>
      </c>
    </row>
    <row r="13" spans="1:16" x14ac:dyDescent="0.25">
      <c r="A13" s="21" t="s">
        <v>207</v>
      </c>
      <c r="B13" s="22" t="s">
        <v>208</v>
      </c>
      <c r="C13" s="23" t="s">
        <v>209</v>
      </c>
      <c r="D13" s="19" t="s">
        <v>46</v>
      </c>
      <c r="E13" s="19" t="s">
        <v>8</v>
      </c>
      <c r="F13" s="19" t="s">
        <v>57</v>
      </c>
      <c r="G13" s="24">
        <v>0.20200000000000001</v>
      </c>
      <c r="H13" s="19" t="s">
        <v>223</v>
      </c>
      <c r="J13" s="19" t="s">
        <v>119</v>
      </c>
      <c r="K13" s="25">
        <v>18353799</v>
      </c>
      <c r="L13" s="19">
        <v>1</v>
      </c>
      <c r="O13" s="19">
        <v>2</v>
      </c>
    </row>
    <row r="14" spans="1:16" x14ac:dyDescent="0.25">
      <c r="A14" s="21" t="s">
        <v>207</v>
      </c>
      <c r="B14" s="22" t="s">
        <v>208</v>
      </c>
      <c r="C14" s="23" t="s">
        <v>209</v>
      </c>
      <c r="D14" s="19" t="s">
        <v>44</v>
      </c>
      <c r="E14" s="19" t="s">
        <v>4</v>
      </c>
      <c r="F14" s="19" t="s">
        <v>57</v>
      </c>
      <c r="G14" s="24">
        <v>0.58599999999999997</v>
      </c>
      <c r="H14" s="19" t="s">
        <v>223</v>
      </c>
      <c r="J14" s="19" t="s">
        <v>119</v>
      </c>
      <c r="K14" s="25">
        <v>18353799</v>
      </c>
      <c r="L14" s="19">
        <v>1</v>
      </c>
      <c r="O14" s="19">
        <v>2</v>
      </c>
    </row>
    <row r="15" spans="1:16" x14ac:dyDescent="0.25">
      <c r="A15" s="21" t="s">
        <v>207</v>
      </c>
      <c r="B15" s="22" t="s">
        <v>208</v>
      </c>
      <c r="C15" s="23" t="s">
        <v>209</v>
      </c>
      <c r="D15" s="19" t="s">
        <v>44</v>
      </c>
      <c r="E15" s="19" t="s">
        <v>8</v>
      </c>
      <c r="F15" s="19" t="s">
        <v>57</v>
      </c>
      <c r="G15" s="24">
        <v>0.64900000000000002</v>
      </c>
      <c r="H15" s="19" t="s">
        <v>223</v>
      </c>
      <c r="J15" s="19" t="s">
        <v>119</v>
      </c>
      <c r="K15" s="25">
        <v>18353799</v>
      </c>
      <c r="L15" s="19">
        <v>1</v>
      </c>
      <c r="O15" s="19">
        <v>2</v>
      </c>
    </row>
    <row r="16" spans="1:16" x14ac:dyDescent="0.25">
      <c r="A16" s="21" t="s">
        <v>207</v>
      </c>
      <c r="B16" s="22" t="s">
        <v>208</v>
      </c>
      <c r="C16" s="23" t="s">
        <v>209</v>
      </c>
      <c r="D16" s="19" t="s">
        <v>44</v>
      </c>
      <c r="E16" s="19" t="s">
        <v>4</v>
      </c>
      <c r="F16" s="19" t="s">
        <v>54</v>
      </c>
      <c r="G16" s="24">
        <v>0.52100000000000002</v>
      </c>
      <c r="H16" s="19" t="s">
        <v>223</v>
      </c>
      <c r="J16" s="19" t="s">
        <v>119</v>
      </c>
      <c r="K16" s="25">
        <v>18353799</v>
      </c>
      <c r="L16" s="19">
        <v>1</v>
      </c>
      <c r="O16" s="19">
        <v>2</v>
      </c>
    </row>
    <row r="17" spans="1:16" x14ac:dyDescent="0.25">
      <c r="A17" s="21" t="s">
        <v>207</v>
      </c>
      <c r="B17" s="22" t="s">
        <v>208</v>
      </c>
      <c r="C17" s="23" t="s">
        <v>209</v>
      </c>
      <c r="D17" s="19" t="s">
        <v>44</v>
      </c>
      <c r="E17" s="19" t="s">
        <v>8</v>
      </c>
      <c r="F17" s="19" t="s">
        <v>54</v>
      </c>
      <c r="G17" s="24">
        <v>0.76500000000000001</v>
      </c>
      <c r="H17" s="19" t="s">
        <v>223</v>
      </c>
      <c r="J17" s="19" t="s">
        <v>119</v>
      </c>
      <c r="K17" s="25">
        <v>18353799</v>
      </c>
      <c r="L17" s="19">
        <v>1</v>
      </c>
      <c r="O17" s="19">
        <v>2</v>
      </c>
    </row>
    <row r="18" spans="1:16" x14ac:dyDescent="0.25">
      <c r="A18" s="21" t="s">
        <v>207</v>
      </c>
      <c r="B18" s="22" t="s">
        <v>208</v>
      </c>
      <c r="C18" s="23" t="s">
        <v>209</v>
      </c>
      <c r="D18" s="19" t="s">
        <v>45</v>
      </c>
      <c r="E18" s="19" t="s">
        <v>4</v>
      </c>
      <c r="F18" s="19" t="s">
        <v>54</v>
      </c>
      <c r="G18" s="24">
        <v>0.26100000000000001</v>
      </c>
      <c r="H18" s="19" t="s">
        <v>223</v>
      </c>
      <c r="J18" s="19" t="s">
        <v>119</v>
      </c>
      <c r="K18" s="25">
        <v>18353799</v>
      </c>
      <c r="L18" s="19">
        <v>1</v>
      </c>
      <c r="O18" s="19">
        <v>20</v>
      </c>
    </row>
    <row r="19" spans="1:16" x14ac:dyDescent="0.25">
      <c r="A19" s="21" t="s">
        <v>207</v>
      </c>
      <c r="B19" s="22" t="s">
        <v>208</v>
      </c>
      <c r="C19" s="23" t="s">
        <v>209</v>
      </c>
      <c r="D19" s="19" t="s">
        <v>45</v>
      </c>
      <c r="E19" s="19" t="s">
        <v>8</v>
      </c>
      <c r="F19" s="19" t="s">
        <v>54</v>
      </c>
      <c r="G19" s="24">
        <v>0.26300000000000001</v>
      </c>
      <c r="H19" s="19" t="s">
        <v>223</v>
      </c>
      <c r="J19" s="19" t="s">
        <v>119</v>
      </c>
      <c r="K19" s="25">
        <v>18353799</v>
      </c>
      <c r="L19" s="19">
        <v>1</v>
      </c>
      <c r="O19" s="19">
        <v>20</v>
      </c>
    </row>
    <row r="20" spans="1:16" x14ac:dyDescent="0.25">
      <c r="A20" s="21" t="s">
        <v>220</v>
      </c>
      <c r="B20" s="22" t="s">
        <v>221</v>
      </c>
      <c r="C20" s="23" t="s">
        <v>222</v>
      </c>
      <c r="D20" s="19" t="s">
        <v>44</v>
      </c>
      <c r="E20" s="19" t="s">
        <v>8</v>
      </c>
      <c r="F20" s="26" t="s">
        <v>57</v>
      </c>
      <c r="G20" s="27">
        <v>114</v>
      </c>
      <c r="H20" s="19" t="s">
        <v>224</v>
      </c>
      <c r="I20" s="26">
        <v>5</v>
      </c>
      <c r="J20" s="26" t="s">
        <v>225</v>
      </c>
      <c r="K20" s="28">
        <v>31680603</v>
      </c>
      <c r="O20" s="19">
        <v>6</v>
      </c>
      <c r="P20" s="19" t="s">
        <v>226</v>
      </c>
    </row>
    <row r="21" spans="1:16" x14ac:dyDescent="0.25">
      <c r="A21" s="21" t="s">
        <v>220</v>
      </c>
      <c r="B21" s="22" t="s">
        <v>221</v>
      </c>
      <c r="C21" s="23" t="s">
        <v>222</v>
      </c>
      <c r="D21" s="19" t="s">
        <v>44</v>
      </c>
      <c r="E21" s="19" t="s">
        <v>4</v>
      </c>
      <c r="F21" s="26" t="s">
        <v>57</v>
      </c>
      <c r="G21" s="27">
        <v>108</v>
      </c>
      <c r="H21" s="19" t="s">
        <v>224</v>
      </c>
      <c r="I21" s="26">
        <v>24</v>
      </c>
      <c r="J21" s="26" t="s">
        <v>225</v>
      </c>
      <c r="K21" s="28">
        <v>31680603</v>
      </c>
      <c r="O21" s="19">
        <v>40</v>
      </c>
      <c r="P21" s="19" t="s">
        <v>226</v>
      </c>
    </row>
    <row r="22" spans="1:16" x14ac:dyDescent="0.25">
      <c r="A22" s="21" t="s">
        <v>220</v>
      </c>
      <c r="B22" s="22" t="s">
        <v>221</v>
      </c>
      <c r="C22" s="23" t="s">
        <v>222</v>
      </c>
      <c r="D22" s="19" t="s">
        <v>44</v>
      </c>
      <c r="E22" s="19" t="s">
        <v>4</v>
      </c>
      <c r="F22" s="26" t="s">
        <v>54</v>
      </c>
      <c r="G22" s="27">
        <v>73.599999999999994</v>
      </c>
      <c r="H22" s="19" t="s">
        <v>224</v>
      </c>
      <c r="I22" s="26">
        <v>20.6</v>
      </c>
      <c r="J22" s="26" t="s">
        <v>225</v>
      </c>
      <c r="K22" s="28">
        <v>31680603</v>
      </c>
      <c r="O22" s="19">
        <v>40</v>
      </c>
      <c r="P22" s="19" t="s">
        <v>226</v>
      </c>
    </row>
    <row r="23" spans="1:16" x14ac:dyDescent="0.25">
      <c r="A23" s="21" t="s">
        <v>220</v>
      </c>
      <c r="B23" s="22" t="s">
        <v>221</v>
      </c>
      <c r="C23" s="23" t="s">
        <v>222</v>
      </c>
      <c r="D23" s="19" t="s">
        <v>44</v>
      </c>
      <c r="E23" s="19" t="s">
        <v>4</v>
      </c>
      <c r="F23" s="26" t="s">
        <v>54</v>
      </c>
      <c r="G23" s="27">
        <v>130</v>
      </c>
      <c r="H23" s="19" t="s">
        <v>224</v>
      </c>
      <c r="I23" s="26">
        <v>24</v>
      </c>
      <c r="J23" s="26" t="s">
        <v>225</v>
      </c>
      <c r="K23" s="28">
        <v>31680603</v>
      </c>
      <c r="O23" s="19">
        <v>80</v>
      </c>
      <c r="P23" s="19" t="s">
        <v>226</v>
      </c>
    </row>
    <row r="24" spans="1:16" x14ac:dyDescent="0.25">
      <c r="A24" s="21" t="s">
        <v>220</v>
      </c>
      <c r="B24" s="22" t="s">
        <v>221</v>
      </c>
      <c r="C24" s="23" t="s">
        <v>222</v>
      </c>
      <c r="D24" s="19" t="s">
        <v>44</v>
      </c>
      <c r="E24" s="19" t="s">
        <v>4</v>
      </c>
      <c r="F24" s="26" t="s">
        <v>54</v>
      </c>
      <c r="G24" s="27">
        <v>272</v>
      </c>
      <c r="H24" s="19" t="s">
        <v>224</v>
      </c>
      <c r="I24" s="26">
        <v>1990</v>
      </c>
      <c r="J24" s="26" t="s">
        <v>225</v>
      </c>
      <c r="K24" s="28">
        <v>31680603</v>
      </c>
      <c r="O24" s="19">
        <v>320</v>
      </c>
      <c r="P24" s="19" t="s">
        <v>226</v>
      </c>
    </row>
    <row r="25" spans="1:16" x14ac:dyDescent="0.25">
      <c r="A25" s="21" t="s">
        <v>195</v>
      </c>
      <c r="B25" s="22" t="s">
        <v>196</v>
      </c>
      <c r="C25" s="23" t="s">
        <v>197</v>
      </c>
      <c r="D25" s="19" t="s">
        <v>44</v>
      </c>
      <c r="E25" s="19" t="s">
        <v>8</v>
      </c>
      <c r="F25" s="26" t="s">
        <v>57</v>
      </c>
      <c r="G25" s="27">
        <v>274</v>
      </c>
      <c r="H25" s="19" t="s">
        <v>224</v>
      </c>
      <c r="I25" s="26">
        <v>28</v>
      </c>
      <c r="J25" s="26" t="s">
        <v>225</v>
      </c>
      <c r="K25" s="28">
        <v>31680603</v>
      </c>
      <c r="O25" s="19">
        <v>2</v>
      </c>
      <c r="P25" s="19" t="s">
        <v>226</v>
      </c>
    </row>
    <row r="26" spans="1:16" x14ac:dyDescent="0.25">
      <c r="A26" s="21" t="s">
        <v>195</v>
      </c>
      <c r="B26" s="22" t="s">
        <v>196</v>
      </c>
      <c r="C26" s="23" t="s">
        <v>197</v>
      </c>
      <c r="D26" s="19" t="s">
        <v>44</v>
      </c>
      <c r="E26" s="19" t="s">
        <v>4</v>
      </c>
      <c r="F26" s="26" t="s">
        <v>57</v>
      </c>
      <c r="G26" s="27">
        <v>238</v>
      </c>
      <c r="H26" s="19" t="s">
        <v>224</v>
      </c>
      <c r="I26" s="26">
        <v>35</v>
      </c>
      <c r="J26" s="26" t="s">
        <v>225</v>
      </c>
      <c r="K26" s="28">
        <v>31680603</v>
      </c>
      <c r="O26" s="19">
        <v>2</v>
      </c>
      <c r="P26" s="19" t="s">
        <v>226</v>
      </c>
    </row>
    <row r="27" spans="1:16" x14ac:dyDescent="0.25">
      <c r="A27" s="21" t="s">
        <v>195</v>
      </c>
      <c r="B27" s="22" t="s">
        <v>196</v>
      </c>
      <c r="C27" s="23" t="s">
        <v>197</v>
      </c>
      <c r="D27" s="19" t="s">
        <v>44</v>
      </c>
      <c r="E27" s="19" t="s">
        <v>8</v>
      </c>
      <c r="F27" s="26" t="s">
        <v>54</v>
      </c>
      <c r="G27" s="27">
        <v>259</v>
      </c>
      <c r="H27" s="19" t="s">
        <v>224</v>
      </c>
      <c r="I27" s="26">
        <v>13</v>
      </c>
      <c r="J27" s="26" t="s">
        <v>225</v>
      </c>
      <c r="K27" s="28">
        <v>31680603</v>
      </c>
      <c r="O27" s="19">
        <v>2</v>
      </c>
      <c r="P27" s="19" t="s">
        <v>226</v>
      </c>
    </row>
    <row r="28" spans="1:16" x14ac:dyDescent="0.25">
      <c r="A28" s="21" t="s">
        <v>195</v>
      </c>
      <c r="B28" s="22" t="s">
        <v>196</v>
      </c>
      <c r="C28" s="23" t="s">
        <v>197</v>
      </c>
      <c r="D28" s="19" t="s">
        <v>44</v>
      </c>
      <c r="E28" s="19" t="s">
        <v>8</v>
      </c>
      <c r="F28" s="26" t="s">
        <v>54</v>
      </c>
      <c r="G28" s="27">
        <v>228</v>
      </c>
      <c r="H28" s="19" t="s">
        <v>224</v>
      </c>
      <c r="I28" s="26">
        <v>16</v>
      </c>
      <c r="J28" s="26" t="s">
        <v>225</v>
      </c>
      <c r="K28" s="28">
        <v>31680603</v>
      </c>
      <c r="O28" s="19">
        <v>10</v>
      </c>
      <c r="P28" s="19" t="s">
        <v>226</v>
      </c>
    </row>
    <row r="29" spans="1:16" x14ac:dyDescent="0.25">
      <c r="A29" s="21" t="s">
        <v>195</v>
      </c>
      <c r="B29" s="22" t="s">
        <v>196</v>
      </c>
      <c r="C29" s="23" t="s">
        <v>197</v>
      </c>
      <c r="D29" s="19" t="s">
        <v>44</v>
      </c>
      <c r="E29" s="19" t="s">
        <v>8</v>
      </c>
      <c r="F29" s="26" t="s">
        <v>54</v>
      </c>
      <c r="G29" s="27">
        <v>236</v>
      </c>
      <c r="H29" s="19" t="s">
        <v>224</v>
      </c>
      <c r="I29" s="26">
        <v>12</v>
      </c>
      <c r="J29" s="26" t="s">
        <v>225</v>
      </c>
      <c r="K29" s="28">
        <v>31680603</v>
      </c>
      <c r="O29" s="19">
        <v>20</v>
      </c>
      <c r="P29" s="19" t="s">
        <v>226</v>
      </c>
    </row>
    <row r="30" spans="1:16" x14ac:dyDescent="0.25">
      <c r="A30" s="21" t="s">
        <v>195</v>
      </c>
      <c r="B30" s="22" t="s">
        <v>196</v>
      </c>
      <c r="C30" s="23" t="s">
        <v>197</v>
      </c>
      <c r="D30" s="19" t="s">
        <v>44</v>
      </c>
      <c r="E30" s="19" t="s">
        <v>4</v>
      </c>
      <c r="F30" s="26" t="s">
        <v>54</v>
      </c>
      <c r="G30" s="27">
        <v>189</v>
      </c>
      <c r="H30" s="19" t="s">
        <v>224</v>
      </c>
      <c r="I30" s="26">
        <v>11</v>
      </c>
      <c r="J30" s="26" t="s">
        <v>225</v>
      </c>
      <c r="K30" s="28">
        <v>31680603</v>
      </c>
      <c r="O30" s="19">
        <v>2</v>
      </c>
      <c r="P30" s="19" t="s">
        <v>226</v>
      </c>
    </row>
    <row r="31" spans="1:16" x14ac:dyDescent="0.25">
      <c r="A31" s="21" t="s">
        <v>195</v>
      </c>
      <c r="B31" s="22" t="s">
        <v>196</v>
      </c>
      <c r="C31" s="23" t="s">
        <v>197</v>
      </c>
      <c r="D31" s="19" t="s">
        <v>44</v>
      </c>
      <c r="E31" s="19" t="s">
        <v>4</v>
      </c>
      <c r="F31" s="26" t="s">
        <v>54</v>
      </c>
      <c r="G31" s="27">
        <v>178</v>
      </c>
      <c r="H31" s="19" t="s">
        <v>224</v>
      </c>
      <c r="I31" s="26">
        <v>11</v>
      </c>
      <c r="J31" s="26" t="s">
        <v>225</v>
      </c>
      <c r="K31" s="28">
        <v>31680603</v>
      </c>
      <c r="O31" s="19">
        <v>10</v>
      </c>
      <c r="P31" s="19" t="s">
        <v>226</v>
      </c>
    </row>
    <row r="32" spans="1:16" x14ac:dyDescent="0.25">
      <c r="A32" s="21" t="s">
        <v>195</v>
      </c>
      <c r="B32" s="22" t="s">
        <v>196</v>
      </c>
      <c r="C32" s="23" t="s">
        <v>197</v>
      </c>
      <c r="D32" s="19" t="s">
        <v>44</v>
      </c>
      <c r="E32" s="19" t="s">
        <v>4</v>
      </c>
      <c r="F32" s="26" t="s">
        <v>54</v>
      </c>
      <c r="G32" s="27">
        <v>158</v>
      </c>
      <c r="H32" s="19" t="s">
        <v>224</v>
      </c>
      <c r="I32" s="26">
        <v>13</v>
      </c>
      <c r="J32" s="26" t="s">
        <v>225</v>
      </c>
      <c r="K32" s="28">
        <v>31680603</v>
      </c>
      <c r="O32" s="19">
        <v>20</v>
      </c>
      <c r="P32" s="19" t="s">
        <v>226</v>
      </c>
    </row>
    <row r="33" spans="1:16" x14ac:dyDescent="0.25">
      <c r="A33" s="21" t="s">
        <v>207</v>
      </c>
      <c r="B33" s="29" t="s">
        <v>208</v>
      </c>
      <c r="C33" s="23" t="s">
        <v>209</v>
      </c>
      <c r="D33" s="30" t="s">
        <v>44</v>
      </c>
      <c r="E33" s="30" t="s">
        <v>8</v>
      </c>
      <c r="F33" s="26" t="s">
        <v>57</v>
      </c>
      <c r="G33" s="27">
        <v>1120.2507939984669</v>
      </c>
      <c r="H33" s="19" t="s">
        <v>224</v>
      </c>
      <c r="I33" s="26">
        <v>31</v>
      </c>
      <c r="J33" s="26" t="s">
        <v>101</v>
      </c>
      <c r="K33" s="28" t="s">
        <v>227</v>
      </c>
      <c r="O33" s="19">
        <v>2</v>
      </c>
      <c r="P33" s="19" t="s">
        <v>226</v>
      </c>
    </row>
    <row r="34" spans="1:16" x14ac:dyDescent="0.25">
      <c r="A34" s="21" t="s">
        <v>207</v>
      </c>
      <c r="B34" s="29" t="s">
        <v>208</v>
      </c>
      <c r="C34" s="23" t="s">
        <v>209</v>
      </c>
      <c r="D34" s="30" t="s">
        <v>44</v>
      </c>
      <c r="E34" s="30" t="s">
        <v>4</v>
      </c>
      <c r="F34" s="26" t="s">
        <v>57</v>
      </c>
      <c r="G34" s="27">
        <v>7011.4939024390223</v>
      </c>
      <c r="H34" s="19" t="s">
        <v>224</v>
      </c>
      <c r="I34" s="26">
        <v>43</v>
      </c>
      <c r="J34" s="26" t="s">
        <v>101</v>
      </c>
      <c r="K34" s="28" t="s">
        <v>227</v>
      </c>
      <c r="O34" s="19">
        <v>2</v>
      </c>
      <c r="P34" s="19" t="s">
        <v>226</v>
      </c>
    </row>
    <row r="35" spans="1:16" x14ac:dyDescent="0.25">
      <c r="A35" s="21" t="s">
        <v>207</v>
      </c>
      <c r="B35" s="29" t="s">
        <v>208</v>
      </c>
      <c r="C35" s="23" t="s">
        <v>209</v>
      </c>
      <c r="D35" s="30" t="s">
        <v>44</v>
      </c>
      <c r="E35" s="30" t="s">
        <v>8</v>
      </c>
      <c r="F35" s="26" t="s">
        <v>54</v>
      </c>
      <c r="G35" s="27">
        <v>1051.8231780167264</v>
      </c>
      <c r="H35" s="19" t="s">
        <v>224</v>
      </c>
      <c r="I35" s="26">
        <v>48</v>
      </c>
      <c r="J35" s="26" t="s">
        <v>101</v>
      </c>
      <c r="K35" s="28" t="s">
        <v>227</v>
      </c>
      <c r="O35" s="19">
        <v>2</v>
      </c>
      <c r="P35" s="19" t="s">
        <v>226</v>
      </c>
    </row>
    <row r="36" spans="1:16" x14ac:dyDescent="0.25">
      <c r="A36" s="21" t="s">
        <v>207</v>
      </c>
      <c r="B36" s="29" t="s">
        <v>208</v>
      </c>
      <c r="C36" s="23" t="s">
        <v>209</v>
      </c>
      <c r="D36" s="30" t="s">
        <v>44</v>
      </c>
      <c r="E36" s="30" t="s">
        <v>8</v>
      </c>
      <c r="F36" s="26" t="s">
        <v>54</v>
      </c>
      <c r="G36" s="27">
        <v>4905.868263473054</v>
      </c>
      <c r="H36" s="19" t="s">
        <v>224</v>
      </c>
      <c r="I36" s="26">
        <v>27</v>
      </c>
      <c r="J36" s="26" t="s">
        <v>101</v>
      </c>
      <c r="K36" s="28" t="s">
        <v>227</v>
      </c>
      <c r="O36" s="19">
        <v>2</v>
      </c>
      <c r="P36" s="19" t="s">
        <v>226</v>
      </c>
    </row>
    <row r="37" spans="1:16" x14ac:dyDescent="0.25">
      <c r="A37" s="21" t="s">
        <v>207</v>
      </c>
      <c r="B37" s="29" t="s">
        <v>208</v>
      </c>
      <c r="C37" s="23" t="s">
        <v>209</v>
      </c>
      <c r="D37" s="30" t="s">
        <v>44</v>
      </c>
      <c r="E37" s="30" t="s">
        <v>8</v>
      </c>
      <c r="F37" s="26" t="s">
        <v>54</v>
      </c>
      <c r="G37" s="27">
        <v>88.638337988826805</v>
      </c>
      <c r="H37" s="19" t="s">
        <v>224</v>
      </c>
      <c r="I37" s="26">
        <v>4.8</v>
      </c>
      <c r="J37" s="26" t="s">
        <v>101</v>
      </c>
      <c r="K37" s="28" t="s">
        <v>227</v>
      </c>
      <c r="O37" s="19">
        <v>2</v>
      </c>
      <c r="P37" s="19" t="s">
        <v>226</v>
      </c>
    </row>
    <row r="38" spans="1:16" x14ac:dyDescent="0.25">
      <c r="A38" s="21" t="s">
        <v>207</v>
      </c>
      <c r="B38" s="29" t="s">
        <v>208</v>
      </c>
      <c r="C38" s="23" t="s">
        <v>209</v>
      </c>
      <c r="D38" s="30" t="s">
        <v>44</v>
      </c>
      <c r="E38" s="30" t="s">
        <v>4</v>
      </c>
      <c r="F38" s="26" t="s">
        <v>54</v>
      </c>
      <c r="G38" s="27">
        <v>2536.6363636363635</v>
      </c>
      <c r="H38" s="19" t="s">
        <v>224</v>
      </c>
      <c r="I38" s="26">
        <v>84</v>
      </c>
      <c r="J38" s="26" t="s">
        <v>101</v>
      </c>
      <c r="K38" s="28" t="s">
        <v>227</v>
      </c>
      <c r="O38" s="19">
        <v>2</v>
      </c>
      <c r="P38" s="19" t="s">
        <v>226</v>
      </c>
    </row>
    <row r="39" spans="1:16" x14ac:dyDescent="0.25">
      <c r="A39" s="21" t="s">
        <v>207</v>
      </c>
      <c r="B39" s="29" t="s">
        <v>208</v>
      </c>
      <c r="C39" s="23" t="s">
        <v>209</v>
      </c>
      <c r="D39" s="30" t="s">
        <v>44</v>
      </c>
      <c r="E39" s="30" t="s">
        <v>4</v>
      </c>
      <c r="F39" s="26" t="s">
        <v>54</v>
      </c>
      <c r="G39" s="27">
        <v>1553.97542997543</v>
      </c>
      <c r="H39" s="19" t="s">
        <v>224</v>
      </c>
      <c r="I39" s="26">
        <v>25</v>
      </c>
      <c r="J39" s="26" t="s">
        <v>101</v>
      </c>
      <c r="K39" s="28" t="s">
        <v>227</v>
      </c>
      <c r="O39" s="19">
        <v>20</v>
      </c>
      <c r="P39" s="19" t="s">
        <v>226</v>
      </c>
    </row>
    <row r="40" spans="1:16" x14ac:dyDescent="0.25">
      <c r="A40" s="21" t="s">
        <v>207</v>
      </c>
      <c r="B40" s="29" t="s">
        <v>208</v>
      </c>
      <c r="C40" s="23" t="s">
        <v>209</v>
      </c>
      <c r="D40" s="30" t="s">
        <v>44</v>
      </c>
      <c r="E40" s="30" t="s">
        <v>4</v>
      </c>
      <c r="F40" s="26" t="s">
        <v>54</v>
      </c>
      <c r="G40" s="27">
        <v>128.08636363636364</v>
      </c>
      <c r="H40" s="19" t="s">
        <v>224</v>
      </c>
      <c r="I40" s="26">
        <v>4.7</v>
      </c>
      <c r="J40" s="26" t="s">
        <v>101</v>
      </c>
      <c r="K40" s="28" t="s">
        <v>227</v>
      </c>
      <c r="O40" s="19">
        <v>20</v>
      </c>
      <c r="P40" s="19" t="s">
        <v>226</v>
      </c>
    </row>
    <row r="41" spans="1:16" x14ac:dyDescent="0.25">
      <c r="A41" s="21" t="s">
        <v>201</v>
      </c>
      <c r="B41" s="29" t="s">
        <v>202</v>
      </c>
      <c r="C41" s="23" t="s">
        <v>203</v>
      </c>
      <c r="D41" s="30" t="s">
        <v>44</v>
      </c>
      <c r="E41" s="30" t="s">
        <v>8</v>
      </c>
      <c r="F41" s="26" t="s">
        <v>57</v>
      </c>
      <c r="G41" s="27">
        <v>88.4</v>
      </c>
      <c r="H41" s="19" t="s">
        <v>224</v>
      </c>
      <c r="I41" s="26">
        <v>5.0999999999999996</v>
      </c>
      <c r="J41" s="26" t="s">
        <v>101</v>
      </c>
      <c r="K41" s="28" t="s">
        <v>227</v>
      </c>
      <c r="O41" s="19">
        <v>4</v>
      </c>
      <c r="P41" s="19" t="s">
        <v>226</v>
      </c>
    </row>
    <row r="42" spans="1:16" x14ac:dyDescent="0.25">
      <c r="A42" s="21" t="s">
        <v>201</v>
      </c>
      <c r="B42" s="29" t="s">
        <v>202</v>
      </c>
      <c r="C42" s="23" t="s">
        <v>203</v>
      </c>
      <c r="D42" s="30" t="s">
        <v>44</v>
      </c>
      <c r="E42" s="30" t="s">
        <v>4</v>
      </c>
      <c r="F42" s="26" t="s">
        <v>57</v>
      </c>
      <c r="G42" s="27">
        <v>66.3</v>
      </c>
      <c r="H42" s="19" t="s">
        <v>224</v>
      </c>
      <c r="I42" s="26">
        <v>7.6</v>
      </c>
      <c r="J42" s="26" t="s">
        <v>101</v>
      </c>
      <c r="K42" s="28" t="s">
        <v>227</v>
      </c>
      <c r="O42" s="19">
        <v>4</v>
      </c>
      <c r="P42" s="19" t="s">
        <v>226</v>
      </c>
    </row>
    <row r="43" spans="1:16" x14ac:dyDescent="0.25">
      <c r="A43" s="21" t="s">
        <v>201</v>
      </c>
      <c r="B43" s="29" t="s">
        <v>202</v>
      </c>
      <c r="C43" s="23" t="s">
        <v>203</v>
      </c>
      <c r="D43" s="30" t="s">
        <v>44</v>
      </c>
      <c r="E43" s="30" t="s">
        <v>8</v>
      </c>
      <c r="F43" s="26" t="s">
        <v>54</v>
      </c>
      <c r="G43" s="27">
        <v>123</v>
      </c>
      <c r="H43" s="19" t="s">
        <v>224</v>
      </c>
      <c r="I43" s="26">
        <v>11</v>
      </c>
      <c r="J43" s="26" t="s">
        <v>101</v>
      </c>
      <c r="K43" s="28" t="s">
        <v>227</v>
      </c>
      <c r="O43" s="19">
        <v>4</v>
      </c>
      <c r="P43" s="19" t="s">
        <v>226</v>
      </c>
    </row>
    <row r="44" spans="1:16" x14ac:dyDescent="0.25">
      <c r="A44" s="21" t="s">
        <v>201</v>
      </c>
      <c r="B44" s="29" t="s">
        <v>202</v>
      </c>
      <c r="C44" s="23" t="s">
        <v>203</v>
      </c>
      <c r="D44" s="30" t="s">
        <v>44</v>
      </c>
      <c r="E44" s="30" t="s">
        <v>8</v>
      </c>
      <c r="F44" s="26" t="s">
        <v>54</v>
      </c>
      <c r="G44" s="27">
        <v>137</v>
      </c>
      <c r="H44" s="19" t="s">
        <v>224</v>
      </c>
      <c r="I44" s="26">
        <v>9</v>
      </c>
      <c r="J44" s="26" t="s">
        <v>101</v>
      </c>
      <c r="K44" s="28" t="s">
        <v>227</v>
      </c>
      <c r="O44" s="19">
        <v>16</v>
      </c>
      <c r="P44" s="19" t="s">
        <v>226</v>
      </c>
    </row>
    <row r="45" spans="1:16" x14ac:dyDescent="0.25">
      <c r="A45" s="21" t="s">
        <v>201</v>
      </c>
      <c r="B45" s="29" t="s">
        <v>202</v>
      </c>
      <c r="C45" s="23" t="s">
        <v>203</v>
      </c>
      <c r="D45" s="30" t="s">
        <v>44</v>
      </c>
      <c r="E45" s="30" t="s">
        <v>8</v>
      </c>
      <c r="F45" s="26" t="s">
        <v>54</v>
      </c>
      <c r="G45" s="27">
        <v>192</v>
      </c>
      <c r="H45" s="19" t="s">
        <v>224</v>
      </c>
      <c r="I45" s="26">
        <v>17</v>
      </c>
      <c r="J45" s="26" t="s">
        <v>101</v>
      </c>
      <c r="K45" s="28" t="s">
        <v>227</v>
      </c>
      <c r="O45" s="19">
        <v>32</v>
      </c>
      <c r="P45" s="19" t="s">
        <v>226</v>
      </c>
    </row>
    <row r="46" spans="1:16" x14ac:dyDescent="0.25">
      <c r="A46" s="21" t="s">
        <v>201</v>
      </c>
      <c r="B46" s="29" t="s">
        <v>202</v>
      </c>
      <c r="C46" s="23" t="s">
        <v>203</v>
      </c>
      <c r="D46" s="30" t="s">
        <v>44</v>
      </c>
      <c r="E46" s="30" t="s">
        <v>4</v>
      </c>
      <c r="F46" s="26" t="s">
        <v>54</v>
      </c>
      <c r="G46" s="27">
        <v>155</v>
      </c>
      <c r="H46" s="19" t="s">
        <v>224</v>
      </c>
      <c r="I46" s="26">
        <v>9</v>
      </c>
      <c r="J46" s="26" t="s">
        <v>101</v>
      </c>
      <c r="K46" s="28" t="s">
        <v>227</v>
      </c>
      <c r="O46" s="19">
        <v>4</v>
      </c>
      <c r="P46" s="19" t="s">
        <v>226</v>
      </c>
    </row>
    <row r="47" spans="1:16" x14ac:dyDescent="0.25">
      <c r="A47" s="21" t="s">
        <v>201</v>
      </c>
      <c r="B47" s="29" t="s">
        <v>202</v>
      </c>
      <c r="C47" s="23" t="s">
        <v>203</v>
      </c>
      <c r="D47" s="30" t="s">
        <v>44</v>
      </c>
      <c r="E47" s="30" t="s">
        <v>4</v>
      </c>
      <c r="F47" s="26" t="s">
        <v>54</v>
      </c>
      <c r="G47" s="27">
        <v>186</v>
      </c>
      <c r="H47" s="19" t="s">
        <v>224</v>
      </c>
      <c r="I47" s="26">
        <v>14</v>
      </c>
      <c r="J47" s="26" t="s">
        <v>101</v>
      </c>
      <c r="K47" s="28" t="s">
        <v>227</v>
      </c>
      <c r="O47" s="19">
        <v>16</v>
      </c>
      <c r="P47" s="19" t="s">
        <v>226</v>
      </c>
    </row>
    <row r="48" spans="1:16" x14ac:dyDescent="0.25">
      <c r="A48" s="21" t="s">
        <v>201</v>
      </c>
      <c r="B48" s="29" t="s">
        <v>202</v>
      </c>
      <c r="C48" s="23" t="s">
        <v>203</v>
      </c>
      <c r="D48" s="30" t="s">
        <v>44</v>
      </c>
      <c r="E48" s="30" t="s">
        <v>4</v>
      </c>
      <c r="F48" s="26" t="s">
        <v>54</v>
      </c>
      <c r="G48" s="27">
        <v>264</v>
      </c>
      <c r="H48" s="19" t="s">
        <v>224</v>
      </c>
      <c r="I48" s="26">
        <v>20</v>
      </c>
      <c r="J48" s="26" t="s">
        <v>101</v>
      </c>
      <c r="K48" s="28" t="s">
        <v>227</v>
      </c>
      <c r="O48" s="19">
        <v>32</v>
      </c>
      <c r="P48" s="19" t="s">
        <v>226</v>
      </c>
    </row>
    <row r="49" spans="1:16" x14ac:dyDescent="0.25">
      <c r="A49" s="21" t="s">
        <v>192</v>
      </c>
      <c r="B49" s="29" t="s">
        <v>193</v>
      </c>
      <c r="C49" s="23" t="s">
        <v>194</v>
      </c>
      <c r="D49" s="30" t="s">
        <v>44</v>
      </c>
      <c r="E49" s="30" t="s">
        <v>8</v>
      </c>
      <c r="F49" s="26" t="s">
        <v>57</v>
      </c>
      <c r="G49" s="27">
        <v>284.31377984440667</v>
      </c>
      <c r="H49" s="19" t="s">
        <v>224</v>
      </c>
      <c r="I49" s="26">
        <v>16</v>
      </c>
      <c r="J49" s="26" t="s">
        <v>101</v>
      </c>
      <c r="K49" s="28" t="s">
        <v>227</v>
      </c>
      <c r="O49" s="19">
        <v>4</v>
      </c>
      <c r="P49" s="19" t="s">
        <v>226</v>
      </c>
    </row>
    <row r="50" spans="1:16" x14ac:dyDescent="0.25">
      <c r="A50" s="21" t="s">
        <v>192</v>
      </c>
      <c r="B50" s="29" t="s">
        <v>193</v>
      </c>
      <c r="C50" s="23" t="s">
        <v>194</v>
      </c>
      <c r="D50" s="30" t="s">
        <v>44</v>
      </c>
      <c r="E50" s="30" t="s">
        <v>4</v>
      </c>
      <c r="F50" s="26" t="s">
        <v>57</v>
      </c>
      <c r="G50" s="27">
        <v>144.82556390977444</v>
      </c>
      <c r="H50" s="19" t="s">
        <v>224</v>
      </c>
      <c r="I50" s="26">
        <v>12</v>
      </c>
      <c r="J50" s="26" t="s">
        <v>101</v>
      </c>
      <c r="K50" s="28" t="s">
        <v>227</v>
      </c>
      <c r="O50" s="19">
        <v>4</v>
      </c>
      <c r="P50" s="19" t="s">
        <v>226</v>
      </c>
    </row>
    <row r="51" spans="1:16" x14ac:dyDescent="0.25">
      <c r="A51" s="21" t="s">
        <v>192</v>
      </c>
      <c r="B51" s="29" t="s">
        <v>193</v>
      </c>
      <c r="C51" s="23" t="s">
        <v>194</v>
      </c>
      <c r="D51" s="30" t="s">
        <v>44</v>
      </c>
      <c r="E51" s="30" t="s">
        <v>8</v>
      </c>
      <c r="F51" s="26" t="s">
        <v>54</v>
      </c>
      <c r="G51" s="27">
        <v>202.18906452912984</v>
      </c>
      <c r="H51" s="19" t="s">
        <v>224</v>
      </c>
      <c r="I51" s="26">
        <v>677</v>
      </c>
      <c r="J51" s="26" t="s">
        <v>101</v>
      </c>
      <c r="K51" s="28" t="s">
        <v>227</v>
      </c>
      <c r="O51" s="19">
        <v>4</v>
      </c>
      <c r="P51" s="19" t="s">
        <v>226</v>
      </c>
    </row>
    <row r="52" spans="1:16" x14ac:dyDescent="0.25">
      <c r="A52" s="21" t="s">
        <v>192</v>
      </c>
      <c r="B52" s="29" t="s">
        <v>193</v>
      </c>
      <c r="C52" s="23" t="s">
        <v>194</v>
      </c>
      <c r="D52" s="30" t="s">
        <v>44</v>
      </c>
      <c r="E52" s="30" t="s">
        <v>8</v>
      </c>
      <c r="F52" s="26" t="s">
        <v>54</v>
      </c>
      <c r="G52" s="27">
        <v>159.03079539013794</v>
      </c>
      <c r="H52" s="19" t="s">
        <v>224</v>
      </c>
      <c r="I52" s="26">
        <v>52</v>
      </c>
      <c r="J52" s="26" t="s">
        <v>101</v>
      </c>
      <c r="K52" s="28" t="s">
        <v>227</v>
      </c>
      <c r="O52" s="19">
        <v>20</v>
      </c>
      <c r="P52" s="19" t="s">
        <v>226</v>
      </c>
    </row>
    <row r="53" spans="1:16" x14ac:dyDescent="0.25">
      <c r="A53" s="21" t="s">
        <v>192</v>
      </c>
      <c r="B53" s="29" t="s">
        <v>193</v>
      </c>
      <c r="C53" s="23" t="s">
        <v>194</v>
      </c>
      <c r="D53" s="30" t="s">
        <v>44</v>
      </c>
      <c r="E53" s="30" t="s">
        <v>8</v>
      </c>
      <c r="F53" s="26" t="s">
        <v>54</v>
      </c>
      <c r="G53" s="27">
        <v>325.15790476190472</v>
      </c>
      <c r="H53" s="19" t="s">
        <v>224</v>
      </c>
      <c r="I53" s="26">
        <v>55</v>
      </c>
      <c r="J53" s="26" t="s">
        <v>101</v>
      </c>
      <c r="K53" s="28" t="s">
        <v>227</v>
      </c>
      <c r="O53" s="19">
        <v>100</v>
      </c>
      <c r="P53" s="19" t="s">
        <v>226</v>
      </c>
    </row>
    <row r="54" spans="1:16" x14ac:dyDescent="0.25">
      <c r="A54" s="21" t="s">
        <v>192</v>
      </c>
      <c r="B54" s="29" t="s">
        <v>193</v>
      </c>
      <c r="C54" s="23" t="s">
        <v>194</v>
      </c>
      <c r="D54" s="30" t="s">
        <v>44</v>
      </c>
      <c r="E54" s="30" t="s">
        <v>4</v>
      </c>
      <c r="F54" s="26" t="s">
        <v>54</v>
      </c>
      <c r="G54" s="27">
        <v>328</v>
      </c>
      <c r="H54" s="19" t="s">
        <v>224</v>
      </c>
      <c r="I54" s="26">
        <v>57</v>
      </c>
      <c r="J54" s="26" t="s">
        <v>101</v>
      </c>
      <c r="K54" s="28" t="s">
        <v>227</v>
      </c>
      <c r="O54" s="19">
        <v>4</v>
      </c>
      <c r="P54" s="19" t="s">
        <v>226</v>
      </c>
    </row>
    <row r="55" spans="1:16" x14ac:dyDescent="0.25">
      <c r="A55" s="21" t="s">
        <v>192</v>
      </c>
      <c r="B55" s="29" t="s">
        <v>193</v>
      </c>
      <c r="C55" s="23" t="s">
        <v>194</v>
      </c>
      <c r="D55" s="30" t="s">
        <v>44</v>
      </c>
      <c r="E55" s="30" t="s">
        <v>4</v>
      </c>
      <c r="F55" s="26" t="s">
        <v>54</v>
      </c>
      <c r="G55" s="27">
        <v>326</v>
      </c>
      <c r="H55" s="19" t="s">
        <v>224</v>
      </c>
      <c r="I55" s="26">
        <v>95</v>
      </c>
      <c r="J55" s="26" t="s">
        <v>101</v>
      </c>
      <c r="K55" s="28" t="s">
        <v>227</v>
      </c>
      <c r="O55" s="19">
        <v>20</v>
      </c>
      <c r="P55" s="19" t="s">
        <v>226</v>
      </c>
    </row>
    <row r="56" spans="1:16" x14ac:dyDescent="0.25">
      <c r="A56" s="21" t="s">
        <v>192</v>
      </c>
      <c r="B56" s="29" t="s">
        <v>193</v>
      </c>
      <c r="C56" s="23" t="s">
        <v>194</v>
      </c>
      <c r="D56" s="30" t="s">
        <v>44</v>
      </c>
      <c r="E56" s="30" t="s">
        <v>4</v>
      </c>
      <c r="F56" s="26" t="s">
        <v>54</v>
      </c>
      <c r="G56" s="27">
        <v>415</v>
      </c>
      <c r="H56" s="19" t="s">
        <v>224</v>
      </c>
      <c r="I56" s="26">
        <v>83</v>
      </c>
      <c r="J56" s="26" t="s">
        <v>101</v>
      </c>
      <c r="K56" s="28" t="s">
        <v>227</v>
      </c>
      <c r="O56" s="19">
        <v>100</v>
      </c>
      <c r="P56" s="19" t="s">
        <v>226</v>
      </c>
    </row>
    <row r="57" spans="1:16" x14ac:dyDescent="0.25">
      <c r="A57" s="21" t="s">
        <v>207</v>
      </c>
      <c r="B57" s="22" t="s">
        <v>208</v>
      </c>
      <c r="C57" s="23" t="s">
        <v>209</v>
      </c>
      <c r="D57" s="19" t="s">
        <v>44</v>
      </c>
      <c r="E57" s="19" t="s">
        <v>4</v>
      </c>
      <c r="F57" s="19" t="s">
        <v>57</v>
      </c>
      <c r="G57" s="24">
        <v>0.35199999999999998</v>
      </c>
      <c r="H57" s="19" t="s">
        <v>223</v>
      </c>
      <c r="J57" s="19" t="s">
        <v>118</v>
      </c>
      <c r="K57" s="20" t="s">
        <v>228</v>
      </c>
      <c r="L57" s="19">
        <v>1</v>
      </c>
      <c r="O57" s="19">
        <v>2</v>
      </c>
    </row>
    <row r="58" spans="1:16" x14ac:dyDescent="0.25">
      <c r="A58" s="21" t="s">
        <v>207</v>
      </c>
      <c r="B58" s="22" t="s">
        <v>208</v>
      </c>
      <c r="C58" s="23" t="s">
        <v>209</v>
      </c>
      <c r="D58" s="19" t="s">
        <v>44</v>
      </c>
      <c r="E58" s="19" t="s">
        <v>8</v>
      </c>
      <c r="F58" s="19" t="s">
        <v>57</v>
      </c>
      <c r="G58" s="24">
        <v>0.38300000000000001</v>
      </c>
      <c r="H58" s="19" t="s">
        <v>223</v>
      </c>
      <c r="J58" s="19" t="s">
        <v>118</v>
      </c>
      <c r="K58" s="20" t="s">
        <v>228</v>
      </c>
      <c r="L58" s="19">
        <v>1</v>
      </c>
      <c r="O58" s="19">
        <v>2</v>
      </c>
    </row>
    <row r="59" spans="1:16" x14ac:dyDescent="0.25">
      <c r="A59" s="21" t="s">
        <v>207</v>
      </c>
      <c r="B59" s="22" t="s">
        <v>208</v>
      </c>
      <c r="C59" s="23" t="s">
        <v>209</v>
      </c>
      <c r="D59" s="19" t="s">
        <v>44</v>
      </c>
      <c r="E59" s="19" t="s">
        <v>4</v>
      </c>
      <c r="F59" s="19" t="s">
        <v>54</v>
      </c>
      <c r="G59" s="24">
        <v>0.28899999999999998</v>
      </c>
      <c r="H59" s="19" t="s">
        <v>223</v>
      </c>
      <c r="J59" s="19" t="s">
        <v>118</v>
      </c>
      <c r="K59" s="20" t="s">
        <v>228</v>
      </c>
      <c r="L59" s="19">
        <v>1</v>
      </c>
      <c r="O59" s="19" t="s">
        <v>229</v>
      </c>
    </row>
    <row r="60" spans="1:16" x14ac:dyDescent="0.25">
      <c r="A60" s="21" t="s">
        <v>207</v>
      </c>
      <c r="B60" s="22" t="s">
        <v>208</v>
      </c>
      <c r="C60" s="23" t="s">
        <v>209</v>
      </c>
      <c r="D60" s="19" t="s">
        <v>44</v>
      </c>
      <c r="E60" s="19" t="s">
        <v>8</v>
      </c>
      <c r="F60" s="19" t="s">
        <v>54</v>
      </c>
      <c r="G60" s="24">
        <v>0.28000000000000003</v>
      </c>
      <c r="H60" s="19" t="s">
        <v>223</v>
      </c>
      <c r="J60" s="19" t="s">
        <v>118</v>
      </c>
      <c r="K60" s="20" t="s">
        <v>228</v>
      </c>
      <c r="L60" s="19">
        <v>1</v>
      </c>
      <c r="O60" s="19">
        <v>10</v>
      </c>
    </row>
    <row r="61" spans="1:16" x14ac:dyDescent="0.25">
      <c r="A61" s="21" t="s">
        <v>220</v>
      </c>
      <c r="B61" s="22" t="s">
        <v>221</v>
      </c>
      <c r="C61" s="23" t="s">
        <v>222</v>
      </c>
      <c r="D61" s="19" t="s">
        <v>44</v>
      </c>
      <c r="E61" s="19" t="s">
        <v>4</v>
      </c>
      <c r="F61" s="19" t="s">
        <v>57</v>
      </c>
      <c r="G61" s="24">
        <v>0.17100000000000001</v>
      </c>
      <c r="H61" s="19" t="s">
        <v>223</v>
      </c>
      <c r="J61" s="19" t="s">
        <v>118</v>
      </c>
      <c r="K61" s="20" t="s">
        <v>228</v>
      </c>
      <c r="L61" s="19">
        <v>1</v>
      </c>
      <c r="O61" s="19">
        <v>1</v>
      </c>
    </row>
    <row r="62" spans="1:16" x14ac:dyDescent="0.25">
      <c r="A62" s="21" t="s">
        <v>220</v>
      </c>
      <c r="B62" s="22" t="s">
        <v>221</v>
      </c>
      <c r="C62" s="23" t="s">
        <v>222</v>
      </c>
      <c r="D62" s="19" t="s">
        <v>44</v>
      </c>
      <c r="E62" s="19" t="s">
        <v>8</v>
      </c>
      <c r="F62" s="19" t="s">
        <v>57</v>
      </c>
      <c r="G62" s="24">
        <v>0.112</v>
      </c>
      <c r="H62" s="19" t="s">
        <v>223</v>
      </c>
      <c r="J62" s="19" t="s">
        <v>118</v>
      </c>
      <c r="K62" s="20" t="s">
        <v>228</v>
      </c>
      <c r="L62" s="19">
        <v>1</v>
      </c>
      <c r="O62" s="19">
        <v>1</v>
      </c>
    </row>
    <row r="63" spans="1:16" x14ac:dyDescent="0.25">
      <c r="A63" s="21" t="s">
        <v>220</v>
      </c>
      <c r="B63" s="22" t="s">
        <v>221</v>
      </c>
      <c r="C63" s="23" t="s">
        <v>222</v>
      </c>
      <c r="D63" s="19" t="s">
        <v>44</v>
      </c>
      <c r="E63" s="19" t="s">
        <v>4</v>
      </c>
      <c r="F63" s="19" t="s">
        <v>54</v>
      </c>
      <c r="G63" s="24">
        <v>0.154</v>
      </c>
      <c r="H63" s="19" t="s">
        <v>223</v>
      </c>
      <c r="J63" s="19" t="s">
        <v>118</v>
      </c>
      <c r="K63" s="20" t="s">
        <v>228</v>
      </c>
      <c r="L63" s="19">
        <v>1</v>
      </c>
      <c r="O63" s="19">
        <v>1</v>
      </c>
    </row>
    <row r="64" spans="1:16" x14ac:dyDescent="0.25">
      <c r="A64" s="21" t="s">
        <v>220</v>
      </c>
      <c r="B64" s="22" t="s">
        <v>221</v>
      </c>
      <c r="C64" s="23" t="s">
        <v>222</v>
      </c>
      <c r="D64" s="19" t="s">
        <v>44</v>
      </c>
      <c r="E64" s="19" t="s">
        <v>8</v>
      </c>
      <c r="F64" s="19" t="s">
        <v>54</v>
      </c>
      <c r="G64" s="24">
        <v>0.106</v>
      </c>
      <c r="H64" s="19" t="s">
        <v>223</v>
      </c>
      <c r="J64" s="19" t="s">
        <v>118</v>
      </c>
      <c r="K64" s="20" t="s">
        <v>228</v>
      </c>
      <c r="L64" s="19">
        <v>1</v>
      </c>
      <c r="O64" s="19">
        <v>1</v>
      </c>
    </row>
    <row r="65" spans="1:16" x14ac:dyDescent="0.25">
      <c r="A65" s="21" t="s">
        <v>201</v>
      </c>
      <c r="B65" s="22" t="s">
        <v>202</v>
      </c>
      <c r="C65" s="23" t="s">
        <v>203</v>
      </c>
      <c r="D65" s="19" t="s">
        <v>44</v>
      </c>
      <c r="E65" s="19" t="s">
        <v>4</v>
      </c>
      <c r="F65" s="19" t="s">
        <v>57</v>
      </c>
      <c r="G65" s="24">
        <v>0.28899999999999998</v>
      </c>
      <c r="H65" s="19" t="s">
        <v>223</v>
      </c>
      <c r="J65" s="19" t="s">
        <v>118</v>
      </c>
      <c r="K65" s="20" t="s">
        <v>228</v>
      </c>
      <c r="L65" s="19">
        <v>1</v>
      </c>
      <c r="O65" s="19">
        <v>4</v>
      </c>
    </row>
    <row r="66" spans="1:16" x14ac:dyDescent="0.25">
      <c r="A66" s="21" t="s">
        <v>201</v>
      </c>
      <c r="B66" s="22" t="s">
        <v>202</v>
      </c>
      <c r="C66" s="23" t="s">
        <v>203</v>
      </c>
      <c r="D66" s="19" t="s">
        <v>44</v>
      </c>
      <c r="E66" s="19" t="s">
        <v>8</v>
      </c>
      <c r="F66" s="19" t="s">
        <v>57</v>
      </c>
      <c r="G66" s="24">
        <v>0.26900000000000002</v>
      </c>
      <c r="H66" s="19" t="s">
        <v>223</v>
      </c>
      <c r="J66" s="19" t="s">
        <v>118</v>
      </c>
      <c r="K66" s="20" t="s">
        <v>228</v>
      </c>
      <c r="L66" s="19">
        <v>1</v>
      </c>
      <c r="O66" s="19">
        <v>4</v>
      </c>
    </row>
    <row r="67" spans="1:16" x14ac:dyDescent="0.25">
      <c r="A67" s="21" t="s">
        <v>201</v>
      </c>
      <c r="B67" s="22" t="s">
        <v>202</v>
      </c>
      <c r="C67" s="23" t="s">
        <v>203</v>
      </c>
      <c r="D67" s="19" t="s">
        <v>44</v>
      </c>
      <c r="E67" s="19" t="s">
        <v>4</v>
      </c>
      <c r="F67" s="19" t="s">
        <v>54</v>
      </c>
      <c r="G67" s="24">
        <v>0.25600000000000001</v>
      </c>
      <c r="H67" s="19" t="s">
        <v>223</v>
      </c>
      <c r="J67" s="19" t="s">
        <v>118</v>
      </c>
      <c r="K67" s="20" t="s">
        <v>228</v>
      </c>
      <c r="L67" s="19">
        <v>1</v>
      </c>
      <c r="O67" s="19">
        <v>4</v>
      </c>
    </row>
    <row r="68" spans="1:16" x14ac:dyDescent="0.25">
      <c r="A68" s="21" t="s">
        <v>201</v>
      </c>
      <c r="B68" s="22" t="s">
        <v>202</v>
      </c>
      <c r="C68" s="23" t="s">
        <v>203</v>
      </c>
      <c r="D68" s="19" t="s">
        <v>44</v>
      </c>
      <c r="E68" s="19" t="s">
        <v>8</v>
      </c>
      <c r="F68" s="19" t="s">
        <v>54</v>
      </c>
      <c r="G68" s="24">
        <v>0.27800000000000002</v>
      </c>
      <c r="H68" s="19" t="s">
        <v>223</v>
      </c>
      <c r="J68" s="19" t="s">
        <v>118</v>
      </c>
      <c r="K68" s="20" t="s">
        <v>228</v>
      </c>
      <c r="L68" s="19">
        <v>1</v>
      </c>
      <c r="O68" s="19">
        <v>4</v>
      </c>
    </row>
    <row r="69" spans="1:16" x14ac:dyDescent="0.25">
      <c r="A69" s="21" t="s">
        <v>201</v>
      </c>
      <c r="B69" s="22" t="s">
        <v>202</v>
      </c>
      <c r="C69" s="23" t="s">
        <v>203</v>
      </c>
      <c r="D69" s="19" t="s">
        <v>44</v>
      </c>
      <c r="E69" s="19" t="s">
        <v>4</v>
      </c>
      <c r="F69" s="19" t="s">
        <v>57</v>
      </c>
      <c r="G69" s="24">
        <v>0.16400000000000001</v>
      </c>
      <c r="H69" s="19" t="s">
        <v>223</v>
      </c>
      <c r="J69" s="19" t="s">
        <v>230</v>
      </c>
      <c r="K69" s="20" t="s">
        <v>231</v>
      </c>
      <c r="L69" s="19">
        <v>1</v>
      </c>
      <c r="O69" s="19" t="s">
        <v>232</v>
      </c>
    </row>
    <row r="70" spans="1:16" x14ac:dyDescent="0.25">
      <c r="A70" s="21" t="s">
        <v>201</v>
      </c>
      <c r="B70" s="22" t="s">
        <v>202</v>
      </c>
      <c r="C70" s="23" t="s">
        <v>203</v>
      </c>
      <c r="D70" s="19" t="s">
        <v>44</v>
      </c>
      <c r="E70" s="19" t="s">
        <v>8</v>
      </c>
      <c r="F70" s="19" t="s">
        <v>57</v>
      </c>
      <c r="G70" s="24">
        <v>0.315</v>
      </c>
      <c r="H70" s="19" t="s">
        <v>223</v>
      </c>
      <c r="J70" s="19" t="s">
        <v>230</v>
      </c>
      <c r="K70" s="20" t="s">
        <v>231</v>
      </c>
      <c r="L70" s="19">
        <v>1</v>
      </c>
      <c r="O70" s="19">
        <v>10</v>
      </c>
    </row>
    <row r="71" spans="1:16" x14ac:dyDescent="0.25">
      <c r="A71" s="21" t="s">
        <v>201</v>
      </c>
      <c r="B71" s="22" t="s">
        <v>202</v>
      </c>
      <c r="C71" s="23" t="s">
        <v>203</v>
      </c>
      <c r="D71" s="19" t="s">
        <v>44</v>
      </c>
      <c r="E71" s="19" t="s">
        <v>4</v>
      </c>
      <c r="F71" s="19" t="s">
        <v>54</v>
      </c>
      <c r="G71" s="24">
        <v>0.17100000000000001</v>
      </c>
      <c r="H71" s="19" t="s">
        <v>223</v>
      </c>
      <c r="J71" s="19" t="s">
        <v>230</v>
      </c>
      <c r="K71" s="20" t="s">
        <v>231</v>
      </c>
      <c r="L71" s="19">
        <v>1</v>
      </c>
      <c r="O71" s="19" t="s">
        <v>233</v>
      </c>
    </row>
    <row r="72" spans="1:16" x14ac:dyDescent="0.25">
      <c r="A72" s="21" t="s">
        <v>201</v>
      </c>
      <c r="B72" s="22" t="s">
        <v>202</v>
      </c>
      <c r="C72" s="23" t="s">
        <v>203</v>
      </c>
      <c r="D72" s="19" t="s">
        <v>44</v>
      </c>
      <c r="E72" s="19" t="s">
        <v>8</v>
      </c>
      <c r="F72" s="19" t="s">
        <v>54</v>
      </c>
      <c r="G72" s="24">
        <v>0.32700000000000001</v>
      </c>
      <c r="H72" s="19" t="s">
        <v>223</v>
      </c>
      <c r="J72" s="19" t="s">
        <v>230</v>
      </c>
      <c r="K72" s="20" t="s">
        <v>231</v>
      </c>
      <c r="L72" s="19">
        <v>1</v>
      </c>
      <c r="O72" s="19" t="s">
        <v>233</v>
      </c>
    </row>
    <row r="73" spans="1:16" ht="15.75" x14ac:dyDescent="0.25">
      <c r="A73" s="21" t="s">
        <v>195</v>
      </c>
      <c r="B73" s="29" t="s">
        <v>196</v>
      </c>
      <c r="C73" s="23" t="s">
        <v>197</v>
      </c>
      <c r="D73" s="19" t="s">
        <v>44</v>
      </c>
      <c r="E73" s="31" t="s">
        <v>8</v>
      </c>
      <c r="F73" s="26" t="s">
        <v>57</v>
      </c>
      <c r="G73" s="27">
        <v>118.18</v>
      </c>
      <c r="H73" s="19" t="s">
        <v>224</v>
      </c>
      <c r="I73" s="19">
        <v>9.31</v>
      </c>
      <c r="J73" s="26" t="s">
        <v>154</v>
      </c>
      <c r="K73" s="20" t="s">
        <v>234</v>
      </c>
      <c r="O73" s="19">
        <v>1</v>
      </c>
      <c r="P73" s="19" t="s">
        <v>226</v>
      </c>
    </row>
    <row r="74" spans="1:16" ht="15.75" x14ac:dyDescent="0.25">
      <c r="A74" s="21" t="s">
        <v>195</v>
      </c>
      <c r="B74" s="29" t="s">
        <v>196</v>
      </c>
      <c r="C74" s="23" t="s">
        <v>197</v>
      </c>
      <c r="D74" s="19" t="s">
        <v>44</v>
      </c>
      <c r="E74" s="31" t="s">
        <v>8</v>
      </c>
      <c r="F74" s="26" t="s">
        <v>54</v>
      </c>
      <c r="G74" s="27">
        <v>118.18</v>
      </c>
      <c r="H74" s="19" t="s">
        <v>224</v>
      </c>
      <c r="I74" s="19">
        <v>9.31</v>
      </c>
      <c r="J74" s="26" t="s">
        <v>154</v>
      </c>
      <c r="K74" s="20" t="s">
        <v>234</v>
      </c>
      <c r="O74" s="19">
        <v>1</v>
      </c>
      <c r="P74" s="19" t="s">
        <v>226</v>
      </c>
    </row>
    <row r="75" spans="1:16" ht="15.75" x14ac:dyDescent="0.25">
      <c r="A75" s="21" t="s">
        <v>195</v>
      </c>
      <c r="B75" s="29" t="s">
        <v>196</v>
      </c>
      <c r="C75" s="23" t="s">
        <v>197</v>
      </c>
      <c r="D75" s="19" t="s">
        <v>44</v>
      </c>
      <c r="E75" s="31" t="s">
        <v>4</v>
      </c>
      <c r="F75" s="26" t="s">
        <v>57</v>
      </c>
      <c r="G75" s="27">
        <v>58.42</v>
      </c>
      <c r="H75" s="19" t="s">
        <v>224</v>
      </c>
      <c r="I75" s="19">
        <v>4.46</v>
      </c>
      <c r="J75" s="26" t="s">
        <v>154</v>
      </c>
      <c r="K75" s="20" t="s">
        <v>234</v>
      </c>
      <c r="O75" s="19">
        <v>1</v>
      </c>
      <c r="P75" s="19" t="s">
        <v>226</v>
      </c>
    </row>
    <row r="76" spans="1:16" ht="15.75" x14ac:dyDescent="0.25">
      <c r="A76" s="21" t="s">
        <v>195</v>
      </c>
      <c r="B76" s="29" t="s">
        <v>196</v>
      </c>
      <c r="C76" s="23" t="s">
        <v>197</v>
      </c>
      <c r="D76" s="19" t="s">
        <v>44</v>
      </c>
      <c r="E76" s="31" t="s">
        <v>4</v>
      </c>
      <c r="F76" s="26" t="s">
        <v>54</v>
      </c>
      <c r="G76" s="27">
        <v>58.42</v>
      </c>
      <c r="H76" s="19" t="s">
        <v>224</v>
      </c>
      <c r="I76" s="19">
        <v>4.46</v>
      </c>
      <c r="J76" s="26" t="s">
        <v>154</v>
      </c>
      <c r="K76" s="20" t="s">
        <v>234</v>
      </c>
      <c r="O76" s="19">
        <v>1</v>
      </c>
      <c r="P76" s="19" t="s">
        <v>226</v>
      </c>
    </row>
    <row r="77" spans="1:16" ht="15.75" x14ac:dyDescent="0.25">
      <c r="A77" s="21" t="s">
        <v>204</v>
      </c>
      <c r="B77" s="29" t="s">
        <v>205</v>
      </c>
      <c r="C77" s="23" t="s">
        <v>206</v>
      </c>
      <c r="D77" s="19" t="s">
        <v>44</v>
      </c>
      <c r="E77" s="31" t="s">
        <v>4</v>
      </c>
      <c r="F77" s="26" t="s">
        <v>54</v>
      </c>
      <c r="G77" s="27">
        <v>45.86</v>
      </c>
      <c r="H77" s="19" t="s">
        <v>224</v>
      </c>
      <c r="I77" s="19">
        <v>3.65</v>
      </c>
      <c r="J77" s="26" t="s">
        <v>154</v>
      </c>
      <c r="K77" s="20" t="s">
        <v>234</v>
      </c>
      <c r="O77" s="26">
        <v>0.5</v>
      </c>
      <c r="P77" s="19" t="s">
        <v>226</v>
      </c>
    </row>
    <row r="78" spans="1:16" ht="15.75" x14ac:dyDescent="0.25">
      <c r="A78" s="21" t="s">
        <v>204</v>
      </c>
      <c r="B78" s="29" t="s">
        <v>205</v>
      </c>
      <c r="C78" s="23" t="s">
        <v>206</v>
      </c>
      <c r="D78" s="19" t="s">
        <v>44</v>
      </c>
      <c r="E78" s="31" t="s">
        <v>4</v>
      </c>
      <c r="F78" s="26" t="s">
        <v>54</v>
      </c>
      <c r="G78" s="27">
        <v>45.86</v>
      </c>
      <c r="H78" s="19" t="s">
        <v>224</v>
      </c>
      <c r="I78" s="19">
        <v>3.65</v>
      </c>
      <c r="J78" s="26" t="s">
        <v>154</v>
      </c>
      <c r="K78" s="20" t="s">
        <v>234</v>
      </c>
      <c r="O78" s="26">
        <v>1</v>
      </c>
      <c r="P78" s="19" t="s">
        <v>226</v>
      </c>
    </row>
    <row r="79" spans="1:16" ht="15.75" x14ac:dyDescent="0.25">
      <c r="A79" s="21" t="s">
        <v>204</v>
      </c>
      <c r="B79" s="29" t="s">
        <v>205</v>
      </c>
      <c r="C79" s="23" t="s">
        <v>206</v>
      </c>
      <c r="D79" s="19" t="s">
        <v>44</v>
      </c>
      <c r="E79" s="31" t="s">
        <v>4</v>
      </c>
      <c r="F79" s="26" t="s">
        <v>54</v>
      </c>
      <c r="G79" s="27">
        <v>45.86</v>
      </c>
      <c r="H79" s="19" t="s">
        <v>224</v>
      </c>
      <c r="I79" s="19">
        <v>3.65</v>
      </c>
      <c r="J79" s="26" t="s">
        <v>154</v>
      </c>
      <c r="K79" s="20" t="s">
        <v>234</v>
      </c>
      <c r="O79" s="26">
        <v>3</v>
      </c>
      <c r="P79" s="19" t="s">
        <v>226</v>
      </c>
    </row>
    <row r="80" spans="1:16" ht="15.75" x14ac:dyDescent="0.25">
      <c r="A80" s="21" t="s">
        <v>204</v>
      </c>
      <c r="B80" s="29" t="s">
        <v>205</v>
      </c>
      <c r="C80" s="23" t="s">
        <v>206</v>
      </c>
      <c r="D80" s="19" t="s">
        <v>44</v>
      </c>
      <c r="E80" s="31" t="s">
        <v>4</v>
      </c>
      <c r="F80" s="26" t="s">
        <v>54</v>
      </c>
      <c r="G80" s="27">
        <v>45.86</v>
      </c>
      <c r="H80" s="19" t="s">
        <v>224</v>
      </c>
      <c r="I80" s="19">
        <v>3.65</v>
      </c>
      <c r="J80" s="26" t="s">
        <v>154</v>
      </c>
      <c r="K80" s="20" t="s">
        <v>234</v>
      </c>
      <c r="O80" s="26">
        <v>10</v>
      </c>
      <c r="P80" s="19" t="s">
        <v>226</v>
      </c>
    </row>
    <row r="81" spans="1:16" ht="15.75" x14ac:dyDescent="0.25">
      <c r="A81" s="21" t="s">
        <v>204</v>
      </c>
      <c r="B81" s="29" t="s">
        <v>205</v>
      </c>
      <c r="C81" s="23" t="s">
        <v>206</v>
      </c>
      <c r="D81" s="19" t="s">
        <v>44</v>
      </c>
      <c r="E81" s="31" t="s">
        <v>4</v>
      </c>
      <c r="F81" s="26" t="s">
        <v>57</v>
      </c>
      <c r="G81" s="27">
        <v>45.86</v>
      </c>
      <c r="H81" s="19" t="s">
        <v>224</v>
      </c>
      <c r="I81" s="19">
        <v>3.65</v>
      </c>
      <c r="J81" s="26" t="s">
        <v>154</v>
      </c>
      <c r="K81" s="20" t="s">
        <v>234</v>
      </c>
      <c r="O81" s="26">
        <v>0.5</v>
      </c>
      <c r="P81" s="19" t="s">
        <v>226</v>
      </c>
    </row>
    <row r="82" spans="1:16" ht="15.75" x14ac:dyDescent="0.25">
      <c r="A82" s="21" t="s">
        <v>204</v>
      </c>
      <c r="B82" s="29" t="s">
        <v>205</v>
      </c>
      <c r="C82" s="23" t="s">
        <v>206</v>
      </c>
      <c r="D82" s="19" t="s">
        <v>44</v>
      </c>
      <c r="E82" s="31" t="s">
        <v>4</v>
      </c>
      <c r="F82" s="26" t="s">
        <v>57</v>
      </c>
      <c r="G82" s="27">
        <v>45.86</v>
      </c>
      <c r="H82" s="19" t="s">
        <v>224</v>
      </c>
      <c r="I82" s="19">
        <v>3.65</v>
      </c>
      <c r="J82" s="26" t="s">
        <v>154</v>
      </c>
      <c r="K82" s="20" t="s">
        <v>234</v>
      </c>
      <c r="O82" s="26">
        <v>1</v>
      </c>
      <c r="P82" s="19" t="s">
        <v>226</v>
      </c>
    </row>
    <row r="83" spans="1:16" ht="15.75" x14ac:dyDescent="0.25">
      <c r="A83" s="21" t="s">
        <v>204</v>
      </c>
      <c r="B83" s="29" t="s">
        <v>205</v>
      </c>
      <c r="C83" s="23" t="s">
        <v>206</v>
      </c>
      <c r="D83" s="19" t="s">
        <v>44</v>
      </c>
      <c r="E83" s="31" t="s">
        <v>4</v>
      </c>
      <c r="F83" s="26" t="s">
        <v>57</v>
      </c>
      <c r="G83" s="27">
        <v>45.86</v>
      </c>
      <c r="H83" s="19" t="s">
        <v>224</v>
      </c>
      <c r="I83" s="19">
        <v>3.65</v>
      </c>
      <c r="J83" s="26" t="s">
        <v>154</v>
      </c>
      <c r="K83" s="20" t="s">
        <v>234</v>
      </c>
      <c r="O83" s="26">
        <v>3</v>
      </c>
      <c r="P83" s="19" t="s">
        <v>226</v>
      </c>
    </row>
    <row r="84" spans="1:16" x14ac:dyDescent="0.25">
      <c r="A84" s="21" t="s">
        <v>204</v>
      </c>
      <c r="B84" s="29" t="s">
        <v>205</v>
      </c>
      <c r="C84" s="23" t="s">
        <v>206</v>
      </c>
      <c r="D84" s="19" t="s">
        <v>44</v>
      </c>
      <c r="E84" s="19" t="s">
        <v>8</v>
      </c>
      <c r="F84" s="26" t="s">
        <v>54</v>
      </c>
      <c r="G84" s="27">
        <v>363.09</v>
      </c>
      <c r="H84" s="19" t="s">
        <v>224</v>
      </c>
      <c r="I84" s="19">
        <v>18.268999999999998</v>
      </c>
      <c r="J84" s="26" t="s">
        <v>154</v>
      </c>
      <c r="K84" s="20" t="s">
        <v>234</v>
      </c>
      <c r="O84" s="19">
        <v>3</v>
      </c>
      <c r="P84" s="19" t="s">
        <v>226</v>
      </c>
    </row>
    <row r="85" spans="1:16" x14ac:dyDescent="0.25">
      <c r="A85" s="21" t="s">
        <v>204</v>
      </c>
      <c r="B85" s="29" t="s">
        <v>205</v>
      </c>
      <c r="C85" s="23" t="s">
        <v>206</v>
      </c>
      <c r="D85" s="19" t="s">
        <v>44</v>
      </c>
      <c r="E85" s="19" t="s">
        <v>8</v>
      </c>
      <c r="F85" s="26" t="s">
        <v>57</v>
      </c>
      <c r="G85" s="27">
        <v>363.09</v>
      </c>
      <c r="H85" s="19" t="s">
        <v>224</v>
      </c>
      <c r="I85" s="19">
        <v>18.268999999999998</v>
      </c>
      <c r="J85" s="26" t="s">
        <v>154</v>
      </c>
      <c r="K85" s="20" t="s">
        <v>234</v>
      </c>
      <c r="O85" s="19">
        <v>3</v>
      </c>
      <c r="P85" s="19" t="s">
        <v>226</v>
      </c>
    </row>
    <row r="86" spans="1:16" x14ac:dyDescent="0.25">
      <c r="A86" s="21" t="s">
        <v>192</v>
      </c>
      <c r="B86" s="22" t="s">
        <v>193</v>
      </c>
      <c r="C86" s="23" t="s">
        <v>194</v>
      </c>
      <c r="D86" s="19" t="s">
        <v>45</v>
      </c>
      <c r="E86" s="19" t="s">
        <v>4</v>
      </c>
      <c r="F86" s="19" t="s">
        <v>54</v>
      </c>
      <c r="G86" s="24">
        <v>0.14499999999999999</v>
      </c>
      <c r="H86" s="19" t="s">
        <v>223</v>
      </c>
      <c r="J86" s="19" t="s">
        <v>165</v>
      </c>
      <c r="K86" s="20" t="s">
        <v>235</v>
      </c>
      <c r="L86" s="19">
        <v>1</v>
      </c>
      <c r="O86" s="19">
        <v>30</v>
      </c>
    </row>
    <row r="87" spans="1:16" x14ac:dyDescent="0.25">
      <c r="A87" s="21" t="s">
        <v>192</v>
      </c>
      <c r="B87" s="22" t="s">
        <v>193</v>
      </c>
      <c r="C87" s="23" t="s">
        <v>194</v>
      </c>
      <c r="D87" s="19" t="s">
        <v>45</v>
      </c>
      <c r="E87" s="19" t="s">
        <v>8</v>
      </c>
      <c r="F87" s="19" t="s">
        <v>54</v>
      </c>
      <c r="G87" s="24">
        <v>0.129</v>
      </c>
      <c r="H87" s="19" t="s">
        <v>223</v>
      </c>
      <c r="J87" s="19" t="s">
        <v>165</v>
      </c>
      <c r="K87" s="20" t="s">
        <v>235</v>
      </c>
      <c r="L87" s="19">
        <v>1</v>
      </c>
      <c r="O87" s="19">
        <v>300</v>
      </c>
    </row>
    <row r="88" spans="1:16" x14ac:dyDescent="0.25">
      <c r="A88" s="21" t="s">
        <v>192</v>
      </c>
      <c r="B88" s="22" t="s">
        <v>193</v>
      </c>
      <c r="C88" s="23" t="s">
        <v>194</v>
      </c>
      <c r="D88" s="19" t="s">
        <v>45</v>
      </c>
      <c r="E88" s="19" t="s">
        <v>4</v>
      </c>
      <c r="F88" s="19" t="s">
        <v>54</v>
      </c>
      <c r="G88" s="24">
        <v>0.308</v>
      </c>
      <c r="H88" s="19" t="s">
        <v>223</v>
      </c>
      <c r="J88" s="19" t="s">
        <v>165</v>
      </c>
      <c r="K88" s="20" t="s">
        <v>235</v>
      </c>
      <c r="L88" s="19">
        <v>1</v>
      </c>
      <c r="O88" s="19">
        <v>30</v>
      </c>
    </row>
    <row r="89" spans="1:16" x14ac:dyDescent="0.25">
      <c r="A89" s="21" t="s">
        <v>192</v>
      </c>
      <c r="B89" s="22" t="s">
        <v>193</v>
      </c>
      <c r="C89" s="23" t="s">
        <v>194</v>
      </c>
      <c r="D89" s="19" t="s">
        <v>45</v>
      </c>
      <c r="E89" s="19" t="s">
        <v>8</v>
      </c>
      <c r="F89" s="19" t="s">
        <v>54</v>
      </c>
      <c r="G89" s="24">
        <v>0.29099999999999998</v>
      </c>
      <c r="H89" s="19" t="s">
        <v>223</v>
      </c>
      <c r="J89" s="19" t="s">
        <v>165</v>
      </c>
      <c r="K89" s="20" t="s">
        <v>235</v>
      </c>
      <c r="L89" s="19">
        <v>1</v>
      </c>
      <c r="O89" s="19">
        <v>300</v>
      </c>
    </row>
    <row r="90" spans="1:16" x14ac:dyDescent="0.25">
      <c r="A90" s="21" t="s">
        <v>220</v>
      </c>
      <c r="B90" s="22" t="s">
        <v>221</v>
      </c>
      <c r="C90" s="23" t="s">
        <v>222</v>
      </c>
      <c r="D90" s="19" t="s">
        <v>45</v>
      </c>
      <c r="E90" s="19" t="s">
        <v>4</v>
      </c>
      <c r="F90" s="19" t="s">
        <v>54</v>
      </c>
      <c r="G90" s="24">
        <v>0.13500000000000001</v>
      </c>
      <c r="H90" s="19" t="s">
        <v>223</v>
      </c>
      <c r="J90" s="19" t="s">
        <v>167</v>
      </c>
      <c r="K90" s="20" t="s">
        <v>236</v>
      </c>
      <c r="L90" s="19">
        <v>1</v>
      </c>
      <c r="O90" s="19">
        <v>1</v>
      </c>
    </row>
    <row r="91" spans="1:16" x14ac:dyDescent="0.25">
      <c r="A91" s="21" t="s">
        <v>220</v>
      </c>
      <c r="B91" s="22" t="s">
        <v>221</v>
      </c>
      <c r="C91" s="23" t="s">
        <v>222</v>
      </c>
      <c r="D91" s="19" t="s">
        <v>45</v>
      </c>
      <c r="E91" s="19" t="s">
        <v>8</v>
      </c>
      <c r="F91" s="19" t="s">
        <v>54</v>
      </c>
      <c r="G91" s="24">
        <v>0.13500000000000001</v>
      </c>
      <c r="H91" s="19" t="s">
        <v>223</v>
      </c>
      <c r="J91" s="19" t="s">
        <v>167</v>
      </c>
      <c r="K91" s="20" t="s">
        <v>236</v>
      </c>
      <c r="L91" s="19">
        <v>1</v>
      </c>
      <c r="O91" s="19">
        <v>10</v>
      </c>
    </row>
    <row r="92" spans="1:16" x14ac:dyDescent="0.25">
      <c r="A92" s="21" t="s">
        <v>220</v>
      </c>
      <c r="B92" s="22" t="s">
        <v>221</v>
      </c>
      <c r="C92" s="23" t="s">
        <v>222</v>
      </c>
      <c r="D92" s="19" t="s">
        <v>45</v>
      </c>
      <c r="E92" s="19" t="s">
        <v>4</v>
      </c>
      <c r="F92" s="19" t="s">
        <v>54</v>
      </c>
      <c r="G92" s="24">
        <v>0.22600000000000001</v>
      </c>
      <c r="H92" s="19" t="s">
        <v>223</v>
      </c>
      <c r="J92" s="19" t="s">
        <v>167</v>
      </c>
      <c r="K92" s="20" t="s">
        <v>236</v>
      </c>
      <c r="L92" s="19">
        <v>1</v>
      </c>
      <c r="O92" s="19">
        <v>1</v>
      </c>
    </row>
    <row r="93" spans="1:16" x14ac:dyDescent="0.25">
      <c r="A93" s="21" t="s">
        <v>220</v>
      </c>
      <c r="B93" s="22" t="s">
        <v>221</v>
      </c>
      <c r="C93" s="23" t="s">
        <v>222</v>
      </c>
      <c r="D93" s="19" t="s">
        <v>45</v>
      </c>
      <c r="E93" s="19" t="s">
        <v>8</v>
      </c>
      <c r="F93" s="19" t="s">
        <v>54</v>
      </c>
      <c r="G93" s="24">
        <v>0.22600000000000001</v>
      </c>
      <c r="H93" s="19" t="s">
        <v>223</v>
      </c>
      <c r="J93" s="19" t="s">
        <v>167</v>
      </c>
      <c r="K93" s="20" t="s">
        <v>236</v>
      </c>
      <c r="L93" s="19">
        <v>1</v>
      </c>
      <c r="O93" s="19">
        <v>10</v>
      </c>
    </row>
    <row r="94" spans="1:16" x14ac:dyDescent="0.25">
      <c r="A94" s="21" t="s">
        <v>220</v>
      </c>
      <c r="B94" s="22" t="s">
        <v>221</v>
      </c>
      <c r="C94" s="23" t="s">
        <v>222</v>
      </c>
      <c r="D94" s="19" t="s">
        <v>44</v>
      </c>
      <c r="E94" s="19" t="s">
        <v>4</v>
      </c>
      <c r="F94" s="19" t="s">
        <v>57</v>
      </c>
      <c r="G94" s="24">
        <v>211.2</v>
      </c>
      <c r="H94" s="19" t="s">
        <v>224</v>
      </c>
      <c r="I94" s="19">
        <v>28.2</v>
      </c>
      <c r="J94" s="19" t="s">
        <v>129</v>
      </c>
      <c r="K94" s="20" t="s">
        <v>237</v>
      </c>
      <c r="L94" s="19">
        <v>1</v>
      </c>
      <c r="O94" s="19">
        <v>24</v>
      </c>
      <c r="P94" s="19" t="s">
        <v>226</v>
      </c>
    </row>
    <row r="95" spans="1:16" x14ac:dyDescent="0.25">
      <c r="A95" s="21" t="s">
        <v>220</v>
      </c>
      <c r="B95" s="22" t="s">
        <v>221</v>
      </c>
      <c r="C95" s="23" t="s">
        <v>222</v>
      </c>
      <c r="D95" s="19" t="s">
        <v>44</v>
      </c>
      <c r="E95" s="19" t="s">
        <v>8</v>
      </c>
      <c r="F95" s="19" t="s">
        <v>57</v>
      </c>
      <c r="G95" s="24">
        <v>338.8</v>
      </c>
      <c r="H95" s="19" t="s">
        <v>224</v>
      </c>
      <c r="I95" s="19">
        <v>68.099999999999994</v>
      </c>
      <c r="J95" s="19" t="s">
        <v>129</v>
      </c>
      <c r="K95" s="20" t="s">
        <v>237</v>
      </c>
      <c r="L95" s="19">
        <v>1</v>
      </c>
      <c r="O95" s="19">
        <v>24</v>
      </c>
      <c r="P95" s="19" t="s">
        <v>226</v>
      </c>
    </row>
    <row r="96" spans="1:16" x14ac:dyDescent="0.25">
      <c r="A96" s="19" t="s">
        <v>195</v>
      </c>
      <c r="B96" s="32" t="s">
        <v>196</v>
      </c>
      <c r="C96" s="19" t="s">
        <v>197</v>
      </c>
      <c r="D96" s="19" t="s">
        <v>44</v>
      </c>
      <c r="E96" s="19" t="s">
        <v>4</v>
      </c>
      <c r="F96" s="19" t="s">
        <v>57</v>
      </c>
      <c r="G96" s="24">
        <v>441.1</v>
      </c>
      <c r="H96" s="19" t="s">
        <v>224</v>
      </c>
      <c r="I96" s="19">
        <v>55.1</v>
      </c>
      <c r="J96" s="19" t="s">
        <v>129</v>
      </c>
      <c r="K96" s="20" t="s">
        <v>237</v>
      </c>
      <c r="L96" s="19">
        <v>1</v>
      </c>
      <c r="O96" s="19">
        <v>24</v>
      </c>
      <c r="P96" s="19" t="s">
        <v>226</v>
      </c>
    </row>
    <row r="97" spans="1:16" x14ac:dyDescent="0.25">
      <c r="A97" s="19" t="s">
        <v>195</v>
      </c>
      <c r="B97" s="32" t="s">
        <v>196</v>
      </c>
      <c r="C97" s="19" t="s">
        <v>197</v>
      </c>
      <c r="D97" s="19" t="s">
        <v>44</v>
      </c>
      <c r="E97" s="19" t="s">
        <v>8</v>
      </c>
      <c r="F97" s="19" t="s">
        <v>57</v>
      </c>
      <c r="G97" s="24">
        <v>347.7</v>
      </c>
      <c r="H97" s="19" t="s">
        <v>224</v>
      </c>
      <c r="I97" s="19">
        <v>15.2</v>
      </c>
      <c r="J97" s="19" t="s">
        <v>129</v>
      </c>
      <c r="K97" s="20" t="s">
        <v>237</v>
      </c>
      <c r="L97" s="19">
        <v>1</v>
      </c>
      <c r="O97" s="19">
        <v>24</v>
      </c>
      <c r="P97" s="19" t="s">
        <v>226</v>
      </c>
    </row>
    <row r="98" spans="1:16" x14ac:dyDescent="0.25">
      <c r="A98" s="19" t="s">
        <v>198</v>
      </c>
      <c r="B98" s="32" t="s">
        <v>199</v>
      </c>
      <c r="C98" s="19" t="s">
        <v>200</v>
      </c>
      <c r="D98" s="19" t="s">
        <v>44</v>
      </c>
      <c r="E98" s="19" t="s">
        <v>4</v>
      </c>
      <c r="F98" s="19" t="s">
        <v>57</v>
      </c>
      <c r="G98" s="24">
        <v>200.6</v>
      </c>
      <c r="H98" s="19" t="s">
        <v>224</v>
      </c>
      <c r="I98" s="19">
        <v>29</v>
      </c>
      <c r="J98" s="19" t="s">
        <v>129</v>
      </c>
      <c r="K98" s="20" t="s">
        <v>237</v>
      </c>
      <c r="L98" s="19">
        <v>1</v>
      </c>
      <c r="O98" s="19">
        <v>24</v>
      </c>
      <c r="P98" s="19" t="s">
        <v>226</v>
      </c>
    </row>
    <row r="99" spans="1:16" x14ac:dyDescent="0.25">
      <c r="A99" s="19" t="s">
        <v>198</v>
      </c>
      <c r="B99" s="32" t="s">
        <v>199</v>
      </c>
      <c r="C99" s="19" t="s">
        <v>200</v>
      </c>
      <c r="D99" s="19" t="s">
        <v>44</v>
      </c>
      <c r="E99" s="19" t="s">
        <v>8</v>
      </c>
      <c r="F99" s="19" t="s">
        <v>57</v>
      </c>
      <c r="G99" s="24">
        <v>196.2</v>
      </c>
      <c r="H99" s="19" t="s">
        <v>224</v>
      </c>
      <c r="I99" s="19">
        <v>18.600000000000001</v>
      </c>
      <c r="J99" s="19" t="s">
        <v>129</v>
      </c>
      <c r="K99" s="20" t="s">
        <v>237</v>
      </c>
      <c r="L99" s="19">
        <v>1</v>
      </c>
      <c r="O99" s="19">
        <v>24</v>
      </c>
      <c r="P99" s="19" t="s">
        <v>226</v>
      </c>
    </row>
    <row r="100" spans="1:16" x14ac:dyDescent="0.25">
      <c r="A100" s="19" t="s">
        <v>204</v>
      </c>
      <c r="B100" s="32" t="s">
        <v>205</v>
      </c>
      <c r="C100" s="19" t="s">
        <v>206</v>
      </c>
      <c r="D100" s="19" t="s">
        <v>44</v>
      </c>
      <c r="E100" s="19" t="s">
        <v>4</v>
      </c>
      <c r="F100" s="19" t="s">
        <v>57</v>
      </c>
      <c r="G100" s="24">
        <v>243.1</v>
      </c>
      <c r="H100" s="19" t="s">
        <v>224</v>
      </c>
      <c r="I100" s="19">
        <v>48.9</v>
      </c>
      <c r="J100" s="19" t="s">
        <v>129</v>
      </c>
      <c r="K100" s="20" t="s">
        <v>237</v>
      </c>
      <c r="L100" s="19">
        <v>1</v>
      </c>
      <c r="O100" s="19">
        <v>24</v>
      </c>
      <c r="P100" s="19" t="s">
        <v>226</v>
      </c>
    </row>
    <row r="101" spans="1:16" x14ac:dyDescent="0.25">
      <c r="A101" s="19" t="s">
        <v>204</v>
      </c>
      <c r="B101" s="32" t="s">
        <v>205</v>
      </c>
      <c r="C101" s="19" t="s">
        <v>206</v>
      </c>
      <c r="D101" s="19" t="s">
        <v>44</v>
      </c>
      <c r="E101" s="19" t="s">
        <v>8</v>
      </c>
      <c r="F101" s="19" t="s">
        <v>57</v>
      </c>
      <c r="G101" s="24">
        <v>286.8</v>
      </c>
      <c r="H101" s="19" t="s">
        <v>224</v>
      </c>
      <c r="I101" s="19">
        <v>12.5</v>
      </c>
      <c r="J101" s="19" t="s">
        <v>129</v>
      </c>
      <c r="K101" s="20" t="s">
        <v>237</v>
      </c>
      <c r="L101" s="19">
        <v>1</v>
      </c>
      <c r="O101" s="19">
        <v>24</v>
      </c>
      <c r="P101" s="19" t="s">
        <v>226</v>
      </c>
    </row>
    <row r="102" spans="1:16" x14ac:dyDescent="0.25">
      <c r="A102" s="21" t="s">
        <v>192</v>
      </c>
      <c r="B102" s="22" t="s">
        <v>193</v>
      </c>
      <c r="C102" s="23" t="s">
        <v>194</v>
      </c>
      <c r="D102" s="19" t="s">
        <v>46</v>
      </c>
      <c r="E102" s="19" t="s">
        <v>4</v>
      </c>
      <c r="F102" s="19" t="s">
        <v>57</v>
      </c>
      <c r="G102" s="24">
        <v>0.255</v>
      </c>
      <c r="H102" s="19" t="s">
        <v>223</v>
      </c>
      <c r="J102" s="19" t="s">
        <v>53</v>
      </c>
      <c r="K102" s="20" t="s">
        <v>238</v>
      </c>
      <c r="L102" s="19">
        <v>1</v>
      </c>
      <c r="O102" s="19">
        <v>30</v>
      </c>
    </row>
    <row r="103" spans="1:16" x14ac:dyDescent="0.25">
      <c r="A103" s="21" t="s">
        <v>192</v>
      </c>
      <c r="B103" s="22" t="s">
        <v>193</v>
      </c>
      <c r="C103" s="23" t="s">
        <v>194</v>
      </c>
      <c r="D103" s="19" t="s">
        <v>46</v>
      </c>
      <c r="E103" s="19" t="s">
        <v>8</v>
      </c>
      <c r="F103" s="19" t="s">
        <v>57</v>
      </c>
      <c r="G103" s="24">
        <v>0.254</v>
      </c>
      <c r="H103" s="19" t="s">
        <v>223</v>
      </c>
      <c r="J103" s="19" t="s">
        <v>53</v>
      </c>
      <c r="K103" s="20" t="s">
        <v>238</v>
      </c>
      <c r="L103" s="19">
        <v>1</v>
      </c>
      <c r="O103" s="19">
        <v>30</v>
      </c>
    </row>
    <row r="104" spans="1:16" x14ac:dyDescent="0.25">
      <c r="A104" s="21" t="s">
        <v>192</v>
      </c>
      <c r="B104" s="22" t="s">
        <v>193</v>
      </c>
      <c r="C104" s="23" t="s">
        <v>194</v>
      </c>
      <c r="D104" s="19" t="s">
        <v>44</v>
      </c>
      <c r="E104" s="19" t="s">
        <v>4</v>
      </c>
      <c r="F104" s="19" t="s">
        <v>57</v>
      </c>
      <c r="G104" s="24">
        <v>0.35099999999999998</v>
      </c>
      <c r="H104" s="19" t="s">
        <v>223</v>
      </c>
      <c r="J104" s="19" t="s">
        <v>53</v>
      </c>
      <c r="K104" s="20" t="s">
        <v>238</v>
      </c>
      <c r="L104" s="19">
        <v>1</v>
      </c>
      <c r="O104" s="19">
        <v>30</v>
      </c>
    </row>
    <row r="105" spans="1:16" x14ac:dyDescent="0.25">
      <c r="A105" s="21" t="s">
        <v>192</v>
      </c>
      <c r="B105" s="22" t="s">
        <v>193</v>
      </c>
      <c r="C105" s="23" t="s">
        <v>194</v>
      </c>
      <c r="D105" s="19" t="s">
        <v>44</v>
      </c>
      <c r="E105" s="19" t="s">
        <v>8</v>
      </c>
      <c r="F105" s="19" t="s">
        <v>57</v>
      </c>
      <c r="G105" s="24">
        <v>0.33</v>
      </c>
      <c r="H105" s="19" t="s">
        <v>223</v>
      </c>
      <c r="J105" s="19" t="s">
        <v>53</v>
      </c>
      <c r="K105" s="20" t="s">
        <v>238</v>
      </c>
      <c r="L105" s="19">
        <v>1</v>
      </c>
      <c r="O105" s="19">
        <v>30</v>
      </c>
    </row>
    <row r="106" spans="1:16" x14ac:dyDescent="0.25">
      <c r="A106" s="21" t="s">
        <v>192</v>
      </c>
      <c r="B106" s="22" t="s">
        <v>193</v>
      </c>
      <c r="C106" s="23" t="s">
        <v>194</v>
      </c>
      <c r="D106" s="19" t="s">
        <v>44</v>
      </c>
      <c r="E106" s="19" t="s">
        <v>4</v>
      </c>
      <c r="F106" s="19" t="s">
        <v>54</v>
      </c>
      <c r="G106" s="24">
        <v>0.39100000000000001</v>
      </c>
      <c r="H106" s="19" t="s">
        <v>223</v>
      </c>
      <c r="J106" s="19" t="s">
        <v>53</v>
      </c>
      <c r="K106" s="20" t="s">
        <v>238</v>
      </c>
      <c r="L106" s="19">
        <v>1</v>
      </c>
      <c r="O106" s="19">
        <v>20</v>
      </c>
    </row>
    <row r="107" spans="1:16" x14ac:dyDescent="0.25">
      <c r="A107" s="21" t="s">
        <v>192</v>
      </c>
      <c r="B107" s="22" t="s">
        <v>193</v>
      </c>
      <c r="C107" s="23" t="s">
        <v>194</v>
      </c>
      <c r="D107" s="19" t="s">
        <v>44</v>
      </c>
      <c r="E107" s="19" t="s">
        <v>8</v>
      </c>
      <c r="F107" s="19" t="s">
        <v>54</v>
      </c>
      <c r="G107" s="24">
        <v>0.67600000000000005</v>
      </c>
      <c r="H107" s="19" t="s">
        <v>223</v>
      </c>
      <c r="J107" s="19" t="s">
        <v>53</v>
      </c>
      <c r="K107" s="20" t="s">
        <v>238</v>
      </c>
      <c r="L107" s="19">
        <v>1</v>
      </c>
      <c r="O107" s="19">
        <v>20</v>
      </c>
    </row>
    <row r="108" spans="1:16" ht="15.75" x14ac:dyDescent="0.25">
      <c r="A108" s="21" t="s">
        <v>201</v>
      </c>
      <c r="B108" s="22" t="s">
        <v>202</v>
      </c>
      <c r="C108" s="23" t="s">
        <v>203</v>
      </c>
      <c r="D108" s="31" t="s">
        <v>46</v>
      </c>
      <c r="E108" s="31" t="s">
        <v>8</v>
      </c>
      <c r="F108" s="26" t="s">
        <v>57</v>
      </c>
      <c r="G108" s="27">
        <v>287</v>
      </c>
      <c r="H108" s="19" t="s">
        <v>224</v>
      </c>
      <c r="J108" s="19" t="s">
        <v>109</v>
      </c>
      <c r="K108" s="20" t="s">
        <v>239</v>
      </c>
      <c r="L108" s="19">
        <v>1</v>
      </c>
      <c r="O108" s="19">
        <v>10</v>
      </c>
      <c r="P108" s="19" t="s">
        <v>226</v>
      </c>
    </row>
    <row r="109" spans="1:16" ht="15.75" x14ac:dyDescent="0.25">
      <c r="A109" s="21" t="s">
        <v>201</v>
      </c>
      <c r="B109" s="22" t="s">
        <v>202</v>
      </c>
      <c r="C109" s="23" t="s">
        <v>203</v>
      </c>
      <c r="D109" s="31" t="s">
        <v>46</v>
      </c>
      <c r="E109" s="31" t="s">
        <v>4</v>
      </c>
      <c r="F109" s="26" t="s">
        <v>57</v>
      </c>
      <c r="G109" s="27">
        <v>147</v>
      </c>
      <c r="H109" s="19" t="s">
        <v>224</v>
      </c>
      <c r="J109" s="19" t="s">
        <v>109</v>
      </c>
      <c r="K109" s="20" t="s">
        <v>239</v>
      </c>
      <c r="L109" s="19">
        <v>1</v>
      </c>
      <c r="O109" s="19">
        <v>10</v>
      </c>
      <c r="P109" s="19" t="s">
        <v>226</v>
      </c>
    </row>
    <row r="110" spans="1:16" ht="15.75" x14ac:dyDescent="0.25">
      <c r="A110" s="21" t="s">
        <v>201</v>
      </c>
      <c r="B110" s="22" t="s">
        <v>202</v>
      </c>
      <c r="C110" s="23" t="s">
        <v>203</v>
      </c>
      <c r="D110" s="31" t="s">
        <v>45</v>
      </c>
      <c r="E110" s="31" t="s">
        <v>8</v>
      </c>
      <c r="F110" s="26" t="s">
        <v>54</v>
      </c>
      <c r="G110" s="27">
        <v>129</v>
      </c>
      <c r="H110" s="19" t="s">
        <v>224</v>
      </c>
      <c r="J110" s="19" t="s">
        <v>109</v>
      </c>
      <c r="K110" s="20" t="s">
        <v>239</v>
      </c>
      <c r="O110" s="19">
        <v>1</v>
      </c>
      <c r="P110" s="19" t="s">
        <v>226</v>
      </c>
    </row>
    <row r="111" spans="1:16" ht="15.75" x14ac:dyDescent="0.25">
      <c r="A111" s="21" t="s">
        <v>201</v>
      </c>
      <c r="B111" s="22" t="s">
        <v>202</v>
      </c>
      <c r="C111" s="23" t="s">
        <v>203</v>
      </c>
      <c r="D111" s="31" t="s">
        <v>45</v>
      </c>
      <c r="E111" s="31" t="s">
        <v>4</v>
      </c>
      <c r="F111" s="26" t="s">
        <v>54</v>
      </c>
      <c r="G111" s="27">
        <v>96</v>
      </c>
      <c r="H111" s="19" t="s">
        <v>224</v>
      </c>
      <c r="J111" s="19" t="s">
        <v>109</v>
      </c>
      <c r="K111" s="20" t="s">
        <v>239</v>
      </c>
      <c r="O111" s="19">
        <v>1</v>
      </c>
      <c r="P111" s="19" t="s">
        <v>226</v>
      </c>
    </row>
    <row r="112" spans="1:16" ht="15.75" x14ac:dyDescent="0.25">
      <c r="A112" s="21" t="s">
        <v>201</v>
      </c>
      <c r="B112" s="22" t="s">
        <v>202</v>
      </c>
      <c r="C112" s="23" t="s">
        <v>203</v>
      </c>
      <c r="D112" s="31" t="s">
        <v>45</v>
      </c>
      <c r="E112" s="31" t="s">
        <v>8</v>
      </c>
      <c r="F112" s="26" t="s">
        <v>54</v>
      </c>
      <c r="G112" s="27">
        <v>195</v>
      </c>
      <c r="H112" s="19" t="s">
        <v>224</v>
      </c>
      <c r="J112" s="19" t="s">
        <v>109</v>
      </c>
      <c r="K112" s="20" t="s">
        <v>239</v>
      </c>
      <c r="O112" s="19">
        <v>20</v>
      </c>
      <c r="P112" s="19" t="s">
        <v>226</v>
      </c>
    </row>
    <row r="113" spans="1:16" ht="15.75" x14ac:dyDescent="0.25">
      <c r="A113" s="21" t="s">
        <v>201</v>
      </c>
      <c r="B113" s="22" t="s">
        <v>202</v>
      </c>
      <c r="C113" s="23" t="s">
        <v>203</v>
      </c>
      <c r="D113" s="31" t="s">
        <v>45</v>
      </c>
      <c r="E113" s="31" t="s">
        <v>4</v>
      </c>
      <c r="F113" s="26" t="s">
        <v>54</v>
      </c>
      <c r="G113" s="27">
        <v>147</v>
      </c>
      <c r="H113" s="19" t="s">
        <v>224</v>
      </c>
      <c r="J113" s="19" t="s">
        <v>109</v>
      </c>
      <c r="K113" s="20" t="s">
        <v>239</v>
      </c>
      <c r="O113" s="19">
        <v>20</v>
      </c>
      <c r="P113" s="19" t="s">
        <v>226</v>
      </c>
    </row>
    <row r="114" spans="1:16" ht="15.75" x14ac:dyDescent="0.25">
      <c r="A114" s="21" t="s">
        <v>201</v>
      </c>
      <c r="B114" s="22" t="s">
        <v>202</v>
      </c>
      <c r="C114" s="23" t="s">
        <v>203</v>
      </c>
      <c r="D114" s="31" t="s">
        <v>44</v>
      </c>
      <c r="E114" s="31" t="s">
        <v>4</v>
      </c>
      <c r="F114" s="26" t="s">
        <v>57</v>
      </c>
      <c r="G114" s="27">
        <v>126</v>
      </c>
      <c r="H114" s="19" t="s">
        <v>224</v>
      </c>
      <c r="J114" s="19" t="s">
        <v>109</v>
      </c>
      <c r="K114" s="20" t="s">
        <v>239</v>
      </c>
    </row>
    <row r="115" spans="1:16" ht="15.75" x14ac:dyDescent="0.25">
      <c r="A115" s="21" t="s">
        <v>201</v>
      </c>
      <c r="B115" s="22" t="s">
        <v>202</v>
      </c>
      <c r="C115" s="23" t="s">
        <v>203</v>
      </c>
      <c r="D115" s="31" t="s">
        <v>44</v>
      </c>
      <c r="E115" s="31" t="s">
        <v>8</v>
      </c>
      <c r="F115" s="26" t="s">
        <v>57</v>
      </c>
      <c r="G115" s="27">
        <v>275</v>
      </c>
      <c r="H115" s="19" t="s">
        <v>224</v>
      </c>
      <c r="J115" s="19" t="s">
        <v>109</v>
      </c>
      <c r="K115" s="20" t="s">
        <v>239</v>
      </c>
    </row>
    <row r="116" spans="1:16" x14ac:dyDescent="0.25">
      <c r="A116" s="21" t="s">
        <v>204</v>
      </c>
      <c r="B116" s="22" t="s">
        <v>205</v>
      </c>
      <c r="C116" s="23" t="s">
        <v>206</v>
      </c>
      <c r="D116" s="19" t="s">
        <v>44</v>
      </c>
      <c r="E116" s="19" t="s">
        <v>4</v>
      </c>
      <c r="F116" s="19" t="s">
        <v>54</v>
      </c>
      <c r="G116" s="24">
        <v>0.125</v>
      </c>
      <c r="H116" s="19" t="s">
        <v>223</v>
      </c>
      <c r="J116" s="19" t="s">
        <v>147</v>
      </c>
      <c r="L116" s="19">
        <v>1</v>
      </c>
      <c r="O116" s="19">
        <v>1</v>
      </c>
    </row>
    <row r="117" spans="1:16" x14ac:dyDescent="0.25">
      <c r="A117" s="21" t="s">
        <v>204</v>
      </c>
      <c r="B117" s="22" t="s">
        <v>205</v>
      </c>
      <c r="C117" s="23" t="s">
        <v>206</v>
      </c>
      <c r="D117" s="19" t="s">
        <v>44</v>
      </c>
      <c r="E117" s="19" t="s">
        <v>8</v>
      </c>
      <c r="F117" s="19" t="s">
        <v>54</v>
      </c>
      <c r="G117" s="24">
        <v>0.113</v>
      </c>
      <c r="H117" s="19" t="s">
        <v>223</v>
      </c>
      <c r="J117" s="19" t="s">
        <v>147</v>
      </c>
      <c r="L117" s="19">
        <v>1</v>
      </c>
      <c r="O117" s="19">
        <v>1</v>
      </c>
    </row>
    <row r="118" spans="1:16" x14ac:dyDescent="0.25">
      <c r="A118" s="21" t="s">
        <v>204</v>
      </c>
      <c r="B118" s="22" t="s">
        <v>205</v>
      </c>
      <c r="C118" s="23" t="s">
        <v>206</v>
      </c>
      <c r="D118" s="19" t="s">
        <v>44</v>
      </c>
      <c r="E118" s="19" t="s">
        <v>4</v>
      </c>
      <c r="F118" s="19" t="s">
        <v>54</v>
      </c>
      <c r="G118" s="24">
        <v>0.17100000000000001</v>
      </c>
      <c r="H118" s="19" t="s">
        <v>223</v>
      </c>
      <c r="J118" s="19" t="s">
        <v>147</v>
      </c>
      <c r="L118" s="19">
        <v>1</v>
      </c>
      <c r="O118" s="19">
        <v>3</v>
      </c>
    </row>
    <row r="119" spans="1:16" x14ac:dyDescent="0.25">
      <c r="A119" s="21" t="s">
        <v>204</v>
      </c>
      <c r="B119" s="22" t="s">
        <v>205</v>
      </c>
      <c r="C119" s="23" t="s">
        <v>206</v>
      </c>
      <c r="D119" s="19" t="s">
        <v>44</v>
      </c>
      <c r="E119" s="19" t="s">
        <v>8</v>
      </c>
      <c r="F119" s="19" t="s">
        <v>54</v>
      </c>
      <c r="G119" s="24">
        <v>0.13900000000000001</v>
      </c>
      <c r="H119" s="19" t="s">
        <v>223</v>
      </c>
      <c r="J119" s="19" t="s">
        <v>147</v>
      </c>
      <c r="L119" s="19">
        <v>1</v>
      </c>
      <c r="O119" s="19">
        <v>3</v>
      </c>
    </row>
    <row r="120" spans="1:16" x14ac:dyDescent="0.25">
      <c r="A120" s="21" t="s">
        <v>204</v>
      </c>
      <c r="B120" s="22" t="s">
        <v>205</v>
      </c>
      <c r="C120" s="23" t="s">
        <v>206</v>
      </c>
      <c r="D120" s="19" t="s">
        <v>44</v>
      </c>
      <c r="E120" s="19" t="s">
        <v>4</v>
      </c>
      <c r="F120" s="19" t="s">
        <v>54</v>
      </c>
      <c r="G120" s="24">
        <v>0.14599999999999999</v>
      </c>
      <c r="H120" s="19" t="s">
        <v>223</v>
      </c>
      <c r="J120" s="19" t="s">
        <v>147</v>
      </c>
      <c r="L120" s="19">
        <v>1</v>
      </c>
      <c r="O120" s="19">
        <v>10</v>
      </c>
    </row>
    <row r="121" spans="1:16" x14ac:dyDescent="0.25">
      <c r="A121" s="21" t="s">
        <v>204</v>
      </c>
      <c r="B121" s="22" t="s">
        <v>205</v>
      </c>
      <c r="C121" s="23" t="s">
        <v>206</v>
      </c>
      <c r="D121" s="19" t="s">
        <v>44</v>
      </c>
      <c r="E121" s="19" t="s">
        <v>8</v>
      </c>
      <c r="F121" s="19" t="s">
        <v>54</v>
      </c>
      <c r="G121" s="24">
        <v>0.11</v>
      </c>
      <c r="H121" s="19" t="s">
        <v>223</v>
      </c>
      <c r="J121" s="19" t="s">
        <v>147</v>
      </c>
      <c r="L121" s="19">
        <v>1</v>
      </c>
      <c r="O121" s="19">
        <v>10</v>
      </c>
    </row>
    <row r="122" spans="1:16" x14ac:dyDescent="0.25">
      <c r="A122" s="21" t="s">
        <v>204</v>
      </c>
      <c r="B122" s="22" t="s">
        <v>205</v>
      </c>
      <c r="C122" s="23" t="s">
        <v>206</v>
      </c>
      <c r="D122" s="19" t="s">
        <v>45</v>
      </c>
      <c r="E122" s="19" t="s">
        <v>4</v>
      </c>
      <c r="F122" s="19" t="s">
        <v>54</v>
      </c>
      <c r="G122" s="24">
        <v>0.192</v>
      </c>
      <c r="H122" s="19" t="s">
        <v>223</v>
      </c>
      <c r="J122" s="19" t="s">
        <v>147</v>
      </c>
      <c r="L122" s="19">
        <v>1</v>
      </c>
      <c r="O122" s="19">
        <v>1</v>
      </c>
    </row>
    <row r="123" spans="1:16" x14ac:dyDescent="0.25">
      <c r="A123" s="21" t="s">
        <v>204</v>
      </c>
      <c r="B123" s="22" t="s">
        <v>205</v>
      </c>
      <c r="C123" s="23" t="s">
        <v>206</v>
      </c>
      <c r="D123" s="19" t="s">
        <v>45</v>
      </c>
      <c r="E123" s="19" t="s">
        <v>8</v>
      </c>
      <c r="F123" s="19" t="s">
        <v>54</v>
      </c>
      <c r="G123" s="24">
        <v>0.32800000000000001</v>
      </c>
      <c r="H123" s="19" t="s">
        <v>223</v>
      </c>
      <c r="J123" s="19" t="s">
        <v>147</v>
      </c>
      <c r="L123" s="19">
        <v>1</v>
      </c>
      <c r="O123" s="19">
        <v>10</v>
      </c>
    </row>
    <row r="124" spans="1:16" x14ac:dyDescent="0.25">
      <c r="A124" s="21" t="s">
        <v>204</v>
      </c>
      <c r="B124" s="22" t="s">
        <v>205</v>
      </c>
      <c r="C124" s="23" t="s">
        <v>206</v>
      </c>
      <c r="D124" s="19" t="s">
        <v>45</v>
      </c>
      <c r="E124" s="19" t="s">
        <v>4</v>
      </c>
      <c r="F124" s="19" t="s">
        <v>54</v>
      </c>
      <c r="G124" s="24">
        <v>0.192</v>
      </c>
      <c r="H124" s="19" t="s">
        <v>223</v>
      </c>
      <c r="J124" s="19" t="s">
        <v>147</v>
      </c>
      <c r="L124" s="19">
        <v>1</v>
      </c>
      <c r="O124" s="19">
        <v>1</v>
      </c>
    </row>
    <row r="125" spans="1:16" x14ac:dyDescent="0.25">
      <c r="A125" s="21" t="s">
        <v>204</v>
      </c>
      <c r="B125" s="22" t="s">
        <v>205</v>
      </c>
      <c r="C125" s="23" t="s">
        <v>206</v>
      </c>
      <c r="D125" s="19" t="s">
        <v>45</v>
      </c>
      <c r="E125" s="19" t="s">
        <v>8</v>
      </c>
      <c r="F125" s="19" t="s">
        <v>54</v>
      </c>
      <c r="G125" s="24">
        <v>0.32800000000000001</v>
      </c>
      <c r="H125" s="19" t="s">
        <v>223</v>
      </c>
      <c r="J125" s="19" t="s">
        <v>147</v>
      </c>
      <c r="L125" s="19">
        <v>1</v>
      </c>
      <c r="O125" s="19">
        <v>10</v>
      </c>
    </row>
    <row r="126" spans="1:16" x14ac:dyDescent="0.25">
      <c r="A126" s="21" t="s">
        <v>207</v>
      </c>
      <c r="B126" s="22" t="s">
        <v>208</v>
      </c>
      <c r="C126" s="23" t="s">
        <v>209</v>
      </c>
      <c r="D126" s="19" t="s">
        <v>47</v>
      </c>
      <c r="E126" s="19" t="s">
        <v>4</v>
      </c>
      <c r="F126" s="19" t="s">
        <v>240</v>
      </c>
      <c r="G126" s="24">
        <v>0.23</v>
      </c>
      <c r="H126" s="19" t="s">
        <v>223</v>
      </c>
      <c r="J126" s="19" t="s">
        <v>174</v>
      </c>
      <c r="L126" s="19">
        <v>1</v>
      </c>
    </row>
    <row r="127" spans="1:16" x14ac:dyDescent="0.25">
      <c r="A127" s="21" t="s">
        <v>207</v>
      </c>
      <c r="B127" s="22" t="s">
        <v>208</v>
      </c>
      <c r="C127" s="23" t="s">
        <v>209</v>
      </c>
      <c r="D127" s="19" t="s">
        <v>47</v>
      </c>
      <c r="E127" s="19" t="s">
        <v>8</v>
      </c>
      <c r="F127" s="19" t="s">
        <v>240</v>
      </c>
      <c r="G127" s="24">
        <v>0.23</v>
      </c>
      <c r="H127" s="19" t="s">
        <v>223</v>
      </c>
      <c r="J127" s="19" t="s">
        <v>174</v>
      </c>
      <c r="L127" s="19">
        <v>1</v>
      </c>
    </row>
    <row r="128" spans="1:16" x14ac:dyDescent="0.25">
      <c r="A128" s="21" t="s">
        <v>220</v>
      </c>
      <c r="B128" s="22" t="s">
        <v>221</v>
      </c>
      <c r="C128" s="23" t="s">
        <v>222</v>
      </c>
      <c r="D128" s="19" t="s">
        <v>47</v>
      </c>
      <c r="E128" s="19" t="s">
        <v>4</v>
      </c>
      <c r="F128" s="19" t="s">
        <v>240</v>
      </c>
      <c r="G128" s="24">
        <v>0.17</v>
      </c>
      <c r="H128" s="19" t="s">
        <v>223</v>
      </c>
      <c r="J128" s="19" t="s">
        <v>174</v>
      </c>
      <c r="L128" s="19">
        <v>1</v>
      </c>
    </row>
    <row r="129" spans="1:12" x14ac:dyDescent="0.25">
      <c r="A129" s="21" t="s">
        <v>220</v>
      </c>
      <c r="B129" s="22" t="s">
        <v>221</v>
      </c>
      <c r="C129" s="23" t="s">
        <v>222</v>
      </c>
      <c r="D129" s="19" t="s">
        <v>47</v>
      </c>
      <c r="E129" s="19" t="s">
        <v>8</v>
      </c>
      <c r="F129" s="19" t="s">
        <v>240</v>
      </c>
      <c r="G129" s="24">
        <v>0.17</v>
      </c>
      <c r="H129" s="19" t="s">
        <v>223</v>
      </c>
      <c r="J129" s="19" t="s">
        <v>174</v>
      </c>
      <c r="L129" s="19">
        <v>1</v>
      </c>
    </row>
    <row r="130" spans="1:12" x14ac:dyDescent="0.25">
      <c r="A130" s="23"/>
      <c r="B130" s="23"/>
      <c r="C130" s="23"/>
    </row>
    <row r="131" spans="1:12" x14ac:dyDescent="0.25">
      <c r="A131" s="21"/>
      <c r="B131" s="29"/>
      <c r="C131" s="23"/>
    </row>
    <row r="132" spans="1:12" x14ac:dyDescent="0.25">
      <c r="A132" s="21"/>
      <c r="B132" s="29"/>
      <c r="C132" s="23"/>
    </row>
    <row r="133" spans="1:12" x14ac:dyDescent="0.25">
      <c r="A133" s="21"/>
      <c r="B133" s="29"/>
      <c r="C133" s="23"/>
    </row>
    <row r="134" spans="1:12" x14ac:dyDescent="0.25">
      <c r="A134" s="21"/>
      <c r="B134" s="29"/>
      <c r="C134" s="23"/>
    </row>
    <row r="135" spans="1:12" x14ac:dyDescent="0.25">
      <c r="A135" s="21"/>
      <c r="B135" s="29"/>
      <c r="C135" s="23"/>
    </row>
    <row r="136" spans="1:12" x14ac:dyDescent="0.25">
      <c r="A136" s="21"/>
      <c r="B136" s="29"/>
      <c r="C136" s="23"/>
    </row>
    <row r="137" spans="1:12" x14ac:dyDescent="0.25">
      <c r="A137" s="21"/>
      <c r="B137" s="29"/>
      <c r="C137" s="23"/>
    </row>
    <row r="138" spans="1:12" x14ac:dyDescent="0.25">
      <c r="B138" s="23"/>
    </row>
  </sheetData>
  <sortState xmlns:xlrd2="http://schemas.microsoft.com/office/spreadsheetml/2017/richdata2" ref="A2:O106">
    <sortCondition ref="A2:A106"/>
    <sortCondition ref="F2:F106"/>
    <sortCondition ref="M2:M106"/>
  </sortState>
  <hyperlinks>
    <hyperlink ref="B2" r:id="rId1" xr:uid="{73256055-E7FC-462A-ABC6-85AC1EE0717C}"/>
    <hyperlink ref="B3" r:id="rId2" xr:uid="{316C2B38-77DE-4E1B-9E68-421C352F03D2}"/>
    <hyperlink ref="B4" r:id="rId3" xr:uid="{E06C7039-1816-4CAB-869D-1D8323AA7B76}"/>
    <hyperlink ref="B5" r:id="rId4" xr:uid="{A6A93407-A8D3-46E2-AED6-F90C62B16D58}"/>
    <hyperlink ref="B6" r:id="rId5" xr:uid="{0F16D2A9-0441-43F4-B5FC-DFE5F182383A}"/>
    <hyperlink ref="B7" r:id="rId6" xr:uid="{4265E48A-BB6B-44A6-B485-528E848FD02C}"/>
    <hyperlink ref="B8" r:id="rId7" xr:uid="{926B91D6-14C9-4AB3-9936-A8F4F406418F}"/>
    <hyperlink ref="B9" r:id="rId8" xr:uid="{F6423188-FF90-4C96-BBB8-757993E3DF0A}"/>
    <hyperlink ref="B10" r:id="rId9" xr:uid="{E90710E7-5163-45DB-9C78-A33708BCF019}"/>
    <hyperlink ref="B11" r:id="rId10" xr:uid="{AA9B9E58-024D-475A-A8FE-27E16EF3CE0E}"/>
    <hyperlink ref="B12" r:id="rId11" xr:uid="{9A5ABAD3-F9E3-4500-97A4-8B0491B52875}"/>
    <hyperlink ref="B13" r:id="rId12" xr:uid="{E43AFE89-EF10-4722-96D6-FB04CE6A5778}"/>
    <hyperlink ref="B14" r:id="rId13" xr:uid="{FEE38313-1DE4-4D42-A148-D4C59162E1EB}"/>
    <hyperlink ref="B15" r:id="rId14" xr:uid="{C8766465-D9E8-4538-B142-5798850E0EE6}"/>
    <hyperlink ref="B16" r:id="rId15" xr:uid="{30C2AA0C-CE58-4607-9388-0FDA439766AF}"/>
    <hyperlink ref="B17" r:id="rId16" xr:uid="{CA893B76-C6D2-4B95-96BD-ED7A702F9756}"/>
    <hyperlink ref="B18" r:id="rId17" xr:uid="{588E551C-DC22-403B-9E85-8AA6246AB161}"/>
    <hyperlink ref="B19" r:id="rId18" xr:uid="{5D5788A2-65B7-4266-B655-F26790525B4F}"/>
    <hyperlink ref="B65" r:id="rId19" xr:uid="{8861E044-D785-4246-9A75-3C49678194BF}"/>
    <hyperlink ref="B66" r:id="rId20" xr:uid="{C1839808-61E8-4D23-B943-AF50C801E08A}"/>
    <hyperlink ref="B67" r:id="rId21" xr:uid="{5420E397-B173-4B70-9E44-25D91F8771D7}"/>
    <hyperlink ref="B68" r:id="rId22" xr:uid="{750526F1-6841-49CE-8B3D-33BE416C40C2}"/>
    <hyperlink ref="B61" r:id="rId23" xr:uid="{05B19C27-5B8C-4A60-93D1-C95783FD2B87}"/>
    <hyperlink ref="B62" r:id="rId24" xr:uid="{1E2F20F0-9B4F-4214-A440-69A3D66C02B6}"/>
    <hyperlink ref="B63" r:id="rId25" xr:uid="{EA425006-F9CF-4B89-A896-7E14E27597E0}"/>
    <hyperlink ref="B64" r:id="rId26" xr:uid="{57DCDD8B-D788-4075-A11B-B6558B4B8A89}"/>
    <hyperlink ref="B57" r:id="rId27" xr:uid="{9CF4A08D-66FD-4F06-9F39-D8DC7C9FBD56}"/>
    <hyperlink ref="B58" r:id="rId28" xr:uid="{7BA91377-740A-44BE-A7E1-7E0B6FD76620}"/>
    <hyperlink ref="B59" r:id="rId29" xr:uid="{2E46FDC7-0C88-488E-9EBE-CDCE927D0BE0}"/>
    <hyperlink ref="B60" r:id="rId30" xr:uid="{9FFAC773-0A88-477B-964C-838EB5CBFED7}"/>
    <hyperlink ref="B69" r:id="rId31" xr:uid="{3A2DC9E9-41FC-407D-BCD9-22D6F8E2979B}"/>
    <hyperlink ref="B70" r:id="rId32" xr:uid="{D237C163-DE1C-42F9-9FB2-E5EA60E581F4}"/>
    <hyperlink ref="B71" r:id="rId33" xr:uid="{F6C59666-A1E7-4DAF-8A30-05992D320FFF}"/>
    <hyperlink ref="B72" r:id="rId34" xr:uid="{BE9DA33B-0EBC-4318-BEA8-61E8EE43519F}"/>
    <hyperlink ref="B94" r:id="rId35" xr:uid="{4FF2BD9C-FC44-4EC2-84C0-815050BF9F11}"/>
    <hyperlink ref="B95" r:id="rId36" xr:uid="{3C28DDB0-239D-4A85-9DF1-69C2045A6F13}"/>
    <hyperlink ref="B102" r:id="rId37" xr:uid="{414FD0E6-6A07-4800-A0BB-5226D3DB197D}"/>
    <hyperlink ref="B103" r:id="rId38" xr:uid="{864F18E5-936D-4E42-A5BD-0CEFEF32FE52}"/>
    <hyperlink ref="B104" r:id="rId39" xr:uid="{470EA265-A4D4-4F3C-B521-313D09FE109F}"/>
    <hyperlink ref="B105" r:id="rId40" xr:uid="{C0E7CEC7-E313-4DC0-BE0B-E70BD168F350}"/>
    <hyperlink ref="B106" r:id="rId41" xr:uid="{8E7EC43B-6238-4D38-9190-05A204DC7CF3}"/>
    <hyperlink ref="B107" r:id="rId42" xr:uid="{9CF912B7-7744-4224-B0B5-AC3D747E8B57}"/>
    <hyperlink ref="B108" r:id="rId43" xr:uid="{FE2F58F3-491B-4F9E-877F-064B6CA09AA1}"/>
    <hyperlink ref="B128" r:id="rId44" xr:uid="{9947F478-E82D-498A-BF99-D6D5FA56D6CA}"/>
    <hyperlink ref="B129" r:id="rId45" xr:uid="{BB7C9EAB-9100-44A4-B802-990D6EF077EA}"/>
    <hyperlink ref="B126" r:id="rId46" xr:uid="{3FE87597-58EE-48FD-9982-987F8ADAA713}"/>
    <hyperlink ref="B127" r:id="rId47" xr:uid="{E5A68186-8512-4D78-87DA-68EED5B2E1A6}"/>
    <hyperlink ref="B86" r:id="rId48" xr:uid="{931F9251-5242-43D6-9439-E0B57C3D8E55}"/>
    <hyperlink ref="B87" r:id="rId49" xr:uid="{218041AE-7AC2-48CF-94ED-537D5205C109}"/>
    <hyperlink ref="B88" r:id="rId50" xr:uid="{9E4B0D7C-D00B-48C2-914D-1C0E670124D8}"/>
    <hyperlink ref="B89" r:id="rId51" xr:uid="{BBDA9070-CA3C-4A2F-A7AE-C40836A0EB6C}"/>
    <hyperlink ref="B116" r:id="rId52" xr:uid="{37EB9AAF-AC36-401F-90E3-B429E334E8DB}"/>
    <hyperlink ref="B117" r:id="rId53" xr:uid="{6AD3CC13-A6EA-4B72-9751-DCA302C3861B}"/>
    <hyperlink ref="B118" r:id="rId54" xr:uid="{EA5DEC6C-E9CB-4A0E-B90C-A9D8F96364A6}"/>
    <hyperlink ref="B119" r:id="rId55" xr:uid="{50300F5D-CF69-43B9-9DCC-9F807F41EDFD}"/>
    <hyperlink ref="B120" r:id="rId56" xr:uid="{9FC53348-1957-4517-B457-B3E43BBB7E79}"/>
    <hyperlink ref="B121" r:id="rId57" xr:uid="{0BF3361C-EBD3-4943-9091-2CBC8B7DFBB6}"/>
    <hyperlink ref="B122" r:id="rId58" xr:uid="{0FBCD732-5D97-4B83-9867-E91896D58E37}"/>
    <hyperlink ref="B123" r:id="rId59" xr:uid="{F74DBD98-8B90-4092-8603-07F0E255DD4C}"/>
    <hyperlink ref="B124" r:id="rId60" xr:uid="{EAC4EFE8-2D39-438F-81E6-100F36B8AB17}"/>
    <hyperlink ref="B125" r:id="rId61" xr:uid="{C52B81E9-DD00-47F3-B65D-171D706C0565}"/>
    <hyperlink ref="B90" r:id="rId62" xr:uid="{B8FA8201-CFF2-446D-BAEE-2175EB9638B9}"/>
    <hyperlink ref="B91" r:id="rId63" xr:uid="{549FB12E-1A5F-4B42-8F41-9F2D6DD4CF25}"/>
    <hyperlink ref="B92" r:id="rId64" xr:uid="{4E57B55D-44AB-453D-9280-D5F4BF37E158}"/>
    <hyperlink ref="B93" r:id="rId65" xr:uid="{3D33BB33-3D1A-4BDA-9C9D-C4426D133358}"/>
    <hyperlink ref="B20:B27" r:id="rId66" display="DTXSID3031860" xr:uid="{F14E7B4C-635F-4FF1-B443-3715D62701A7}"/>
    <hyperlink ref="B28:B32" r:id="rId67" display="DTXSID8031865" xr:uid="{D8E79DB3-EAC7-4217-A2CB-AAAFD7C3ED29}"/>
    <hyperlink ref="B49" r:id="rId68" xr:uid="{DDB6B30C-C2F0-46AF-8F48-29EDE6743DFC}"/>
    <hyperlink ref="B50" r:id="rId69" xr:uid="{4E5E3CC0-8DBD-4BA6-A3B1-205FC8639746}"/>
    <hyperlink ref="B51" r:id="rId70" xr:uid="{8C79086E-1323-41CD-BCF8-E676412D68B9}"/>
    <hyperlink ref="B52" r:id="rId71" xr:uid="{536C6487-B5E5-4E28-8130-AEFE755EEC2F}"/>
    <hyperlink ref="B53" r:id="rId72" xr:uid="{6C98D971-C0A2-4791-A3C0-9195C4FCFC34}"/>
    <hyperlink ref="B54" r:id="rId73" xr:uid="{34B8A4B0-2AFE-41A8-A448-DAAB869EE292}"/>
    <hyperlink ref="B55" r:id="rId74" xr:uid="{4529D767-6F7C-4E5A-B301-53C4AD8DFBA3}"/>
    <hyperlink ref="B56" r:id="rId75" xr:uid="{006CA298-5169-4652-9988-803A307D5135}"/>
    <hyperlink ref="B41" r:id="rId76" xr:uid="{98131459-5403-45F1-9E2A-A00573114B07}"/>
    <hyperlink ref="B42" r:id="rId77" xr:uid="{E033EF85-6287-446B-84A5-5BB9DA954E6C}"/>
    <hyperlink ref="B43" r:id="rId78" xr:uid="{9C40E3F3-84CB-46C8-A501-6F8A7C27E348}"/>
    <hyperlink ref="B44" r:id="rId79" xr:uid="{517DDF40-7A49-4A4A-857A-A7A2BDE007FB}"/>
    <hyperlink ref="B45" r:id="rId80" xr:uid="{8DA2FBA6-768F-46F8-B286-04FCDB54FE83}"/>
    <hyperlink ref="B46" r:id="rId81" xr:uid="{6889BF40-A8DA-4AF5-B12E-92A59BA1BDE0}"/>
    <hyperlink ref="B47" r:id="rId82" xr:uid="{B04C5361-F06E-4CEA-93E9-F9EF9E30549F}"/>
    <hyperlink ref="B48" r:id="rId83" xr:uid="{C0D9298E-CC3D-4924-BF5B-F84634366FCD}"/>
    <hyperlink ref="B33" r:id="rId84" xr:uid="{0FCBB53E-5F0E-4075-AE7B-9691D1B68DB9}"/>
    <hyperlink ref="B34" r:id="rId85" xr:uid="{86E64D2F-C7C3-4800-BEF4-B903C04D6149}"/>
    <hyperlink ref="B35" r:id="rId86" xr:uid="{A21B9585-63A9-4592-A617-908234C60C05}"/>
    <hyperlink ref="B36" r:id="rId87" xr:uid="{D8CE0F11-36AD-490E-A9A5-3C3A1BFBDDF9}"/>
    <hyperlink ref="B37" r:id="rId88" xr:uid="{4FD3B96F-8056-4BC5-BDDF-37C5569D5C5D}"/>
    <hyperlink ref="B38" r:id="rId89" xr:uid="{1D71BDD4-C8A3-4161-BA8C-6C117C39DAD5}"/>
    <hyperlink ref="B39" r:id="rId90" xr:uid="{C25C4F9E-23D1-4689-A366-A4B2D1F7EB49}"/>
    <hyperlink ref="B40" r:id="rId91" xr:uid="{4D5BFFE1-5822-417A-A75C-08ABCEE5382F}"/>
    <hyperlink ref="B73" r:id="rId92" xr:uid="{D0597053-5EAF-4E67-8E46-C657432A5D51}"/>
    <hyperlink ref="B75" r:id="rId93" xr:uid="{2C05025D-1E1C-47CF-85B6-6A3CC863A2C5}"/>
    <hyperlink ref="B77" r:id="rId94" xr:uid="{9CD072B4-01A0-4A3C-A941-51E509D9E450}"/>
    <hyperlink ref="B85" r:id="rId95" xr:uid="{15948D57-090F-4E8D-981A-5009470029E0}"/>
    <hyperlink ref="B84" r:id="rId96" xr:uid="{5EAED5C1-C731-494B-8ABF-9239E5030893}"/>
    <hyperlink ref="B78" r:id="rId97" xr:uid="{9C14B49B-6DCB-4BCA-AC37-8BF52FE6B60A}"/>
    <hyperlink ref="B79" r:id="rId98" xr:uid="{C1D3A8E0-A441-4B42-AEF1-C4F2A539EF16}"/>
    <hyperlink ref="B80" r:id="rId99" xr:uid="{750F5CAF-24CC-4F80-BAE9-983443EE2F74}"/>
    <hyperlink ref="B81" r:id="rId100" xr:uid="{F9D3AB4E-0ADD-4A61-8616-5A33AA088819}"/>
    <hyperlink ref="B82" r:id="rId101" xr:uid="{74668212-8347-4901-940A-84C5858AEDA1}"/>
    <hyperlink ref="B83" r:id="rId102" xr:uid="{94B55C40-89B2-4A03-958A-A41E1763FB58}"/>
    <hyperlink ref="B74" r:id="rId103" xr:uid="{C50249D2-7930-4567-80F2-86EB4C3B1228}"/>
    <hyperlink ref="B76" r:id="rId104" xr:uid="{4D0850C6-F112-4C7A-B117-F608E7106666}"/>
    <hyperlink ref="B98" r:id="rId105" xr:uid="{42CA4B70-52D7-45C3-8BFB-3E92554C7244}"/>
    <hyperlink ref="B100" r:id="rId106" xr:uid="{D5C09E81-C2CB-4471-B793-4207FB50C8A1}"/>
    <hyperlink ref="B99" r:id="rId107" xr:uid="{0882CA00-937D-420B-9F3A-F3011A346F1C}"/>
    <hyperlink ref="B96" r:id="rId108" xr:uid="{F422551E-5032-4195-BB4C-860622A0482A}"/>
    <hyperlink ref="B97" r:id="rId109" xr:uid="{1B1B2224-E2F7-4941-96BE-12DFA4A312B2}"/>
    <hyperlink ref="B101" r:id="rId110" xr:uid="{1DCF885E-5620-442A-AD5F-564A4128E844}"/>
    <hyperlink ref="B109" r:id="rId111" xr:uid="{0C825D72-9C78-4B92-BEDC-11DCF21BEA7A}"/>
    <hyperlink ref="B110" r:id="rId112" xr:uid="{6150860A-0214-48C6-9DAE-493BB8780771}"/>
    <hyperlink ref="B111" r:id="rId113" xr:uid="{1283C26A-4DB7-4048-B7FC-7ABF2DF28126}"/>
    <hyperlink ref="B112" r:id="rId114" xr:uid="{2AF6F75C-BB0C-4E57-875B-1FF01DD37147}"/>
    <hyperlink ref="B113" r:id="rId115" xr:uid="{802CD844-F9C2-46E6-88D7-E7A34B957DB9}"/>
    <hyperlink ref="B114" r:id="rId116" xr:uid="{9C89EFD5-4FEB-4C28-90AD-35B69C3566FF}"/>
    <hyperlink ref="B115" r:id="rId117" xr:uid="{FDA1B802-EBF2-41E1-BFF0-15F3F658A5A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S3.0_Index</vt:lpstr>
      <vt:lpstr>S3.1 Literature data</vt:lpstr>
      <vt:lpstr>S3.2 Compiled PFAS data</vt:lpstr>
      <vt:lpstr>Table 1</vt:lpstr>
      <vt:lpstr>S3.3 Chemical Structure</vt:lpstr>
      <vt:lpstr>S3.4 Model training set</vt:lpstr>
      <vt:lpstr>Table 2</vt:lpstr>
      <vt:lpstr>Table 3</vt:lpstr>
      <vt:lpstr>S3.5 Vd</vt:lpstr>
      <vt:lpstr>S3.6 Vd_Huang et al. 2019_Calc</vt:lpstr>
      <vt:lpstr>S3.0_Index!_Hlk88481627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Dawson, Daniel</dc:creator>
  <cp:lastModifiedBy>Wambaugh, John</cp:lastModifiedBy>
  <dcterms:created xsi:type="dcterms:W3CDTF">2020-05-13T11:52:34Z</dcterms:created>
  <dcterms:modified xsi:type="dcterms:W3CDTF">2022-06-07T03:15:47Z</dcterms:modified>
</cp:coreProperties>
</file>