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CompTox-PFASHalfLife\Predictors\"/>
    </mc:Choice>
  </mc:AlternateContent>
  <xr:revisionPtr revIDLastSave="0" documentId="13_ncr:1_{F62A51FB-F26A-436E-B897-7124057B7BA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1" i="2"/>
  <c r="C12" i="2"/>
  <c r="C11" i="2"/>
  <c r="I28" i="2"/>
  <c r="I27" i="2"/>
  <c r="I26" i="2"/>
  <c r="I24" i="2"/>
  <c r="I23" i="2"/>
  <c r="H27" i="2"/>
  <c r="H26" i="2"/>
  <c r="H24" i="2"/>
  <c r="H23" i="2"/>
  <c r="E27" i="2"/>
  <c r="E26" i="2"/>
  <c r="E25" i="2"/>
  <c r="E24" i="2"/>
  <c r="E23" i="2"/>
  <c r="E22" i="2"/>
  <c r="O2" i="2"/>
  <c r="Q2" i="2" s="1"/>
  <c r="N2" i="2"/>
  <c r="P2" i="2" s="1"/>
  <c r="J3" i="2"/>
  <c r="I2" i="2"/>
  <c r="R2" i="2" s="1"/>
  <c r="G2" i="2"/>
  <c r="F2" i="2"/>
  <c r="C10" i="2"/>
  <c r="O9" i="2"/>
  <c r="Q9" i="2" s="1"/>
  <c r="N9" i="2"/>
  <c r="P9" i="2" s="1"/>
  <c r="R9" i="2" s="1"/>
  <c r="K9" i="2"/>
  <c r="I9" i="2"/>
  <c r="J9" i="2"/>
  <c r="G9" i="2"/>
  <c r="F9" i="2"/>
  <c r="O8" i="2"/>
  <c r="Q8" i="2" s="1"/>
  <c r="N8" i="2"/>
  <c r="P8" i="2" s="1"/>
  <c r="R8" i="2" s="1"/>
  <c r="K8" i="2"/>
  <c r="I8" i="2"/>
  <c r="J8" i="2" s="1"/>
  <c r="G8" i="2"/>
  <c r="F8" i="2"/>
  <c r="O7" i="2"/>
  <c r="Q7" i="2" s="1"/>
  <c r="N7" i="2"/>
  <c r="P7" i="2" s="1"/>
  <c r="R7" i="2" s="1"/>
  <c r="I7" i="2"/>
  <c r="J7" i="2" s="1"/>
  <c r="K7" i="2"/>
  <c r="G7" i="2"/>
  <c r="F7" i="2"/>
  <c r="O6" i="2"/>
  <c r="Q6" i="2"/>
  <c r="S6" i="2"/>
  <c r="N6" i="2"/>
  <c r="P6" i="2"/>
  <c r="I6" i="2"/>
  <c r="J6" i="2"/>
  <c r="G6" i="2"/>
  <c r="F6" i="2"/>
  <c r="Q5" i="2"/>
  <c r="O5" i="2"/>
  <c r="N5" i="2"/>
  <c r="P5" i="2" s="1"/>
  <c r="S5" i="2" s="1"/>
  <c r="I5" i="2"/>
  <c r="R5" i="2" s="1"/>
  <c r="K5" i="2"/>
  <c r="G5" i="2"/>
  <c r="F5" i="2"/>
  <c r="Q4" i="2"/>
  <c r="S4" i="2" s="1"/>
  <c r="O4" i="2"/>
  <c r="N4" i="2"/>
  <c r="P4" i="2"/>
  <c r="I4" i="2"/>
  <c r="K4" i="2" s="1"/>
  <c r="G4" i="2"/>
  <c r="F4" i="2"/>
  <c r="O3" i="2"/>
  <c r="Q3" i="2" s="1"/>
  <c r="N3" i="2"/>
  <c r="P3" i="2" s="1"/>
  <c r="R3" i="2" s="1"/>
  <c r="I3" i="2"/>
  <c r="K3" i="2" s="1"/>
  <c r="G3" i="2"/>
  <c r="F3" i="2"/>
  <c r="C52" i="1"/>
  <c r="D52" i="1" s="1"/>
  <c r="B52" i="1"/>
  <c r="C51" i="1"/>
  <c r="B51" i="1"/>
  <c r="D51" i="1" s="1"/>
  <c r="B47" i="1"/>
  <c r="B46" i="1"/>
  <c r="C47" i="1"/>
  <c r="D47" i="1"/>
  <c r="C46" i="1"/>
  <c r="D46" i="1" s="1"/>
  <c r="A35" i="1"/>
  <c r="A34" i="1"/>
  <c r="A33" i="1"/>
  <c r="A32" i="1"/>
  <c r="A31" i="1"/>
  <c r="A30" i="1"/>
  <c r="A29" i="1"/>
  <c r="A28" i="1"/>
  <c r="A23" i="1"/>
  <c r="A22" i="1"/>
  <c r="A21" i="1"/>
  <c r="A20" i="1"/>
  <c r="A19" i="1"/>
  <c r="A18" i="1"/>
  <c r="A17" i="1"/>
  <c r="A16" i="1"/>
  <c r="O10" i="1"/>
  <c r="Q10" i="1"/>
  <c r="O9" i="1"/>
  <c r="Q9" i="1" s="1"/>
  <c r="O8" i="1"/>
  <c r="Q8" i="1" s="1"/>
  <c r="O7" i="1"/>
  <c r="Q7" i="1"/>
  <c r="S7" i="1" s="1"/>
  <c r="O6" i="1"/>
  <c r="Q6" i="1"/>
  <c r="S6" i="1" s="1"/>
  <c r="O5" i="1"/>
  <c r="Q5" i="1"/>
  <c r="B30" i="1" s="1"/>
  <c r="O4" i="1"/>
  <c r="Q4" i="1"/>
  <c r="S4" i="1" s="1"/>
  <c r="O3" i="1"/>
  <c r="Q3" i="1" s="1"/>
  <c r="N10" i="1"/>
  <c r="P10" i="1" s="1"/>
  <c r="N9" i="1"/>
  <c r="P9" i="1"/>
  <c r="B22" i="1" s="1"/>
  <c r="N8" i="1"/>
  <c r="P8" i="1"/>
  <c r="B21" i="1"/>
  <c r="N7" i="1"/>
  <c r="P7" i="1"/>
  <c r="B20" i="1"/>
  <c r="N6" i="1"/>
  <c r="P6" i="1"/>
  <c r="B19" i="1" s="1"/>
  <c r="N5" i="1"/>
  <c r="P5" i="1" s="1"/>
  <c r="N4" i="1"/>
  <c r="P4" i="1"/>
  <c r="B17" i="1"/>
  <c r="N3" i="1"/>
  <c r="P3" i="1"/>
  <c r="B16" i="1"/>
  <c r="I10" i="1"/>
  <c r="I9" i="1"/>
  <c r="J9" i="1" s="1"/>
  <c r="R9" i="1"/>
  <c r="I8" i="1"/>
  <c r="J8" i="1" s="1"/>
  <c r="R8" i="1"/>
  <c r="I7" i="1"/>
  <c r="R7" i="1" s="1"/>
  <c r="I6" i="1"/>
  <c r="R6" i="1" s="1"/>
  <c r="I5" i="1"/>
  <c r="I4" i="1"/>
  <c r="R4" i="1" s="1"/>
  <c r="I3" i="1"/>
  <c r="J3" i="1" s="1"/>
  <c r="G10" i="1"/>
  <c r="G9" i="1"/>
  <c r="G8" i="1"/>
  <c r="G7" i="1"/>
  <c r="G6" i="1"/>
  <c r="G5" i="1"/>
  <c r="G4" i="1"/>
  <c r="G3" i="1"/>
  <c r="F10" i="1"/>
  <c r="F9" i="1"/>
  <c r="F8" i="1"/>
  <c r="F7" i="1"/>
  <c r="F6" i="1"/>
  <c r="F5" i="1"/>
  <c r="F4" i="1"/>
  <c r="F3" i="1"/>
  <c r="K6" i="2"/>
  <c r="J5" i="2"/>
  <c r="R6" i="2"/>
  <c r="R3" i="1"/>
  <c r="B35" i="1"/>
  <c r="J5" i="1"/>
  <c r="J7" i="1"/>
  <c r="K7" i="1"/>
  <c r="J6" i="1"/>
  <c r="K6" i="1"/>
  <c r="J10" i="1"/>
  <c r="K10" i="1"/>
  <c r="K3" i="1"/>
  <c r="J4" i="1"/>
  <c r="K4" i="1"/>
  <c r="K5" i="1"/>
  <c r="R10" i="1" l="1"/>
  <c r="B23" i="1"/>
  <c r="S10" i="1"/>
  <c r="S3" i="1"/>
  <c r="B28" i="1"/>
  <c r="S7" i="2"/>
  <c r="S3" i="2"/>
  <c r="S9" i="2"/>
  <c r="S8" i="1"/>
  <c r="B33" i="1"/>
  <c r="B18" i="1"/>
  <c r="R5" i="1"/>
  <c r="B34" i="1"/>
  <c r="S9" i="1"/>
  <c r="S8" i="2"/>
  <c r="S2" i="2"/>
  <c r="K9" i="1"/>
  <c r="K8" i="1"/>
  <c r="B32" i="1"/>
  <c r="R4" i="2"/>
  <c r="J2" i="2"/>
  <c r="B31" i="1"/>
  <c r="K2" i="2"/>
  <c r="J4" i="2"/>
  <c r="B29" i="1"/>
  <c r="S5" i="1"/>
</calcChain>
</file>

<file path=xl/sharedStrings.xml><?xml version="1.0" encoding="utf-8"?>
<sst xmlns="http://schemas.openxmlformats.org/spreadsheetml/2006/main" count="163" uniqueCount="81">
  <si>
    <t>Mammal</t>
  </si>
  <si>
    <t>Bodyweight (gm)</t>
  </si>
  <si>
    <t>Kidney Weight (mg)</t>
  </si>
  <si>
    <t>Number of Nephrons</t>
  </si>
  <si>
    <t>Kidney Weight / Bodyweight (milligrams/gram)</t>
  </si>
  <si>
    <t>Nephrons per g Bodyweight</t>
  </si>
  <si>
    <t>Total Glomerular Surface Area</t>
  </si>
  <si>
    <t>Total Glomerular Surface Area per g Bodyweight</t>
  </si>
  <si>
    <t>Total Glomerular Surface Area per mg Kidney Weight</t>
  </si>
  <si>
    <t>Length of Proximal tubule</t>
  </si>
  <si>
    <t>Volume of Proximal Tubule</t>
  </si>
  <si>
    <t>Surface Area of Proximal Tubule</t>
  </si>
  <si>
    <t>Total Volume of Proximal Tubules</t>
  </si>
  <si>
    <t>total Surface Area of Proximal tubules</t>
  </si>
  <si>
    <t>Total Glomerular Surface Area / Total Volume of Proximal Tubules</t>
  </si>
  <si>
    <t>Rat</t>
  </si>
  <si>
    <t>Rabbit</t>
  </si>
  <si>
    <t>Dog</t>
  </si>
  <si>
    <t>Man</t>
  </si>
  <si>
    <t>Ox</t>
  </si>
  <si>
    <t>Elephant</t>
  </si>
  <si>
    <t>Whale</t>
  </si>
  <si>
    <t>Horse</t>
  </si>
  <si>
    <t>Type</t>
  </si>
  <si>
    <t>Unipapillary</t>
  </si>
  <si>
    <t>Compound Multirenculated</t>
  </si>
  <si>
    <t>Discrete Multirenculated</t>
  </si>
  <si>
    <t>Large Crest kidney</t>
  </si>
  <si>
    <t>Unipapillary / Crest</t>
  </si>
  <si>
    <t>Diameter of Proximal Tubule</t>
  </si>
  <si>
    <t>Total Proximal Surface Area / Total Proximal Volume</t>
  </si>
  <si>
    <t>log BW (kg)</t>
  </si>
  <si>
    <t>Proximal Volume Fit Unipapillary</t>
  </si>
  <si>
    <t>Glomerular Surface Area (mm^2)</t>
  </si>
  <si>
    <t>log TPV (L)</t>
  </si>
  <si>
    <t>Proximal Surface Area</t>
  </si>
  <si>
    <t>log TPA (mm^2)</t>
  </si>
  <si>
    <t>Unipapillary fits:</t>
  </si>
  <si>
    <t>BW (KG)</t>
  </si>
  <si>
    <t>TPV (L)</t>
  </si>
  <si>
    <t>TPA (mm^2)</t>
  </si>
  <si>
    <t>TPA/TPV</t>
  </si>
  <si>
    <t>All fits:</t>
  </si>
  <si>
    <t>KW_BW_ratio</t>
  </si>
  <si>
    <t>Neph_BW_ratio</t>
  </si>
  <si>
    <t>ProxTubVol</t>
  </si>
  <si>
    <t>BW</t>
  </si>
  <si>
    <t>KW</t>
  </si>
  <si>
    <t>ProxTubLen</t>
  </si>
  <si>
    <t>ProxTubDiam</t>
  </si>
  <si>
    <t>ProxTubSA</t>
  </si>
  <si>
    <t>ProxTubTotalVol</t>
  </si>
  <si>
    <t>ProxTubTotSA</t>
  </si>
  <si>
    <t>GlomTotSA_ProxTubTotVol_ratio</t>
  </si>
  <si>
    <t>ProxTubTotSA_ProxTotVol_ratio</t>
  </si>
  <si>
    <t>GlomTotSA_KW_ratio</t>
  </si>
  <si>
    <t>GlomTotSA_BW_ratio</t>
  </si>
  <si>
    <t>GlomTotSA</t>
  </si>
  <si>
    <t>Neph_Num</t>
  </si>
  <si>
    <t>Chicken</t>
  </si>
  <si>
    <t>Mouse</t>
  </si>
  <si>
    <t>Monkey</t>
  </si>
  <si>
    <t>NA</t>
  </si>
  <si>
    <t>Ref_Kidney_Phys</t>
  </si>
  <si>
    <t>Oliver1968</t>
  </si>
  <si>
    <t>Mandikian2018</t>
  </si>
  <si>
    <t>Mandikian2018ICHI2005</t>
  </si>
  <si>
    <t>Maurya2018Latshaw2001</t>
  </si>
  <si>
    <t>GlomSA</t>
  </si>
  <si>
    <t>Multirenculated</t>
  </si>
  <si>
    <t>Human</t>
  </si>
  <si>
    <t>Cattle</t>
  </si>
  <si>
    <t>Rhesus Monkey</t>
  </si>
  <si>
    <t>Davies BW (kg)</t>
  </si>
  <si>
    <t>Davies KW (g)</t>
  </si>
  <si>
    <t>Davies KW/BW</t>
  </si>
  <si>
    <t>Oliver KW</t>
  </si>
  <si>
    <t>Oliver KW/BW</t>
  </si>
  <si>
    <t>Oliver BW (g)</t>
  </si>
  <si>
    <t>Oliver/Davies</t>
  </si>
  <si>
    <t>Use data from Davies and Morris (1993) for Mouse and Monkey -- calibrate to Oliver (looks like a single kidney, but not quite)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</si>
</sst>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86781319698709E-2"/>
          <c:y val="0.11659218354160143"/>
          <c:w val="0.63704866123330817"/>
          <c:h val="0.77130213727520947"/>
        </c:manualLayout>
      </c:layout>
      <c:scatterChart>
        <c:scatterStyle val="lineMarker"/>
        <c:varyColors val="0"/>
        <c:ser>
          <c:idx val="0"/>
          <c:order val="0"/>
          <c:tx>
            <c:v>All Log TPV (L)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2.2241411596025107E-2"/>
                  <c:y val="-4.4844517033714726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Sheet1!$A$16:$A$23</c:f>
              <c:numCache>
                <c:formatCode>0.00</c:formatCode>
                <c:ptCount val="8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  <c:pt idx="3">
                  <c:v>1.8450980400142569</c:v>
                </c:pt>
                <c:pt idx="4">
                  <c:v>2.6127838567197355</c:v>
                </c:pt>
                <c:pt idx="5">
                  <c:v>3.6575338875579861</c:v>
                </c:pt>
                <c:pt idx="6">
                  <c:v>4.5017710858991071</c:v>
                </c:pt>
                <c:pt idx="7">
                  <c:v>2.61066016308988</c:v>
                </c:pt>
              </c:numCache>
            </c:numRef>
          </c:xVal>
          <c:yVal>
            <c:numRef>
              <c:f>Sheet1!$B$16:$B$23</c:f>
              <c:numCache>
                <c:formatCode>General</c:formatCode>
                <c:ptCount val="8"/>
                <c:pt idx="0">
                  <c:v>-3.0067180446910595</c:v>
                </c:pt>
                <c:pt idx="1">
                  <c:v>-2.1233841089255368</c:v>
                </c:pt>
                <c:pt idx="2">
                  <c:v>-1.3022136841190395</c:v>
                </c:pt>
                <c:pt idx="3">
                  <c:v>-1.0892151301073105</c:v>
                </c:pt>
                <c:pt idx="4">
                  <c:v>-0.50894458334752424</c:v>
                </c:pt>
                <c:pt idx="5">
                  <c:v>-2.4176874762469585E-2</c:v>
                </c:pt>
                <c:pt idx="6">
                  <c:v>1.0619504405520777</c:v>
                </c:pt>
                <c:pt idx="7">
                  <c:v>-0.59076098415839118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6-4103-926C-93D1EA4180DE}"/>
            </c:ext>
          </c:extLst>
        </c:ser>
        <c:ser>
          <c:idx val="1"/>
          <c:order val="1"/>
          <c:tx>
            <c:v>Uni Log TPV (L)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4.9262975742654896E-2"/>
                  <c:y val="-7.213593861589873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Sheet1!$A$16:$A$18</c:f>
              <c:numCache>
                <c:formatCode>0.00</c:formatCode>
                <c:ptCount val="3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</c:numCache>
            </c:numRef>
          </c:xVal>
          <c:yVal>
            <c:numRef>
              <c:f>Sheet1!$B$16:$B$18</c:f>
              <c:numCache>
                <c:formatCode>General</c:formatCode>
                <c:ptCount val="3"/>
                <c:pt idx="0">
                  <c:v>-3.0067180446910595</c:v>
                </c:pt>
                <c:pt idx="1">
                  <c:v>-2.1233841089255368</c:v>
                </c:pt>
                <c:pt idx="2">
                  <c:v>-1.3022136841190395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6-4103-926C-93D1EA41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88920"/>
        <c:axId val="1"/>
      </c:scatterChart>
      <c:valAx>
        <c:axId val="419188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188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39812305726059"/>
          <c:y val="0.31390203261200389"/>
          <c:w val="0.2635544106757185"/>
          <c:h val="0.38116675388600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634146341463415E-2"/>
          <c:y val="8.7591396968017515E-2"/>
          <c:w val="0.59451219512195119"/>
          <c:h val="0.74087723268781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log TPA (mm^2)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3.4047436143652798E-2"/>
                  <c:y val="-2.968582167591887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Sheet1!$A$28:$A$35</c:f>
              <c:numCache>
                <c:formatCode>General</c:formatCode>
                <c:ptCount val="8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  <c:pt idx="3">
                  <c:v>1.8450980400142569</c:v>
                </c:pt>
                <c:pt idx="4">
                  <c:v>2.6127838567197355</c:v>
                </c:pt>
                <c:pt idx="5">
                  <c:v>3.6575338875579861</c:v>
                </c:pt>
                <c:pt idx="6">
                  <c:v>4.5017710858991071</c:v>
                </c:pt>
                <c:pt idx="7">
                  <c:v>2.61066016308988</c:v>
                </c:pt>
              </c:numCache>
            </c:numRef>
          </c:xVal>
          <c:yVal>
            <c:numRef>
              <c:f>Sheet1!$B$28:$B$35</c:f>
              <c:numCache>
                <c:formatCode>General</c:formatCode>
                <c:ptCount val="8"/>
                <c:pt idx="0">
                  <c:v>4.8319139530739657</c:v>
                </c:pt>
                <c:pt idx="1">
                  <c:v>5.707823870760282</c:v>
                </c:pt>
                <c:pt idx="2">
                  <c:v>6.4803023716670545</c:v>
                </c:pt>
                <c:pt idx="3">
                  <c:v>6.6555123647893835</c:v>
                </c:pt>
                <c:pt idx="4">
                  <c:v>7.3077855729696708</c:v>
                </c:pt>
                <c:pt idx="5">
                  <c:v>7.6970695242847018</c:v>
                </c:pt>
                <c:pt idx="6">
                  <c:v>8.7775197067075581</c:v>
                </c:pt>
                <c:pt idx="7">
                  <c:v>7.1917550716277026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5-477F-A2DC-EEBF1FB49E9A}"/>
            </c:ext>
          </c:extLst>
        </c:ser>
        <c:ser>
          <c:idx val="1"/>
          <c:order val="1"/>
          <c:tx>
            <c:v>Uni Log TPA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1.7855290954484321E-2"/>
                  <c:y val="-3.641467738192688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</c:numCache>
            </c:numRef>
          </c:xVal>
          <c:yVal>
            <c:numRef>
              <c:f>Sheet1!$B$28:$B$30</c:f>
              <c:numCache>
                <c:formatCode>General</c:formatCode>
                <c:ptCount val="3"/>
                <c:pt idx="0">
                  <c:v>4.8319139530739657</c:v>
                </c:pt>
                <c:pt idx="1">
                  <c:v>5.707823870760282</c:v>
                </c:pt>
                <c:pt idx="2">
                  <c:v>6.4803023716670545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5-477F-A2DC-EEBF1FB4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20856"/>
        <c:axId val="1"/>
      </c:scatterChart>
      <c:valAx>
        <c:axId val="62402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020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03658536585369"/>
          <c:y val="0.36496415403340632"/>
          <c:w val="0.26676829268292684"/>
          <c:h val="0.310219530928395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3</xdr:row>
      <xdr:rowOff>38100</xdr:rowOff>
    </xdr:from>
    <xdr:to>
      <xdr:col>30</xdr:col>
      <xdr:colOff>581025</xdr:colOff>
      <xdr:row>16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C201217-A96A-490E-B07F-99E86A736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428625</xdr:colOff>
      <xdr:row>17</xdr:row>
      <xdr:rowOff>123825</xdr:rowOff>
    </xdr:from>
    <xdr:to>
      <xdr:col>30</xdr:col>
      <xdr:colOff>581025</xdr:colOff>
      <xdr:row>33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851FEED-B1DF-407F-A6BA-F0F5ACFAA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2"/>
  <sheetViews>
    <sheetView workbookViewId="0">
      <selection activeCell="G2" sqref="G2"/>
    </sheetView>
  </sheetViews>
  <sheetFormatPr defaultRowHeight="13.2" x14ac:dyDescent="0.25"/>
  <cols>
    <col min="1" max="1" width="8.33203125" bestFit="1" customWidth="1"/>
    <col min="2" max="2" width="23.44140625" customWidth="1"/>
    <col min="3" max="4" width="9" customWidth="1"/>
    <col min="5" max="5" width="10" customWidth="1"/>
    <col min="6" max="6" width="22" customWidth="1"/>
    <col min="7" max="7" width="6.5546875" customWidth="1"/>
    <col min="8" max="8" width="6" customWidth="1"/>
    <col min="9" max="9" width="11.5546875" customWidth="1"/>
    <col min="10" max="11" width="4.5546875" customWidth="1"/>
    <col min="12" max="12" width="5.5546875" customWidth="1"/>
    <col min="13" max="13" width="6" customWidth="1"/>
    <col min="14" max="15" width="4.5546875" customWidth="1"/>
    <col min="16" max="16" width="11.5546875" customWidth="1"/>
    <col min="17" max="17" width="12.5546875" customWidth="1"/>
    <col min="18" max="18" width="4.5546875" customWidth="1"/>
    <col min="19" max="19" width="5.5546875" customWidth="1"/>
  </cols>
  <sheetData>
    <row r="2" spans="1:20" ht="93" customHeight="1" x14ac:dyDescent="0.25">
      <c r="A2" s="1" t="s">
        <v>0</v>
      </c>
      <c r="B2" s="1" t="s">
        <v>23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33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29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30</v>
      </c>
    </row>
    <row r="3" spans="1:20" s="3" customFormat="1" x14ac:dyDescent="0.25">
      <c r="A3" s="3" t="s">
        <v>15</v>
      </c>
      <c r="B3" s="3" t="s">
        <v>24</v>
      </c>
      <c r="C3" s="2">
        <v>240</v>
      </c>
      <c r="D3" s="2">
        <v>700</v>
      </c>
      <c r="E3" s="2">
        <v>30800</v>
      </c>
      <c r="F3" s="2">
        <f>D3/C3</f>
        <v>2.9166666666666665</v>
      </c>
      <c r="G3" s="2">
        <f>E3/C3</f>
        <v>128.33333333333334</v>
      </c>
      <c r="H3" s="2">
        <v>7.3999999999999996E-2</v>
      </c>
      <c r="I3" s="2">
        <f>H3*E3</f>
        <v>2279.1999999999998</v>
      </c>
      <c r="J3" s="2">
        <f>I3/C3</f>
        <v>9.4966666666666661</v>
      </c>
      <c r="K3" s="2">
        <f>I3/D3</f>
        <v>3.2559999999999998</v>
      </c>
      <c r="L3" s="2">
        <v>12.1</v>
      </c>
      <c r="M3" s="2">
        <v>5.8000000000000003E-2</v>
      </c>
      <c r="N3" s="2">
        <f>L3*(M3/2)^2*PI()</f>
        <v>3.1969161002195094E-2</v>
      </c>
      <c r="O3" s="3">
        <f>L3*M3*PI()</f>
        <v>2.2047697242893167</v>
      </c>
      <c r="P3" s="2">
        <f t="shared" ref="P3:P10" si="0">N3*E3</f>
        <v>984.65015886760887</v>
      </c>
      <c r="Q3" s="2">
        <f>O3*E3</f>
        <v>67906.907508110962</v>
      </c>
      <c r="R3" s="2">
        <f t="shared" ref="R3:R10" si="1">I3/P3</f>
        <v>2.3147307492654856</v>
      </c>
      <c r="S3" s="2">
        <f>Q3/P3</f>
        <v>68.965517241379317</v>
      </c>
      <c r="T3" s="2"/>
    </row>
    <row r="4" spans="1:20" x14ac:dyDescent="0.25">
      <c r="A4" t="s">
        <v>16</v>
      </c>
      <c r="B4" s="3" t="s">
        <v>24</v>
      </c>
      <c r="C4">
        <v>2387</v>
      </c>
      <c r="D4">
        <v>6425</v>
      </c>
      <c r="E4">
        <v>207000</v>
      </c>
      <c r="F4" s="2">
        <f t="shared" ref="F4:F10" si="2">D4/C4</f>
        <v>2.6916631755341434</v>
      </c>
      <c r="G4" s="2">
        <f t="shared" ref="G4:G10" si="3">E4/C4</f>
        <v>86.719731881022199</v>
      </c>
      <c r="H4">
        <v>6.2E-2</v>
      </c>
      <c r="I4" s="2">
        <f t="shared" ref="I4:I10" si="4">H4*E4</f>
        <v>12834</v>
      </c>
      <c r="J4" s="2">
        <f t="shared" ref="J4:J10" si="5">I4/C4</f>
        <v>5.3766233766233764</v>
      </c>
      <c r="K4" s="2">
        <f t="shared" ref="K4:K10" si="6">I4/D4</f>
        <v>1.9975097276264591</v>
      </c>
      <c r="L4">
        <v>13.3</v>
      </c>
      <c r="M4">
        <v>5.8999999999999997E-2</v>
      </c>
      <c r="N4" s="2">
        <f t="shared" ref="N4:N10" si="7">L4*(M4/2)^2*PI()</f>
        <v>3.6361814390260684E-2</v>
      </c>
      <c r="O4" s="3">
        <f t="shared" ref="O4:O10" si="8">L4*M4*PI()</f>
        <v>2.4652077552719107</v>
      </c>
      <c r="P4" s="2">
        <f t="shared" si="0"/>
        <v>7526.8955787839614</v>
      </c>
      <c r="Q4" s="2">
        <f t="shared" ref="Q4:Q10" si="9">O4*E4</f>
        <v>510298.00534128549</v>
      </c>
      <c r="R4" s="2">
        <f t="shared" si="1"/>
        <v>1.7050854320571629</v>
      </c>
      <c r="S4" s="2">
        <f t="shared" ref="S4:S10" si="10">Q4/P4</f>
        <v>67.796610169491515</v>
      </c>
    </row>
    <row r="5" spans="1:20" x14ac:dyDescent="0.25">
      <c r="A5" t="s">
        <v>17</v>
      </c>
      <c r="B5" s="3" t="s">
        <v>28</v>
      </c>
      <c r="C5">
        <v>20000</v>
      </c>
      <c r="D5">
        <v>46000</v>
      </c>
      <c r="E5">
        <v>583000</v>
      </c>
      <c r="F5" s="2">
        <f t="shared" si="2"/>
        <v>2.2999999999999998</v>
      </c>
      <c r="G5" s="2">
        <f t="shared" si="3"/>
        <v>29.15</v>
      </c>
      <c r="H5">
        <v>0.16300000000000001</v>
      </c>
      <c r="I5" s="2">
        <f t="shared" si="4"/>
        <v>95029</v>
      </c>
      <c r="J5" s="2">
        <f t="shared" si="5"/>
        <v>4.7514500000000002</v>
      </c>
      <c r="K5" s="2">
        <f t="shared" si="6"/>
        <v>2.0658478260869564</v>
      </c>
      <c r="L5">
        <v>25</v>
      </c>
      <c r="M5">
        <v>6.6000000000000003E-2</v>
      </c>
      <c r="N5" s="2">
        <f t="shared" si="7"/>
        <v>8.5529859993982132E-2</v>
      </c>
      <c r="O5" s="3">
        <f t="shared" si="8"/>
        <v>5.1836278784231586</v>
      </c>
      <c r="P5" s="2">
        <f t="shared" si="0"/>
        <v>49863.908376491585</v>
      </c>
      <c r="Q5" s="2">
        <f t="shared" si="9"/>
        <v>3022055.0531207016</v>
      </c>
      <c r="R5" s="2">
        <f t="shared" si="1"/>
        <v>1.9057671789883515</v>
      </c>
      <c r="S5" s="2">
        <f t="shared" si="10"/>
        <v>60.606060606060595</v>
      </c>
    </row>
    <row r="6" spans="1:20" x14ac:dyDescent="0.25">
      <c r="A6" t="s">
        <v>18</v>
      </c>
      <c r="B6" s="3" t="s">
        <v>25</v>
      </c>
      <c r="C6">
        <v>70000</v>
      </c>
      <c r="D6">
        <v>156000</v>
      </c>
      <c r="E6">
        <v>1000000</v>
      </c>
      <c r="F6" s="2">
        <f t="shared" si="2"/>
        <v>2.2285714285714286</v>
      </c>
      <c r="G6" s="2">
        <f t="shared" si="3"/>
        <v>14.285714285714286</v>
      </c>
      <c r="H6">
        <v>0.25700000000000001</v>
      </c>
      <c r="I6" s="2">
        <f t="shared" si="4"/>
        <v>257000</v>
      </c>
      <c r="J6" s="2">
        <f t="shared" si="5"/>
        <v>3.6714285714285713</v>
      </c>
      <c r="K6" s="2">
        <f t="shared" si="6"/>
        <v>1.6474358974358974</v>
      </c>
      <c r="L6">
        <v>20</v>
      </c>
      <c r="M6">
        <v>7.1999999999999995E-2</v>
      </c>
      <c r="N6" s="2">
        <f t="shared" si="7"/>
        <v>8.1430081581047434E-2</v>
      </c>
      <c r="O6" s="3">
        <f t="shared" si="8"/>
        <v>4.5238934211693023</v>
      </c>
      <c r="P6" s="2">
        <f t="shared" si="0"/>
        <v>81430.081581047431</v>
      </c>
      <c r="Q6" s="2">
        <f t="shared" si="9"/>
        <v>4523893.4211693024</v>
      </c>
      <c r="R6" s="2">
        <f t="shared" si="1"/>
        <v>3.1560818190290978</v>
      </c>
      <c r="S6" s="2">
        <f t="shared" si="10"/>
        <v>55.555555555555564</v>
      </c>
    </row>
    <row r="7" spans="1:20" x14ac:dyDescent="0.25">
      <c r="A7" t="s">
        <v>19</v>
      </c>
      <c r="B7" s="3" t="s">
        <v>25</v>
      </c>
      <c r="C7">
        <v>410000</v>
      </c>
      <c r="D7">
        <v>640000</v>
      </c>
      <c r="E7">
        <v>4000000</v>
      </c>
      <c r="F7" s="2">
        <f t="shared" si="2"/>
        <v>1.5609756097560976</v>
      </c>
      <c r="G7" s="2">
        <f t="shared" si="3"/>
        <v>9.7560975609756095</v>
      </c>
      <c r="H7">
        <v>0.29199999999999998</v>
      </c>
      <c r="I7" s="2">
        <f t="shared" si="4"/>
        <v>1168000</v>
      </c>
      <c r="J7" s="2">
        <f t="shared" si="5"/>
        <v>2.8487804878048779</v>
      </c>
      <c r="K7" s="2">
        <f t="shared" si="6"/>
        <v>1.825</v>
      </c>
      <c r="L7">
        <v>26.5</v>
      </c>
      <c r="M7">
        <v>6.0999999999999999E-2</v>
      </c>
      <c r="N7" s="2">
        <f t="shared" si="7"/>
        <v>7.7445363999050484E-2</v>
      </c>
      <c r="O7" s="3">
        <f t="shared" si="8"/>
        <v>5.0783845245279009</v>
      </c>
      <c r="P7" s="2">
        <f t="shared" si="0"/>
        <v>309781.45599620196</v>
      </c>
      <c r="Q7" s="2">
        <f t="shared" si="9"/>
        <v>20313538.098111603</v>
      </c>
      <c r="R7" s="2">
        <f t="shared" si="1"/>
        <v>3.7703999945507394</v>
      </c>
      <c r="S7" s="2">
        <f t="shared" si="10"/>
        <v>65.573770491803273</v>
      </c>
    </row>
    <row r="8" spans="1:20" x14ac:dyDescent="0.25">
      <c r="A8" t="s">
        <v>20</v>
      </c>
      <c r="B8" s="3" t="s">
        <v>25</v>
      </c>
      <c r="C8">
        <v>4545000</v>
      </c>
      <c r="D8">
        <v>3650000</v>
      </c>
      <c r="E8">
        <v>7500000</v>
      </c>
      <c r="F8" s="2">
        <f t="shared" si="2"/>
        <v>0.8030803080308031</v>
      </c>
      <c r="G8" s="2">
        <f t="shared" si="3"/>
        <v>1.6501650165016502</v>
      </c>
      <c r="H8">
        <v>0.26</v>
      </c>
      <c r="I8" s="2">
        <f t="shared" si="4"/>
        <v>1950000</v>
      </c>
      <c r="J8" s="2">
        <f t="shared" si="5"/>
        <v>0.42904290429042902</v>
      </c>
      <c r="K8" s="2">
        <f t="shared" si="6"/>
        <v>0.53424657534246578</v>
      </c>
      <c r="L8">
        <v>27.8</v>
      </c>
      <c r="M8">
        <v>7.5999999999999998E-2</v>
      </c>
      <c r="N8" s="2">
        <f t="shared" si="7"/>
        <v>0.12611358221158578</v>
      </c>
      <c r="O8" s="3">
        <f t="shared" si="8"/>
        <v>6.6375569585045149</v>
      </c>
      <c r="P8" s="2">
        <f t="shared" si="0"/>
        <v>945851.86658689333</v>
      </c>
      <c r="Q8" s="2">
        <f t="shared" si="9"/>
        <v>49781677.188783862</v>
      </c>
      <c r="R8" s="2">
        <f t="shared" si="1"/>
        <v>2.0616336118641656</v>
      </c>
      <c r="S8" s="2">
        <f t="shared" si="10"/>
        <v>52.631578947368425</v>
      </c>
    </row>
    <row r="9" spans="1:20" x14ac:dyDescent="0.25">
      <c r="A9" t="s">
        <v>21</v>
      </c>
      <c r="B9" s="3" t="s">
        <v>26</v>
      </c>
      <c r="C9">
        <v>31752000</v>
      </c>
      <c r="D9">
        <v>39710000</v>
      </c>
      <c r="E9">
        <v>191994770</v>
      </c>
      <c r="F9" s="2">
        <f t="shared" si="2"/>
        <v>1.2506298815822625</v>
      </c>
      <c r="G9" s="2">
        <f t="shared" si="3"/>
        <v>6.0466984756865712</v>
      </c>
      <c r="H9">
        <v>0.221</v>
      </c>
      <c r="I9" s="2">
        <f t="shared" si="4"/>
        <v>42430844.170000002</v>
      </c>
      <c r="J9" s="2">
        <f t="shared" si="5"/>
        <v>1.3363203631267322</v>
      </c>
      <c r="K9" s="2">
        <f t="shared" si="6"/>
        <v>1.0685178587257618</v>
      </c>
      <c r="L9">
        <v>12.9</v>
      </c>
      <c r="M9">
        <v>7.6999999999999999E-2</v>
      </c>
      <c r="N9" s="2">
        <f t="shared" si="7"/>
        <v>6.007047166910677E-2</v>
      </c>
      <c r="O9" s="3">
        <f t="shared" si="8"/>
        <v>3.1205439828107413</v>
      </c>
      <c r="P9" s="2">
        <f t="shared" si="0"/>
        <v>11533216.39190167</v>
      </c>
      <c r="Q9" s="2">
        <f t="shared" si="9"/>
        <v>599128124.25463223</v>
      </c>
      <c r="R9" s="2">
        <f t="shared" si="1"/>
        <v>3.6790122311234752</v>
      </c>
      <c r="S9" s="2">
        <f t="shared" si="10"/>
        <v>51.948051948051948</v>
      </c>
    </row>
    <row r="10" spans="1:20" x14ac:dyDescent="0.25">
      <c r="A10" t="s">
        <v>22</v>
      </c>
      <c r="B10" s="3" t="s">
        <v>27</v>
      </c>
      <c r="C10">
        <v>408000</v>
      </c>
      <c r="D10">
        <v>656000</v>
      </c>
      <c r="E10">
        <v>2500000</v>
      </c>
      <c r="F10" s="2">
        <f t="shared" si="2"/>
        <v>1.607843137254902</v>
      </c>
      <c r="G10" s="2">
        <f t="shared" si="3"/>
        <v>6.1274509803921573</v>
      </c>
      <c r="H10">
        <v>0.29899999999999999</v>
      </c>
      <c r="I10" s="2">
        <f t="shared" si="4"/>
        <v>747500</v>
      </c>
      <c r="J10" s="2">
        <f t="shared" si="5"/>
        <v>1.8321078431372548</v>
      </c>
      <c r="K10" s="2">
        <f t="shared" si="6"/>
        <v>1.1394817073170731</v>
      </c>
      <c r="L10">
        <v>30</v>
      </c>
      <c r="M10">
        <v>6.6000000000000003E-2</v>
      </c>
      <c r="N10" s="2">
        <f t="shared" si="7"/>
        <v>0.10263583199277855</v>
      </c>
      <c r="O10" s="3">
        <f t="shared" si="8"/>
        <v>6.2203534541077907</v>
      </c>
      <c r="P10" s="2">
        <f t="shared" si="0"/>
        <v>256589.57998194639</v>
      </c>
      <c r="Q10" s="2">
        <f t="shared" si="9"/>
        <v>15550883.635269476</v>
      </c>
      <c r="R10" s="2">
        <f t="shared" si="1"/>
        <v>2.9132126100077564</v>
      </c>
      <c r="S10" s="2">
        <f t="shared" si="10"/>
        <v>60.606060606060602</v>
      </c>
    </row>
    <row r="12" spans="1:20" x14ac:dyDescent="0.25">
      <c r="N12" s="2"/>
    </row>
    <row r="14" spans="1:20" x14ac:dyDescent="0.25">
      <c r="A14" t="s">
        <v>32</v>
      </c>
    </row>
    <row r="15" spans="1:20" x14ac:dyDescent="0.25">
      <c r="A15" t="s">
        <v>31</v>
      </c>
      <c r="B15" t="s">
        <v>34</v>
      </c>
    </row>
    <row r="16" spans="1:20" x14ac:dyDescent="0.25">
      <c r="A16" s="3">
        <f t="shared" ref="A16:A23" si="11">LOG(C3/1000)</f>
        <v>-0.61978875828839397</v>
      </c>
      <c r="B16">
        <f t="shared" ref="B16:B23" si="12">LOG(P3/10/10/10/1000)</f>
        <v>-3.0067180446910595</v>
      </c>
    </row>
    <row r="17" spans="1:2" x14ac:dyDescent="0.25">
      <c r="A17" s="3">
        <f t="shared" si="11"/>
        <v>0.37785241900675454</v>
      </c>
      <c r="B17">
        <f t="shared" si="12"/>
        <v>-2.1233841089255368</v>
      </c>
    </row>
    <row r="18" spans="1:2" x14ac:dyDescent="0.25">
      <c r="A18" s="3">
        <f t="shared" si="11"/>
        <v>1.3010299956639813</v>
      </c>
      <c r="B18">
        <f t="shared" si="12"/>
        <v>-1.3022136841190395</v>
      </c>
    </row>
    <row r="19" spans="1:2" x14ac:dyDescent="0.25">
      <c r="A19" s="3">
        <f t="shared" si="11"/>
        <v>1.8450980400142569</v>
      </c>
      <c r="B19">
        <f t="shared" si="12"/>
        <v>-1.0892151301073105</v>
      </c>
    </row>
    <row r="20" spans="1:2" x14ac:dyDescent="0.25">
      <c r="A20" s="3">
        <f t="shared" si="11"/>
        <v>2.6127838567197355</v>
      </c>
      <c r="B20">
        <f t="shared" si="12"/>
        <v>-0.50894458334752424</v>
      </c>
    </row>
    <row r="21" spans="1:2" x14ac:dyDescent="0.25">
      <c r="A21" s="3">
        <f t="shared" si="11"/>
        <v>3.6575338875579861</v>
      </c>
      <c r="B21">
        <f t="shared" si="12"/>
        <v>-2.4176874762469585E-2</v>
      </c>
    </row>
    <row r="22" spans="1:2" x14ac:dyDescent="0.25">
      <c r="A22" s="3">
        <f t="shared" si="11"/>
        <v>4.5017710858991071</v>
      </c>
      <c r="B22">
        <f t="shared" si="12"/>
        <v>1.0619504405520777</v>
      </c>
    </row>
    <row r="23" spans="1:2" x14ac:dyDescent="0.25">
      <c r="A23" s="3">
        <f t="shared" si="11"/>
        <v>2.61066016308988</v>
      </c>
      <c r="B23">
        <f t="shared" si="12"/>
        <v>-0.59076098415839118</v>
      </c>
    </row>
    <row r="24" spans="1:2" x14ac:dyDescent="0.25">
      <c r="A24" s="3"/>
    </row>
    <row r="26" spans="1:2" x14ac:dyDescent="0.25">
      <c r="A26" t="s">
        <v>35</v>
      </c>
    </row>
    <row r="27" spans="1:2" x14ac:dyDescent="0.25">
      <c r="A27" t="s">
        <v>31</v>
      </c>
      <c r="B27" t="s">
        <v>36</v>
      </c>
    </row>
    <row r="28" spans="1:2" x14ac:dyDescent="0.25">
      <c r="A28">
        <f t="shared" ref="A28:A35" si="13">LOG(C3/1000)</f>
        <v>-0.61978875828839397</v>
      </c>
      <c r="B28">
        <f t="shared" ref="B28:B35" si="14">LOG(Q3)</f>
        <v>4.8319139530739657</v>
      </c>
    </row>
    <row r="29" spans="1:2" x14ac:dyDescent="0.25">
      <c r="A29">
        <f t="shared" si="13"/>
        <v>0.37785241900675454</v>
      </c>
      <c r="B29">
        <f t="shared" si="14"/>
        <v>5.707823870760282</v>
      </c>
    </row>
    <row r="30" spans="1:2" x14ac:dyDescent="0.25">
      <c r="A30">
        <f t="shared" si="13"/>
        <v>1.3010299956639813</v>
      </c>
      <c r="B30">
        <f t="shared" si="14"/>
        <v>6.4803023716670545</v>
      </c>
    </row>
    <row r="31" spans="1:2" x14ac:dyDescent="0.25">
      <c r="A31">
        <f t="shared" si="13"/>
        <v>1.8450980400142569</v>
      </c>
      <c r="B31">
        <f t="shared" si="14"/>
        <v>6.6555123647893835</v>
      </c>
    </row>
    <row r="32" spans="1:2" x14ac:dyDescent="0.25">
      <c r="A32">
        <f t="shared" si="13"/>
        <v>2.6127838567197355</v>
      </c>
      <c r="B32">
        <f t="shared" si="14"/>
        <v>7.3077855729696708</v>
      </c>
    </row>
    <row r="33" spans="1:4" x14ac:dyDescent="0.25">
      <c r="A33">
        <f t="shared" si="13"/>
        <v>3.6575338875579861</v>
      </c>
      <c r="B33">
        <f t="shared" si="14"/>
        <v>7.6970695242847018</v>
      </c>
    </row>
    <row r="34" spans="1:4" x14ac:dyDescent="0.25">
      <c r="A34">
        <f t="shared" si="13"/>
        <v>4.5017710858991071</v>
      </c>
      <c r="B34">
        <f t="shared" si="14"/>
        <v>8.7775197067075581</v>
      </c>
    </row>
    <row r="35" spans="1:4" x14ac:dyDescent="0.25">
      <c r="A35">
        <f t="shared" si="13"/>
        <v>2.61066016308988</v>
      </c>
      <c r="B35">
        <f t="shared" si="14"/>
        <v>7.1917550716277026</v>
      </c>
    </row>
    <row r="44" spans="1:4" x14ac:dyDescent="0.25">
      <c r="A44" t="s">
        <v>37</v>
      </c>
    </row>
    <row r="45" spans="1:4" x14ac:dyDescent="0.25">
      <c r="A45" t="s">
        <v>38</v>
      </c>
      <c r="B45" t="s">
        <v>39</v>
      </c>
      <c r="C45" t="s">
        <v>40</v>
      </c>
      <c r="D45" t="s">
        <v>41</v>
      </c>
    </row>
    <row r="46" spans="1:4" x14ac:dyDescent="0.25">
      <c r="A46">
        <v>2.5000000000000001E-2</v>
      </c>
      <c r="B46">
        <f>10^-2.4574*A46^0.8874</f>
        <v>1.3210886570441137E-4</v>
      </c>
      <c r="C46">
        <f>10^5.3703*A46^0.8584</f>
        <v>9887.6185460871857</v>
      </c>
      <c r="D46">
        <f>C46/B46</f>
        <v>74844473.861507222</v>
      </c>
    </row>
    <row r="47" spans="1:4" x14ac:dyDescent="0.25">
      <c r="A47">
        <v>0.24</v>
      </c>
      <c r="B47">
        <f>10^-2.4574*A47^0.8874</f>
        <v>9.8310398360080295E-4</v>
      </c>
      <c r="C47">
        <f>10^5.3703*A47^0.8584</f>
        <v>68908.584663305141</v>
      </c>
      <c r="D47">
        <f>C47/B47</f>
        <v>70092875.029266492</v>
      </c>
    </row>
    <row r="49" spans="1:4" x14ac:dyDescent="0.25">
      <c r="A49" t="s">
        <v>42</v>
      </c>
    </row>
    <row r="50" spans="1:4" x14ac:dyDescent="0.25">
      <c r="A50" t="s">
        <v>38</v>
      </c>
      <c r="B50" t="s">
        <v>39</v>
      </c>
      <c r="C50" t="s">
        <v>40</v>
      </c>
      <c r="D50" t="s">
        <v>41</v>
      </c>
    </row>
    <row r="51" spans="1:4" x14ac:dyDescent="0.25">
      <c r="A51">
        <v>2.5000000000000001E-2</v>
      </c>
      <c r="B51">
        <f>10^-2.4545*A51^0.74</f>
        <v>2.2907389822401214E-4</v>
      </c>
      <c r="C51">
        <f>10^5.3728*A51^0.7164</f>
        <v>16791.29618160865</v>
      </c>
      <c r="D51">
        <f>C51/B51</f>
        <v>73300783.335814118</v>
      </c>
    </row>
    <row r="52" spans="1:4" x14ac:dyDescent="0.25">
      <c r="A52">
        <v>0.24</v>
      </c>
      <c r="B52">
        <f>10^-2.4545*A52^0.74</f>
        <v>1.2213955092229311E-3</v>
      </c>
      <c r="C52">
        <f>10^5.3728*A52^0.7164</f>
        <v>84875.693057858967</v>
      </c>
      <c r="D52">
        <f>C52/B52</f>
        <v>69490752.517878562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tabSelected="1" workbookViewId="0">
      <selection activeCell="D13" sqref="D13"/>
    </sheetView>
  </sheetViews>
  <sheetFormatPr defaultRowHeight="13.2" x14ac:dyDescent="0.25"/>
  <cols>
    <col min="2" max="2" width="31" customWidth="1"/>
    <col min="6" max="6" width="13.88671875" customWidth="1"/>
    <col min="7" max="7" width="16.44140625" customWidth="1"/>
    <col min="9" max="9" width="12" customWidth="1"/>
    <col min="10" max="10" width="22" customWidth="1"/>
    <col min="12" max="12" width="13.109375" customWidth="1"/>
    <col min="13" max="13" width="12" customWidth="1"/>
    <col min="14" max="14" width="13.109375" customWidth="1"/>
    <col min="15" max="15" width="12.109375" customWidth="1"/>
    <col min="16" max="16" width="13.33203125" customWidth="1"/>
    <col min="17" max="17" width="17.109375" customWidth="1"/>
    <col min="18" max="18" width="30.88671875" customWidth="1"/>
  </cols>
  <sheetData>
    <row r="1" spans="1:20" x14ac:dyDescent="0.25">
      <c r="A1" s="1" t="s">
        <v>0</v>
      </c>
      <c r="B1" s="1" t="s">
        <v>23</v>
      </c>
      <c r="C1" t="s">
        <v>46</v>
      </c>
      <c r="D1" t="s">
        <v>47</v>
      </c>
      <c r="E1" t="s">
        <v>58</v>
      </c>
      <c r="F1" t="s">
        <v>43</v>
      </c>
      <c r="G1" t="s">
        <v>44</v>
      </c>
      <c r="H1" t="s">
        <v>68</v>
      </c>
      <c r="I1" t="s">
        <v>57</v>
      </c>
      <c r="J1" t="s">
        <v>56</v>
      </c>
      <c r="K1" t="s">
        <v>55</v>
      </c>
      <c r="L1" t="s">
        <v>48</v>
      </c>
      <c r="M1" t="s">
        <v>49</v>
      </c>
      <c r="N1" t="s">
        <v>45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63</v>
      </c>
    </row>
    <row r="2" spans="1:20" x14ac:dyDescent="0.25">
      <c r="A2" s="3" t="s">
        <v>15</v>
      </c>
      <c r="B2" s="3" t="s">
        <v>24</v>
      </c>
      <c r="C2" s="2">
        <v>240</v>
      </c>
      <c r="D2" s="2">
        <v>700</v>
      </c>
      <c r="E2" s="2">
        <v>30800</v>
      </c>
      <c r="F2" s="2">
        <f>D2/C2</f>
        <v>2.9166666666666665</v>
      </c>
      <c r="G2" s="2">
        <f>E2/C2</f>
        <v>128.33333333333334</v>
      </c>
      <c r="H2" s="2">
        <v>7.3999999999999996E-2</v>
      </c>
      <c r="I2" s="2">
        <f>H2*E2</f>
        <v>2279.1999999999998</v>
      </c>
      <c r="J2" s="2">
        <f>I2/C2</f>
        <v>9.4966666666666661</v>
      </c>
      <c r="K2" s="2">
        <f>I2/D2</f>
        <v>3.2559999999999998</v>
      </c>
      <c r="L2" s="2">
        <v>12.1</v>
      </c>
      <c r="M2" s="2">
        <v>5.8000000000000003E-2</v>
      </c>
      <c r="N2" s="2">
        <f>L2*(M2/2)^2*PI()</f>
        <v>3.1969161002195094E-2</v>
      </c>
      <c r="O2" s="3">
        <f>L2*M2*PI()</f>
        <v>2.2047697242893167</v>
      </c>
      <c r="P2" s="2">
        <f>N2*E2</f>
        <v>984.65015886760887</v>
      </c>
      <c r="Q2" s="2">
        <f>O2*E2</f>
        <v>67906.907508110962</v>
      </c>
      <c r="R2" s="2">
        <f>I2/P2</f>
        <v>2.3147307492654856</v>
      </c>
      <c r="S2" s="2">
        <f>Q2/P2</f>
        <v>68.965517241379317</v>
      </c>
      <c r="T2" t="s">
        <v>64</v>
      </c>
    </row>
    <row r="3" spans="1:20" x14ac:dyDescent="0.25">
      <c r="A3" t="s">
        <v>16</v>
      </c>
      <c r="B3" s="3" t="s">
        <v>24</v>
      </c>
      <c r="C3">
        <v>2387</v>
      </c>
      <c r="D3">
        <v>6425</v>
      </c>
      <c r="E3">
        <v>207000</v>
      </c>
      <c r="F3" s="2">
        <f t="shared" ref="F3:F9" si="0">D3/C3</f>
        <v>2.6916631755341434</v>
      </c>
      <c r="G3" s="2">
        <f t="shared" ref="G3:G9" si="1">E3/C3</f>
        <v>86.719731881022199</v>
      </c>
      <c r="H3">
        <v>6.2E-2</v>
      </c>
      <c r="I3" s="2">
        <f t="shared" ref="I3:I9" si="2">H3*E3</f>
        <v>12834</v>
      </c>
      <c r="J3" s="2">
        <f>I3/C3</f>
        <v>5.3766233766233764</v>
      </c>
      <c r="K3" s="2">
        <f t="shared" ref="K3:K9" si="3">I3/D3</f>
        <v>1.9975097276264591</v>
      </c>
      <c r="L3">
        <v>13.3</v>
      </c>
      <c r="M3">
        <v>5.8999999999999997E-2</v>
      </c>
      <c r="N3" s="2">
        <f t="shared" ref="N3:N9" si="4">L3*(M3/2)^2*PI()</f>
        <v>3.6361814390260684E-2</v>
      </c>
      <c r="O3" s="3">
        <f t="shared" ref="O3:O9" si="5">L3*M3*PI()</f>
        <v>2.4652077552719107</v>
      </c>
      <c r="P3" s="2">
        <f t="shared" ref="P3:P9" si="6">N3*E3</f>
        <v>7526.8955787839614</v>
      </c>
      <c r="Q3" s="2">
        <f t="shared" ref="Q3:Q9" si="7">O3*E3</f>
        <v>510298.00534128549</v>
      </c>
      <c r="R3" s="2">
        <f t="shared" ref="R3:R9" si="8">I3/P3</f>
        <v>1.7050854320571629</v>
      </c>
      <c r="S3" s="2">
        <f t="shared" ref="S3:S9" si="9">Q3/P3</f>
        <v>67.796610169491515</v>
      </c>
      <c r="T3" t="s">
        <v>64</v>
      </c>
    </row>
    <row r="4" spans="1:20" x14ac:dyDescent="0.25">
      <c r="A4" t="s">
        <v>17</v>
      </c>
      <c r="B4" s="3" t="s">
        <v>24</v>
      </c>
      <c r="C4">
        <v>20000</v>
      </c>
      <c r="D4">
        <v>46000</v>
      </c>
      <c r="E4">
        <v>583000</v>
      </c>
      <c r="F4" s="2">
        <f t="shared" si="0"/>
        <v>2.2999999999999998</v>
      </c>
      <c r="G4" s="2">
        <f t="shared" si="1"/>
        <v>29.15</v>
      </c>
      <c r="H4">
        <v>0.16300000000000001</v>
      </c>
      <c r="I4" s="2">
        <f t="shared" si="2"/>
        <v>95029</v>
      </c>
      <c r="J4" s="2">
        <f t="shared" ref="J4:J9" si="10">I4/C4</f>
        <v>4.7514500000000002</v>
      </c>
      <c r="K4" s="2">
        <f t="shared" si="3"/>
        <v>2.0658478260869564</v>
      </c>
      <c r="L4">
        <v>25</v>
      </c>
      <c r="M4">
        <v>6.6000000000000003E-2</v>
      </c>
      <c r="N4" s="2">
        <f t="shared" si="4"/>
        <v>8.5529859993982132E-2</v>
      </c>
      <c r="O4" s="3">
        <f t="shared" si="5"/>
        <v>5.1836278784231586</v>
      </c>
      <c r="P4" s="2">
        <f t="shared" si="6"/>
        <v>49863.908376491585</v>
      </c>
      <c r="Q4" s="2">
        <f t="shared" si="7"/>
        <v>3022055.0531207016</v>
      </c>
      <c r="R4" s="2">
        <f t="shared" si="8"/>
        <v>1.9057671789883515</v>
      </c>
      <c r="S4" s="2">
        <f t="shared" si="9"/>
        <v>60.606060606060595</v>
      </c>
      <c r="T4" t="s">
        <v>64</v>
      </c>
    </row>
    <row r="5" spans="1:20" x14ac:dyDescent="0.25">
      <c r="A5" t="s">
        <v>70</v>
      </c>
      <c r="B5" s="3" t="s">
        <v>69</v>
      </c>
      <c r="C5">
        <v>70000</v>
      </c>
      <c r="D5">
        <v>156000</v>
      </c>
      <c r="E5">
        <v>1000000</v>
      </c>
      <c r="F5" s="2">
        <f t="shared" si="0"/>
        <v>2.2285714285714286</v>
      </c>
      <c r="G5" s="2">
        <f t="shared" si="1"/>
        <v>14.285714285714286</v>
      </c>
      <c r="H5">
        <v>0.25700000000000001</v>
      </c>
      <c r="I5" s="2">
        <f t="shared" si="2"/>
        <v>257000</v>
      </c>
      <c r="J5" s="2">
        <f t="shared" si="10"/>
        <v>3.6714285714285713</v>
      </c>
      <c r="K5" s="2">
        <f t="shared" si="3"/>
        <v>1.6474358974358974</v>
      </c>
      <c r="L5">
        <v>20</v>
      </c>
      <c r="M5">
        <v>7.1999999999999995E-2</v>
      </c>
      <c r="N5" s="2">
        <f t="shared" si="4"/>
        <v>8.1430081581047434E-2</v>
      </c>
      <c r="O5" s="3">
        <f t="shared" si="5"/>
        <v>4.5238934211693023</v>
      </c>
      <c r="P5" s="2">
        <f t="shared" si="6"/>
        <v>81430.081581047431</v>
      </c>
      <c r="Q5" s="2">
        <f t="shared" si="7"/>
        <v>4523893.4211693024</v>
      </c>
      <c r="R5" s="2">
        <f t="shared" si="8"/>
        <v>3.1560818190290978</v>
      </c>
      <c r="S5" s="2">
        <f t="shared" si="9"/>
        <v>55.555555555555564</v>
      </c>
      <c r="T5" t="s">
        <v>64</v>
      </c>
    </row>
    <row r="6" spans="1:20" x14ac:dyDescent="0.25">
      <c r="A6" t="s">
        <v>71</v>
      </c>
      <c r="B6" s="3" t="s">
        <v>69</v>
      </c>
      <c r="C6">
        <v>410000</v>
      </c>
      <c r="D6">
        <v>640000</v>
      </c>
      <c r="E6">
        <v>4000000</v>
      </c>
      <c r="F6" s="2">
        <f t="shared" si="0"/>
        <v>1.5609756097560976</v>
      </c>
      <c r="G6" s="2">
        <f t="shared" si="1"/>
        <v>9.7560975609756095</v>
      </c>
      <c r="H6">
        <v>0.29199999999999998</v>
      </c>
      <c r="I6" s="2">
        <f t="shared" si="2"/>
        <v>1168000</v>
      </c>
      <c r="J6" s="2">
        <f t="shared" si="10"/>
        <v>2.8487804878048779</v>
      </c>
      <c r="K6" s="2">
        <f t="shared" si="3"/>
        <v>1.825</v>
      </c>
      <c r="L6">
        <v>26.5</v>
      </c>
      <c r="M6">
        <v>6.0999999999999999E-2</v>
      </c>
      <c r="N6" s="2">
        <f t="shared" si="4"/>
        <v>7.7445363999050484E-2</v>
      </c>
      <c r="O6" s="3">
        <f t="shared" si="5"/>
        <v>5.0783845245279009</v>
      </c>
      <c r="P6" s="2">
        <f t="shared" si="6"/>
        <v>309781.45599620196</v>
      </c>
      <c r="Q6" s="2">
        <f t="shared" si="7"/>
        <v>20313538.098111603</v>
      </c>
      <c r="R6" s="2">
        <f t="shared" si="8"/>
        <v>3.7703999945507394</v>
      </c>
      <c r="S6" s="2">
        <f t="shared" si="9"/>
        <v>65.573770491803273</v>
      </c>
      <c r="T6" t="s">
        <v>64</v>
      </c>
    </row>
    <row r="7" spans="1:20" x14ac:dyDescent="0.25">
      <c r="A7" t="s">
        <v>20</v>
      </c>
      <c r="B7" s="3" t="s">
        <v>69</v>
      </c>
      <c r="C7">
        <v>4545000</v>
      </c>
      <c r="D7">
        <v>3650000</v>
      </c>
      <c r="E7">
        <v>7500000</v>
      </c>
      <c r="F7" s="2">
        <f t="shared" si="0"/>
        <v>0.8030803080308031</v>
      </c>
      <c r="G7" s="2">
        <f t="shared" si="1"/>
        <v>1.6501650165016502</v>
      </c>
      <c r="H7">
        <v>0.26</v>
      </c>
      <c r="I7" s="2">
        <f t="shared" si="2"/>
        <v>1950000</v>
      </c>
      <c r="J7" s="2">
        <f>I7/C7</f>
        <v>0.42904290429042902</v>
      </c>
      <c r="K7" s="2">
        <f t="shared" si="3"/>
        <v>0.53424657534246578</v>
      </c>
      <c r="L7">
        <v>27.8</v>
      </c>
      <c r="M7">
        <v>7.5999999999999998E-2</v>
      </c>
      <c r="N7" s="2">
        <f t="shared" si="4"/>
        <v>0.12611358221158578</v>
      </c>
      <c r="O7" s="3">
        <f t="shared" si="5"/>
        <v>6.6375569585045149</v>
      </c>
      <c r="P7" s="2">
        <f t="shared" si="6"/>
        <v>945851.86658689333</v>
      </c>
      <c r="Q7" s="2">
        <f t="shared" si="7"/>
        <v>49781677.188783862</v>
      </c>
      <c r="R7" s="2">
        <f t="shared" si="8"/>
        <v>2.0616336118641656</v>
      </c>
      <c r="S7" s="2">
        <f t="shared" si="9"/>
        <v>52.631578947368425</v>
      </c>
      <c r="T7" t="s">
        <v>64</v>
      </c>
    </row>
    <row r="8" spans="1:20" x14ac:dyDescent="0.25">
      <c r="A8" t="s">
        <v>21</v>
      </c>
      <c r="B8" s="3" t="s">
        <v>26</v>
      </c>
      <c r="C8">
        <v>31752000</v>
      </c>
      <c r="D8">
        <v>39710000</v>
      </c>
      <c r="E8">
        <v>191994770</v>
      </c>
      <c r="F8" s="2">
        <f t="shared" si="0"/>
        <v>1.2506298815822625</v>
      </c>
      <c r="G8" s="2">
        <f t="shared" si="1"/>
        <v>6.0466984756865712</v>
      </c>
      <c r="H8">
        <v>0.221</v>
      </c>
      <c r="I8" s="2">
        <f t="shared" si="2"/>
        <v>42430844.170000002</v>
      </c>
      <c r="J8" s="2">
        <f t="shared" si="10"/>
        <v>1.3363203631267322</v>
      </c>
      <c r="K8" s="2">
        <f t="shared" si="3"/>
        <v>1.0685178587257618</v>
      </c>
      <c r="L8">
        <v>12.9</v>
      </c>
      <c r="M8">
        <v>7.6999999999999999E-2</v>
      </c>
      <c r="N8" s="2">
        <f t="shared" si="4"/>
        <v>6.007047166910677E-2</v>
      </c>
      <c r="O8" s="3">
        <f t="shared" si="5"/>
        <v>3.1205439828107413</v>
      </c>
      <c r="P8" s="2">
        <f t="shared" si="6"/>
        <v>11533216.39190167</v>
      </c>
      <c r="Q8" s="2">
        <f t="shared" si="7"/>
        <v>599128124.25463223</v>
      </c>
      <c r="R8" s="2">
        <f t="shared" si="8"/>
        <v>3.6790122311234752</v>
      </c>
      <c r="S8" s="2">
        <f t="shared" si="9"/>
        <v>51.948051948051948</v>
      </c>
      <c r="T8" t="s">
        <v>64</v>
      </c>
    </row>
    <row r="9" spans="1:20" x14ac:dyDescent="0.25">
      <c r="A9" t="s">
        <v>22</v>
      </c>
      <c r="B9" s="3" t="s">
        <v>24</v>
      </c>
      <c r="C9">
        <v>408000</v>
      </c>
      <c r="D9">
        <v>656000</v>
      </c>
      <c r="E9">
        <v>2500000</v>
      </c>
      <c r="F9" s="2">
        <f t="shared" si="0"/>
        <v>1.607843137254902</v>
      </c>
      <c r="G9" s="2">
        <f t="shared" si="1"/>
        <v>6.1274509803921573</v>
      </c>
      <c r="H9">
        <v>0.29899999999999999</v>
      </c>
      <c r="I9" s="2">
        <f t="shared" si="2"/>
        <v>747500</v>
      </c>
      <c r="J9" s="2">
        <f t="shared" si="10"/>
        <v>1.8321078431372548</v>
      </c>
      <c r="K9" s="2">
        <f t="shared" si="3"/>
        <v>1.1394817073170731</v>
      </c>
      <c r="L9">
        <v>30</v>
      </c>
      <c r="M9">
        <v>6.6000000000000003E-2</v>
      </c>
      <c r="N9" s="2">
        <f t="shared" si="4"/>
        <v>0.10263583199277855</v>
      </c>
      <c r="O9" s="3">
        <f t="shared" si="5"/>
        <v>6.2203534541077907</v>
      </c>
      <c r="P9" s="2">
        <f t="shared" si="6"/>
        <v>256589.57998194639</v>
      </c>
      <c r="Q9" s="2">
        <f t="shared" si="7"/>
        <v>15550883.635269476</v>
      </c>
      <c r="R9" s="2">
        <f t="shared" si="8"/>
        <v>2.9132126100077564</v>
      </c>
      <c r="S9" s="2">
        <f t="shared" si="9"/>
        <v>60.606060606060602</v>
      </c>
      <c r="T9" t="s">
        <v>64</v>
      </c>
    </row>
    <row r="10" spans="1:20" x14ac:dyDescent="0.25">
      <c r="A10" t="s">
        <v>59</v>
      </c>
      <c r="B10" s="3" t="s">
        <v>69</v>
      </c>
      <c r="C10">
        <f>(SUM(1.2,1.75, 2.3) / 3) * 1000</f>
        <v>1750</v>
      </c>
      <c r="D10">
        <v>6800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62</v>
      </c>
      <c r="T10" t="s">
        <v>67</v>
      </c>
    </row>
    <row r="11" spans="1:20" x14ac:dyDescent="0.25">
      <c r="A11" t="s">
        <v>60</v>
      </c>
      <c r="B11" s="3" t="s">
        <v>24</v>
      </c>
      <c r="C11">
        <f>C22*1000</f>
        <v>20</v>
      </c>
      <c r="D11">
        <f>E22/2*C11*1000</f>
        <v>160</v>
      </c>
      <c r="E11" t="s">
        <v>62</v>
      </c>
      <c r="F11" t="s">
        <v>62</v>
      </c>
      <c r="G11" t="s">
        <v>62</v>
      </c>
      <c r="H11" t="s">
        <v>62</v>
      </c>
      <c r="I11" t="s">
        <v>62</v>
      </c>
      <c r="J11" t="s">
        <v>62</v>
      </c>
      <c r="K11" t="s">
        <v>62</v>
      </c>
      <c r="L11" t="s">
        <v>62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62</v>
      </c>
      <c r="T11" t="s">
        <v>66</v>
      </c>
    </row>
    <row r="12" spans="1:20" x14ac:dyDescent="0.25">
      <c r="A12" t="s">
        <v>61</v>
      </c>
      <c r="B12" s="3" t="s">
        <v>24</v>
      </c>
      <c r="C12">
        <f>C25*1000</f>
        <v>5000</v>
      </c>
      <c r="D12">
        <f>C12*E25/2*1000</f>
        <v>12500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62</v>
      </c>
      <c r="O12" t="s">
        <v>62</v>
      </c>
      <c r="P12" t="s">
        <v>62</v>
      </c>
      <c r="Q12" t="s">
        <v>62</v>
      </c>
      <c r="R12" t="s">
        <v>62</v>
      </c>
      <c r="S12" t="s">
        <v>62</v>
      </c>
      <c r="T12" t="s">
        <v>65</v>
      </c>
    </row>
    <row r="19" spans="2:9" x14ac:dyDescent="0.25">
      <c r="B19" t="s">
        <v>80</v>
      </c>
    </row>
    <row r="21" spans="2:9" x14ac:dyDescent="0.25">
      <c r="C21" t="s">
        <v>73</v>
      </c>
      <c r="D21" t="s">
        <v>74</v>
      </c>
      <c r="E21" t="s">
        <v>75</v>
      </c>
      <c r="F21" t="s">
        <v>78</v>
      </c>
      <c r="G21" t="s">
        <v>76</v>
      </c>
      <c r="H21" t="s">
        <v>77</v>
      </c>
      <c r="I21" t="s">
        <v>79</v>
      </c>
    </row>
    <row r="22" spans="2:9" x14ac:dyDescent="0.25">
      <c r="B22" t="s">
        <v>60</v>
      </c>
      <c r="C22">
        <v>0.02</v>
      </c>
      <c r="D22">
        <v>0.32</v>
      </c>
      <c r="E22">
        <f>D22/C22/1000</f>
        <v>1.6E-2</v>
      </c>
    </row>
    <row r="23" spans="2:9" x14ac:dyDescent="0.25">
      <c r="B23" t="s">
        <v>15</v>
      </c>
      <c r="C23">
        <v>0.25</v>
      </c>
      <c r="D23">
        <v>2</v>
      </c>
      <c r="E23">
        <f t="shared" ref="E23:E27" si="11">D23/C23/1000</f>
        <v>8.0000000000000002E-3</v>
      </c>
      <c r="F23">
        <v>240</v>
      </c>
      <c r="G23">
        <v>700</v>
      </c>
      <c r="H23">
        <f>G23/F23/1000</f>
        <v>2.9166666666666664E-3</v>
      </c>
      <c r="I23">
        <f>H23/E23</f>
        <v>0.36458333333333331</v>
      </c>
    </row>
    <row r="24" spans="2:9" x14ac:dyDescent="0.25">
      <c r="B24" t="s">
        <v>16</v>
      </c>
      <c r="C24">
        <v>2.5</v>
      </c>
      <c r="D24">
        <v>13</v>
      </c>
      <c r="E24">
        <f t="shared" si="11"/>
        <v>5.1999999999999998E-3</v>
      </c>
      <c r="F24">
        <v>2387</v>
      </c>
      <c r="G24">
        <v>6425</v>
      </c>
      <c r="H24">
        <f>G24/F24/1000</f>
        <v>2.6916631755341432E-3</v>
      </c>
      <c r="I24">
        <f>H24/E24</f>
        <v>0.51762753375656601</v>
      </c>
    </row>
    <row r="25" spans="2:9" x14ac:dyDescent="0.25">
      <c r="B25" t="s">
        <v>72</v>
      </c>
      <c r="C25">
        <v>5</v>
      </c>
      <c r="D25">
        <v>25</v>
      </c>
      <c r="E25">
        <f t="shared" si="11"/>
        <v>5.0000000000000001E-3</v>
      </c>
    </row>
    <row r="26" spans="2:9" x14ac:dyDescent="0.25">
      <c r="B26" t="s">
        <v>17</v>
      </c>
      <c r="C26">
        <v>10</v>
      </c>
      <c r="D26">
        <v>50</v>
      </c>
      <c r="E26">
        <f t="shared" si="11"/>
        <v>5.0000000000000001E-3</v>
      </c>
      <c r="F26">
        <v>20000</v>
      </c>
      <c r="G26">
        <v>46000</v>
      </c>
      <c r="H26">
        <f>G26/F26/1000</f>
        <v>2.3E-3</v>
      </c>
      <c r="I26">
        <f>H26/E26</f>
        <v>0.45999999999999996</v>
      </c>
    </row>
    <row r="27" spans="2:9" x14ac:dyDescent="0.25">
      <c r="B27" t="s">
        <v>70</v>
      </c>
      <c r="C27">
        <v>70</v>
      </c>
      <c r="D27">
        <v>310</v>
      </c>
      <c r="E27">
        <f t="shared" si="11"/>
        <v>4.4285714285714284E-3</v>
      </c>
      <c r="F27">
        <v>70000</v>
      </c>
      <c r="G27">
        <v>156000</v>
      </c>
      <c r="H27">
        <f>G27/F27/1000</f>
        <v>2.2285714285714287E-3</v>
      </c>
      <c r="I27">
        <f>H27/E27</f>
        <v>0.50322580645161297</v>
      </c>
    </row>
    <row r="28" spans="2:9" x14ac:dyDescent="0.25">
      <c r="I28">
        <f>AVERAGE(I23:I27)</f>
        <v>0.46135916838537805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Wambaugh, John</cp:lastModifiedBy>
  <dcterms:created xsi:type="dcterms:W3CDTF">2010-05-26T18:00:48Z</dcterms:created>
  <dcterms:modified xsi:type="dcterms:W3CDTF">2022-10-03T14:41:01Z</dcterms:modified>
</cp:coreProperties>
</file>