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HERWOO\Documents\GitHub\EPA_OMEGA_Model\alpha_package_costs\alpha_package_costs_inputs\"/>
    </mc:Choice>
  </mc:AlternateContent>
  <xr:revisionPtr revIDLastSave="0" documentId="13_ncr:1_{2B1CC8AE-5FDE-4873-8D88-1E0F666649BA}" xr6:coauthVersionLast="45" xr6:coauthVersionMax="45" xr10:uidLastSave="{00000000-0000-0000-0000-000000000000}"/>
  <bookViews>
    <workbookView xWindow="-108" yWindow="-108" windowWidth="23256" windowHeight="12720" tabRatio="719" xr2:uid="{31AE0ECC-ADD6-46A3-9F50-4BA6582DDF8B}"/>
  </bookViews>
  <sheets>
    <sheet name="inputs_code" sheetId="15" r:id="rId1"/>
    <sheet name="inputs_workbook" sheetId="8" r:id="rId2"/>
    <sheet name="engine" sheetId="1" r:id="rId3"/>
    <sheet name="trans" sheetId="2" r:id="rId4"/>
    <sheet name="accessories" sheetId="3" r:id="rId5"/>
    <sheet name="start-stop" sheetId="5" r:id="rId6"/>
    <sheet name="weight" sheetId="4" r:id="rId7"/>
    <sheet name="aero" sheetId="6" r:id="rId8"/>
    <sheet name="nonaero" sheetId="9" r:id="rId9"/>
    <sheet name="deac" sheetId="10" r:id="rId10"/>
    <sheet name="et_dmc" sheetId="7" r:id="rId11"/>
    <sheet name="bev" sheetId="11" r:id="rId12"/>
    <sheet name="bev_curves_data" sheetId="13" r:id="rId13"/>
    <sheet name="upstream" sheetId="12" r:id="rId14"/>
    <sheet name="coefficients" sheetId="14" r:id="rId15"/>
    <sheet name="gdp_deflators" sheetId="16" r:id="rId16"/>
  </sheets>
  <externalReferences>
    <externalReference r:id="rId17"/>
  </externalReferences>
  <definedNames>
    <definedName name="_xlnm._FilterDatabase" localSheetId="7" hidden="1">aero!$A$1:$D$3</definedName>
    <definedName name="_xlnm._FilterDatabase" localSheetId="2" hidden="1">engine!$A$1:$AI$34</definedName>
    <definedName name="_xlnm._FilterDatabase" localSheetId="8" hidden="1">nonaero!$A$1:$C$4</definedName>
    <definedName name="Markup">inputs_workbook!$B$1</definedName>
    <definedName name="Null_4cyl_DMC">inputs_workbook!$B$4</definedName>
    <definedName name="Null_6cyl_DMC">inputs_workbook!$B$3</definedName>
    <definedName name="Null_8cyl_DMC">inputs_workbook!$B$2</definedName>
    <definedName name="TRX10_">inputs_workbook!$B$5</definedName>
    <definedName name="USD_2006">[1]Inputs!$B$17</definedName>
    <definedName name="workbook_dollar_basis">inputs_workbook!$B$6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0" l="1"/>
  <c r="D2" i="10" s="1"/>
  <c r="D4" i="10"/>
  <c r="D7" i="9"/>
  <c r="D4" i="9"/>
  <c r="D2" i="2"/>
  <c r="U29" i="1"/>
  <c r="U27" i="1"/>
  <c r="U26" i="1"/>
  <c r="U25" i="1"/>
  <c r="U24" i="1"/>
  <c r="U23" i="1"/>
  <c r="U22" i="1"/>
  <c r="U21" i="1"/>
  <c r="U20" i="1"/>
  <c r="U19" i="1"/>
  <c r="U18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S8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Q16" i="1"/>
  <c r="Q10" i="1"/>
  <c r="P31" i="1"/>
  <c r="P30" i="1"/>
  <c r="P27" i="1"/>
  <c r="P26" i="1"/>
  <c r="P24" i="1"/>
  <c r="P23" i="1"/>
  <c r="P22" i="1"/>
  <c r="P21" i="1"/>
  <c r="P20" i="1"/>
  <c r="P19" i="1"/>
  <c r="P16" i="1"/>
  <c r="P15" i="1"/>
  <c r="P13" i="1"/>
  <c r="P12" i="1"/>
  <c r="P11" i="1"/>
  <c r="P10" i="1"/>
  <c r="P9" i="1"/>
  <c r="P8" i="1"/>
  <c r="P7" i="1"/>
  <c r="P6" i="1"/>
  <c r="P5" i="1"/>
  <c r="P4" i="1"/>
  <c r="P3" i="1"/>
  <c r="P2" i="1"/>
  <c r="O29" i="1"/>
  <c r="O28" i="1"/>
  <c r="O25" i="1"/>
  <c r="O22" i="1"/>
  <c r="O21" i="1"/>
  <c r="O20" i="1"/>
  <c r="O19" i="1"/>
  <c r="O18" i="1"/>
  <c r="O17" i="1"/>
  <c r="O16" i="1"/>
  <c r="O15" i="1"/>
  <c r="O14" i="1"/>
  <c r="O11" i="1"/>
  <c r="O10" i="1"/>
  <c r="O9" i="1"/>
  <c r="O8" i="1"/>
  <c r="O4" i="1"/>
  <c r="O3" i="1"/>
  <c r="O2" i="1"/>
  <c r="N21" i="1"/>
  <c r="N19" i="1"/>
  <c r="N15" i="1"/>
  <c r="N10" i="1"/>
  <c r="N8" i="1"/>
  <c r="N2" i="1"/>
  <c r="M29" i="1"/>
  <c r="M28" i="1"/>
  <c r="M25" i="1"/>
  <c r="M22" i="1"/>
  <c r="M21" i="1"/>
  <c r="M20" i="1"/>
  <c r="M19" i="1"/>
  <c r="M18" i="1"/>
  <c r="M17" i="1"/>
  <c r="M16" i="1"/>
  <c r="M15" i="1"/>
  <c r="M14" i="1"/>
  <c r="M11" i="1"/>
  <c r="M10" i="1"/>
  <c r="M9" i="1"/>
  <c r="M8" i="1"/>
  <c r="M4" i="1"/>
  <c r="M3" i="1"/>
  <c r="M2" i="1"/>
  <c r="L31" i="1"/>
  <c r="K3" i="1"/>
  <c r="N3" i="1" s="1"/>
  <c r="K4" i="1"/>
  <c r="N4" i="1" s="1"/>
  <c r="K5" i="1"/>
  <c r="O5" i="1" s="1"/>
  <c r="K6" i="1"/>
  <c r="O6" i="1" s="1"/>
  <c r="K7" i="1"/>
  <c r="O7" i="1" s="1"/>
  <c r="K8" i="1"/>
  <c r="T8" i="1" s="1"/>
  <c r="K9" i="1"/>
  <c r="N9" i="1" s="1"/>
  <c r="K10" i="1"/>
  <c r="T10" i="1" s="1"/>
  <c r="K11" i="1"/>
  <c r="L11" i="1" s="1"/>
  <c r="K12" i="1"/>
  <c r="N12" i="1" s="1"/>
  <c r="K13" i="1"/>
  <c r="N13" i="1" s="1"/>
  <c r="K14" i="1"/>
  <c r="T14" i="1" s="1"/>
  <c r="K15" i="1"/>
  <c r="T15" i="1" s="1"/>
  <c r="K16" i="1"/>
  <c r="N16" i="1" s="1"/>
  <c r="K17" i="1"/>
  <c r="N17" i="1" s="1"/>
  <c r="K18" i="1"/>
  <c r="T18" i="1" s="1"/>
  <c r="K19" i="1"/>
  <c r="T19" i="1" s="1"/>
  <c r="K20" i="1"/>
  <c r="N20" i="1" s="1"/>
  <c r="K21" i="1"/>
  <c r="T21" i="1" s="1"/>
  <c r="K22" i="1"/>
  <c r="N22" i="1" s="1"/>
  <c r="K23" i="1"/>
  <c r="O23" i="1" s="1"/>
  <c r="K24" i="1"/>
  <c r="N24" i="1" s="1"/>
  <c r="K25" i="1"/>
  <c r="N25" i="1" s="1"/>
  <c r="K26" i="1"/>
  <c r="T26" i="1" s="1"/>
  <c r="K27" i="1"/>
  <c r="M27" i="1" s="1"/>
  <c r="K28" i="1"/>
  <c r="N28" i="1" s="1"/>
  <c r="K29" i="1"/>
  <c r="N29" i="1" s="1"/>
  <c r="K30" i="1"/>
  <c r="O30" i="1" s="1"/>
  <c r="K31" i="1"/>
  <c r="O31" i="1" s="1"/>
  <c r="K2" i="1"/>
  <c r="T2" i="1" s="1"/>
  <c r="L3" i="1"/>
  <c r="L5" i="1"/>
  <c r="L6" i="1"/>
  <c r="L7" i="1"/>
  <c r="L8" i="1"/>
  <c r="L9" i="1"/>
  <c r="L12" i="1"/>
  <c r="L13" i="1"/>
  <c r="L16" i="1"/>
  <c r="L19" i="1"/>
  <c r="L20" i="1"/>
  <c r="L21" i="1"/>
  <c r="L22" i="1"/>
  <c r="L23" i="1"/>
  <c r="L24" i="1"/>
  <c r="L25" i="1"/>
  <c r="L26" i="1"/>
  <c r="L27" i="1"/>
  <c r="L28" i="1"/>
  <c r="L29" i="1"/>
  <c r="L30" i="1"/>
  <c r="T5" i="1"/>
  <c r="T9" i="1"/>
  <c r="L2" i="1"/>
  <c r="K23" i="7"/>
  <c r="S27" i="1" l="1"/>
  <c r="Q17" i="1"/>
  <c r="S12" i="1"/>
  <c r="U30" i="1"/>
  <c r="Q2" i="1"/>
  <c r="Q18" i="1"/>
  <c r="S13" i="1"/>
  <c r="Q4" i="1"/>
  <c r="Q20" i="1"/>
  <c r="S16" i="1"/>
  <c r="Q8" i="1"/>
  <c r="Q24" i="1"/>
  <c r="S20" i="1"/>
  <c r="Q9" i="1"/>
  <c r="Q25" i="1"/>
  <c r="S21" i="1"/>
  <c r="Q26" i="1"/>
  <c r="S4" i="1"/>
  <c r="S28" i="1"/>
  <c r="Q12" i="1"/>
  <c r="Q28" i="1"/>
  <c r="S5" i="1"/>
  <c r="S29" i="1"/>
  <c r="U31" i="1"/>
  <c r="S6" i="1"/>
  <c r="S14" i="1"/>
  <c r="S22" i="1"/>
  <c r="S30" i="1"/>
  <c r="Q3" i="1"/>
  <c r="Q11" i="1"/>
  <c r="Q19" i="1"/>
  <c r="Q27" i="1"/>
  <c r="S7" i="1"/>
  <c r="S15" i="1"/>
  <c r="S23" i="1"/>
  <c r="S31" i="1"/>
  <c r="U17" i="1"/>
  <c r="S24" i="1"/>
  <c r="Q5" i="1"/>
  <c r="Q13" i="1"/>
  <c r="Q21" i="1"/>
  <c r="Q29" i="1"/>
  <c r="S9" i="1"/>
  <c r="S17" i="1"/>
  <c r="S25" i="1"/>
  <c r="Q6" i="1"/>
  <c r="Q14" i="1"/>
  <c r="Q22" i="1"/>
  <c r="Q30" i="1"/>
  <c r="S2" i="1"/>
  <c r="S10" i="1"/>
  <c r="S18" i="1"/>
  <c r="S26" i="1"/>
  <c r="U28" i="1"/>
  <c r="Q7" i="1"/>
  <c r="Q15" i="1"/>
  <c r="Q23" i="1"/>
  <c r="Q31" i="1"/>
  <c r="S3" i="1"/>
  <c r="S11" i="1"/>
  <c r="S19" i="1"/>
  <c r="T29" i="1"/>
  <c r="T30" i="1"/>
  <c r="T22" i="1"/>
  <c r="P14" i="1"/>
  <c r="T6" i="1"/>
  <c r="P17" i="1"/>
  <c r="P25" i="1"/>
  <c r="P18" i="1"/>
  <c r="T25" i="1"/>
  <c r="P28" i="1"/>
  <c r="T17" i="1"/>
  <c r="L17" i="1"/>
  <c r="P29" i="1"/>
  <c r="T13" i="1"/>
  <c r="T31" i="1"/>
  <c r="M13" i="1"/>
  <c r="T27" i="1"/>
  <c r="N18" i="1"/>
  <c r="T3" i="1"/>
  <c r="M31" i="1"/>
  <c r="T24" i="1"/>
  <c r="M5" i="1"/>
  <c r="M23" i="1"/>
  <c r="N5" i="1"/>
  <c r="T7" i="1"/>
  <c r="M7" i="1"/>
  <c r="M24" i="1"/>
  <c r="N26" i="1"/>
  <c r="M26" i="1"/>
  <c r="T16" i="1"/>
  <c r="T4" i="1"/>
  <c r="L15" i="1"/>
  <c r="L14" i="1"/>
  <c r="M12" i="1"/>
  <c r="N6" i="1"/>
  <c r="N14" i="1"/>
  <c r="N30" i="1"/>
  <c r="O24" i="1"/>
  <c r="N7" i="1"/>
  <c r="N23" i="1"/>
  <c r="N31" i="1"/>
  <c r="T23" i="1"/>
  <c r="M6" i="1"/>
  <c r="M30" i="1"/>
  <c r="O26" i="1"/>
  <c r="O27" i="1"/>
  <c r="T12" i="1"/>
  <c r="O12" i="1"/>
  <c r="T20" i="1"/>
  <c r="T11" i="1"/>
  <c r="L4" i="1"/>
  <c r="N11" i="1"/>
  <c r="N27" i="1"/>
  <c r="O13" i="1"/>
  <c r="T28" i="1"/>
  <c r="L18" i="1"/>
  <c r="L10" i="1"/>
  <c r="C3" i="11" l="1"/>
  <c r="A3" i="11" s="1"/>
  <c r="C4" i="11"/>
  <c r="A4" i="11" s="1"/>
  <c r="C5" i="11"/>
  <c r="A5" i="11" s="1"/>
  <c r="C6" i="11"/>
  <c r="A6" i="11" s="1"/>
  <c r="C7" i="11"/>
  <c r="A7" i="11" s="1"/>
  <c r="C2" i="11"/>
  <c r="A2" i="11" s="1"/>
  <c r="V15" i="13"/>
  <c r="I7" i="11" s="1"/>
  <c r="R14" i="13"/>
  <c r="V13" i="13"/>
  <c r="U13" i="13"/>
  <c r="T13" i="13"/>
  <c r="S13" i="13"/>
  <c r="R13" i="13"/>
  <c r="V12" i="13"/>
  <c r="U12" i="13"/>
  <c r="T12" i="13"/>
  <c r="S12" i="13"/>
  <c r="R12" i="13"/>
  <c r="Q13" i="13"/>
  <c r="Q12" i="13"/>
  <c r="R7" i="13"/>
  <c r="R15" i="13" s="1"/>
  <c r="I3" i="11" s="1"/>
  <c r="S7" i="13"/>
  <c r="S14" i="13" s="1"/>
  <c r="T7" i="13"/>
  <c r="T14" i="13" s="1"/>
  <c r="U7" i="13"/>
  <c r="U14" i="13" s="1"/>
  <c r="V7" i="13"/>
  <c r="V14" i="13" s="1"/>
  <c r="R8" i="13"/>
  <c r="S8" i="13"/>
  <c r="T8" i="13"/>
  <c r="U8" i="13"/>
  <c r="V8" i="13"/>
  <c r="R9" i="13"/>
  <c r="S9" i="13"/>
  <c r="T9" i="13"/>
  <c r="U9" i="13"/>
  <c r="V9" i="13"/>
  <c r="R10" i="13"/>
  <c r="S10" i="13"/>
  <c r="T10" i="13"/>
  <c r="U10" i="13"/>
  <c r="V10" i="13"/>
  <c r="R11" i="13"/>
  <c r="S11" i="13"/>
  <c r="T11" i="13"/>
  <c r="U11" i="13"/>
  <c r="V11" i="13"/>
  <c r="Q8" i="13"/>
  <c r="Q9" i="13"/>
  <c r="Q10" i="13"/>
  <c r="Q11" i="13"/>
  <c r="Q7" i="13"/>
  <c r="Q15" i="13" s="1"/>
  <c r="I2" i="11" s="1"/>
  <c r="H19" i="13"/>
  <c r="I18" i="13"/>
  <c r="G16" i="13"/>
  <c r="F16" i="13"/>
  <c r="E22" i="13"/>
  <c r="K4" i="11" s="1"/>
  <c r="E23" i="13"/>
  <c r="K5" i="11" s="1"/>
  <c r="D20" i="13"/>
  <c r="J2" i="11" s="1"/>
  <c r="B25" i="13"/>
  <c r="B24" i="13"/>
  <c r="B23" i="13"/>
  <c r="B22" i="13"/>
  <c r="B21" i="13"/>
  <c r="B20" i="13"/>
  <c r="D15" i="13"/>
  <c r="I15" i="13" s="1"/>
  <c r="E15" i="13"/>
  <c r="E21" i="13" s="1"/>
  <c r="K3" i="11" s="1"/>
  <c r="D16" i="13"/>
  <c r="D22" i="13" s="1"/>
  <c r="E16" i="13"/>
  <c r="D17" i="13"/>
  <c r="F17" i="13" s="1"/>
  <c r="E17" i="13"/>
  <c r="D18" i="13"/>
  <c r="H18" i="13" s="1"/>
  <c r="E18" i="13"/>
  <c r="E24" i="13" s="1"/>
  <c r="K6" i="11" s="1"/>
  <c r="D19" i="13"/>
  <c r="F19" i="13" s="1"/>
  <c r="E19" i="13"/>
  <c r="E25" i="13" s="1"/>
  <c r="K7" i="11" s="1"/>
  <c r="E14" i="13"/>
  <c r="E20" i="13" s="1"/>
  <c r="K2" i="11" s="1"/>
  <c r="D14" i="13"/>
  <c r="F14" i="13" s="1"/>
  <c r="B19" i="13"/>
  <c r="B18" i="13"/>
  <c r="B17" i="13"/>
  <c r="B16" i="13"/>
  <c r="B15" i="13"/>
  <c r="B14" i="13"/>
  <c r="T16" i="13" l="1"/>
  <c r="T17" i="13"/>
  <c r="T19" i="13"/>
  <c r="J4" i="11"/>
  <c r="H22" i="13"/>
  <c r="I22" i="13"/>
  <c r="G22" i="13"/>
  <c r="F22" i="13"/>
  <c r="U20" i="13"/>
  <c r="U16" i="13"/>
  <c r="R7" i="11"/>
  <c r="R3" i="11"/>
  <c r="V20" i="13"/>
  <c r="V16" i="13"/>
  <c r="V19" i="13"/>
  <c r="V18" i="13"/>
  <c r="V17" i="13"/>
  <c r="R5" i="11"/>
  <c r="S15" i="13"/>
  <c r="I4" i="11" s="1"/>
  <c r="R4" i="11" s="1"/>
  <c r="D23" i="13"/>
  <c r="F15" i="13"/>
  <c r="H16" i="13"/>
  <c r="G19" i="13"/>
  <c r="T15" i="13"/>
  <c r="I5" i="11" s="1"/>
  <c r="R2" i="11"/>
  <c r="I16" i="13"/>
  <c r="R16" i="13"/>
  <c r="R20" i="13"/>
  <c r="R19" i="13"/>
  <c r="R17" i="13"/>
  <c r="R18" i="13"/>
  <c r="U15" i="13"/>
  <c r="I6" i="11" s="1"/>
  <c r="R6" i="11" s="1"/>
  <c r="I19" i="13"/>
  <c r="F20" i="13"/>
  <c r="I14" i="13"/>
  <c r="H17" i="13"/>
  <c r="G20" i="13"/>
  <c r="G14" i="13"/>
  <c r="H14" i="13"/>
  <c r="G17" i="13"/>
  <c r="D25" i="13"/>
  <c r="D21" i="13"/>
  <c r="G15" i="13"/>
  <c r="I17" i="13"/>
  <c r="H20" i="13"/>
  <c r="F18" i="13"/>
  <c r="H15" i="13"/>
  <c r="G18" i="13"/>
  <c r="I20" i="13"/>
  <c r="Q14" i="13"/>
  <c r="D24" i="13"/>
  <c r="C3" i="10"/>
  <c r="C4" i="10"/>
  <c r="C5" i="10"/>
  <c r="C2" i="10"/>
  <c r="C5" i="9"/>
  <c r="C4" i="9"/>
  <c r="C2" i="9"/>
  <c r="D9" i="9"/>
  <c r="C9" i="9" s="1"/>
  <c r="D8" i="9"/>
  <c r="C8" i="9" s="1"/>
  <c r="C7" i="9"/>
  <c r="C6" i="9"/>
  <c r="J6" i="11" l="1"/>
  <c r="G24" i="13"/>
  <c r="I24" i="13"/>
  <c r="H24" i="13"/>
  <c r="F24" i="13"/>
  <c r="S20" i="13"/>
  <c r="Q20" i="13"/>
  <c r="Q17" i="13"/>
  <c r="Q19" i="13"/>
  <c r="Q16" i="13"/>
  <c r="Q18" i="13"/>
  <c r="J5" i="11"/>
  <c r="I23" i="13"/>
  <c r="H23" i="13"/>
  <c r="G23" i="13"/>
  <c r="F23" i="13"/>
  <c r="J3" i="11"/>
  <c r="G21" i="13"/>
  <c r="F21" i="13"/>
  <c r="I21" i="13"/>
  <c r="H21" i="13"/>
  <c r="S17" i="13"/>
  <c r="U19" i="13"/>
  <c r="S16" i="13"/>
  <c r="J7" i="11"/>
  <c r="F25" i="13"/>
  <c r="I25" i="13"/>
  <c r="H25" i="13"/>
  <c r="G25" i="13"/>
  <c r="U18" i="13"/>
  <c r="T18" i="13"/>
  <c r="S18" i="13"/>
  <c r="U17" i="13"/>
  <c r="T20" i="13"/>
  <c r="S19" i="13"/>
  <c r="C3" i="9"/>
  <c r="D7" i="6" l="1"/>
  <c r="D2" i="6"/>
  <c r="B16" i="3"/>
  <c r="B15" i="3"/>
  <c r="B14" i="3"/>
  <c r="B13" i="3"/>
  <c r="B12" i="3"/>
  <c r="B11" i="3"/>
  <c r="B10" i="3"/>
  <c r="B9" i="3"/>
  <c r="B8" i="3"/>
  <c r="B7" i="3"/>
  <c r="B6" i="3"/>
  <c r="B5" i="3"/>
  <c r="C18" i="3"/>
  <c r="B18" i="3" s="1"/>
  <c r="C19" i="3"/>
  <c r="B19" i="3" s="1"/>
  <c r="C20" i="3"/>
  <c r="B20" i="3" s="1"/>
  <c r="C21" i="3"/>
  <c r="B21" i="3" s="1"/>
  <c r="C22" i="3"/>
  <c r="B22" i="3" s="1"/>
  <c r="C17" i="3"/>
  <c r="B17" i="3" s="1"/>
  <c r="W7" i="1"/>
  <c r="V7" i="1"/>
  <c r="H7" i="1"/>
  <c r="W31" i="1"/>
  <c r="V31" i="1"/>
  <c r="W30" i="1"/>
  <c r="V30" i="1"/>
  <c r="H31" i="1"/>
  <c r="H30" i="1"/>
  <c r="W29" i="1"/>
  <c r="V29" i="1"/>
  <c r="H29" i="1"/>
  <c r="W18" i="1"/>
  <c r="V18" i="1"/>
  <c r="H3" i="1"/>
  <c r="H4" i="1"/>
  <c r="H5" i="1"/>
  <c r="H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" i="1"/>
  <c r="J7" i="1" l="1"/>
  <c r="J31" i="1"/>
  <c r="J30" i="1"/>
  <c r="J29" i="1"/>
  <c r="J18" i="1"/>
  <c r="W28" i="1" l="1"/>
  <c r="V28" i="1"/>
  <c r="W17" i="1"/>
  <c r="V17" i="1"/>
  <c r="J28" i="1" l="1"/>
  <c r="J17" i="1"/>
  <c r="W16" i="1"/>
  <c r="V16" i="1"/>
  <c r="W15" i="1"/>
  <c r="V15" i="1"/>
  <c r="W6" i="1"/>
  <c r="V6" i="1"/>
  <c r="W14" i="1"/>
  <c r="V14" i="1"/>
  <c r="W20" i="1"/>
  <c r="V20" i="1"/>
  <c r="W19" i="1"/>
  <c r="V19" i="1"/>
  <c r="D4" i="6"/>
  <c r="D5" i="6"/>
  <c r="D6" i="6"/>
  <c r="D8" i="6"/>
  <c r="D9" i="6"/>
  <c r="D10" i="6"/>
  <c r="D11" i="6"/>
  <c r="D3" i="6"/>
  <c r="C4" i="5"/>
  <c r="C3" i="5"/>
  <c r="C2" i="5"/>
  <c r="B4" i="3"/>
  <c r="B3" i="3"/>
  <c r="B2" i="3"/>
  <c r="B6" i="2"/>
  <c r="B5" i="2"/>
  <c r="B4" i="2"/>
  <c r="B3" i="2"/>
  <c r="B2" i="2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13" i="1"/>
  <c r="V13" i="1"/>
  <c r="W12" i="1"/>
  <c r="V12" i="1"/>
  <c r="W11" i="1"/>
  <c r="V11" i="1"/>
  <c r="W10" i="1"/>
  <c r="V10" i="1"/>
  <c r="W9" i="1"/>
  <c r="V9" i="1"/>
  <c r="W8" i="1"/>
  <c r="V8" i="1"/>
  <c r="W5" i="1"/>
  <c r="V5" i="1"/>
  <c r="W4" i="1"/>
  <c r="V4" i="1"/>
  <c r="W3" i="1"/>
  <c r="V3" i="1"/>
  <c r="W2" i="1"/>
  <c r="V2" i="1"/>
  <c r="J16" i="1" l="1"/>
  <c r="J15" i="1"/>
  <c r="J6" i="1"/>
  <c r="J14" i="1"/>
  <c r="J19" i="1"/>
  <c r="J20" i="1"/>
  <c r="J27" i="1"/>
  <c r="J10" i="1"/>
  <c r="J4" i="1"/>
  <c r="J3" i="1"/>
  <c r="J26" i="1"/>
  <c r="J25" i="1"/>
  <c r="J9" i="1"/>
  <c r="J12" i="1"/>
  <c r="J8" i="1"/>
  <c r="J11" i="1"/>
  <c r="J2" i="1"/>
  <c r="J21" i="1"/>
  <c r="J24" i="1"/>
  <c r="J22" i="1"/>
  <c r="J13" i="1"/>
  <c r="J23" i="1"/>
  <c r="J5" i="1"/>
  <c r="B3" i="4" l="1"/>
  <c r="B2" i="4"/>
  <c r="A4" i="5"/>
  <c r="A3" i="5"/>
  <c r="H7" i="11" l="1"/>
  <c r="H4" i="11"/>
  <c r="H5" i="11"/>
  <c r="H2" i="11"/>
  <c r="H3" i="11"/>
  <c r="H6" i="11"/>
  <c r="Q6" i="11" l="1"/>
  <c r="S6" i="11"/>
  <c r="Q3" i="11"/>
  <c r="S3" i="11"/>
  <c r="Q2" i="11"/>
  <c r="S2" i="11"/>
  <c r="Q5" i="11"/>
  <c r="S5" i="11"/>
  <c r="Q4" i="11"/>
  <c r="S4" i="11"/>
  <c r="Q7" i="11"/>
  <c r="S7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Sherwood, Todd</author>
  </authors>
  <commentList>
    <comment ref="B1" authorId="0" shapeId="0" xr:uid="{88DA1EE5-DEC6-487F-A8EC-52E9E4C87004}">
      <text>
        <r>
          <rPr>
            <b/>
            <sz val="9"/>
            <color indexed="81"/>
            <rFont val="Tahoma"/>
            <charset val="1"/>
          </rPr>
          <t>Sherwood, Todd:</t>
        </r>
        <r>
          <rPr>
            <sz val="9"/>
            <color indexed="81"/>
            <rFont val="Tahoma"/>
            <charset val="1"/>
          </rPr>
          <t xml:space="preserve">
Table 1.1.4. Price Indexes for Gross Domestic Product
[Index numbers, 2012=100] 
Bureau of Economic Analysis 
Last Revised on: April 29, 2020 - Next Release Date May 28, 2020</t>
        </r>
      </text>
    </comment>
  </commentList>
</comments>
</file>

<file path=xl/sharedStrings.xml><?xml version="1.0" encoding="utf-8"?>
<sst xmlns="http://schemas.openxmlformats.org/spreadsheetml/2006/main" count="943" uniqueCount="338">
  <si>
    <t>SOHC</t>
  </si>
  <si>
    <t>DOHC</t>
  </si>
  <si>
    <t>OHV</t>
  </si>
  <si>
    <t>PFI</t>
  </si>
  <si>
    <t>GDI</t>
  </si>
  <si>
    <t>Markup</t>
  </si>
  <si>
    <t>engine_category</t>
  </si>
  <si>
    <t>cam</t>
  </si>
  <si>
    <t>fuel_system</t>
  </si>
  <si>
    <t>turbo</t>
  </si>
  <si>
    <t>key</t>
  </si>
  <si>
    <t>engine_2013_Ford_EcoBoost_1L6_Tier2</t>
  </si>
  <si>
    <t>ALPHA_engine</t>
  </si>
  <si>
    <t>engine_2013_GM_Ecotec_LCV_2L5_PFI_Tier3</t>
  </si>
  <si>
    <t>engine_2013_GM_Ecotec_LCV_2L5_Tier3</t>
  </si>
  <si>
    <t>engine_2014_GM_EcoTec3_LV3_4L3_Tier2_no_deac</t>
  </si>
  <si>
    <t>engine_2014_GM_EcoTec3_LV3_4L3_Tier2_PFI_no_deac</t>
  </si>
  <si>
    <t>ATK</t>
  </si>
  <si>
    <t>engine_2014_Mazda_Skyactiv_US_2L0_Tier2</t>
  </si>
  <si>
    <t>engine_2015_Ford_EcoBoost_2L7_Tier2</t>
  </si>
  <si>
    <t>TURB11</t>
  </si>
  <si>
    <t>NatAsp</t>
  </si>
  <si>
    <t>TURB12</t>
  </si>
  <si>
    <t>engine_2016_Honda_L15B7_1L5_Tier2</t>
  </si>
  <si>
    <t>LUB2</t>
  </si>
  <si>
    <t>TRX10</t>
  </si>
  <si>
    <t>TRX11</t>
  </si>
  <si>
    <t>TRX12</t>
  </si>
  <si>
    <t>TRX21</t>
  </si>
  <si>
    <t>TRX22</t>
  </si>
  <si>
    <t>EPS</t>
  </si>
  <si>
    <t>IACC1</t>
  </si>
  <si>
    <t>IACC2</t>
  </si>
  <si>
    <t>haul</t>
  </si>
  <si>
    <t>nohaul</t>
  </si>
  <si>
    <t>DMC_ln_coefficient</t>
  </si>
  <si>
    <t>DMC_constant</t>
  </si>
  <si>
    <t>IC_slope</t>
  </si>
  <si>
    <t>work_class</t>
  </si>
  <si>
    <t>curb_weight_min</t>
  </si>
  <si>
    <t>curb_weight_max</t>
  </si>
  <si>
    <t>cost_per_pound</t>
  </si>
  <si>
    <t>Tech</t>
  </si>
  <si>
    <t>Aero05</t>
  </si>
  <si>
    <t>Aero10</t>
  </si>
  <si>
    <t>Aero15</t>
  </si>
  <si>
    <t>Aero20</t>
  </si>
  <si>
    <t>engine_architecture</t>
  </si>
  <si>
    <t>actual_cylinders</t>
  </si>
  <si>
    <t>effective_cylinders</t>
  </si>
  <si>
    <t>Tech_#</t>
  </si>
  <si>
    <t>Increment</t>
  </si>
  <si>
    <t>Source</t>
  </si>
  <si>
    <t>CWC_VehType</t>
  </si>
  <si>
    <t>LF_code</t>
  </si>
  <si>
    <t>ST_Thru</t>
  </si>
  <si>
    <t>Complexity</t>
  </si>
  <si>
    <t>dmc_base</t>
  </si>
  <si>
    <t>Notes</t>
  </si>
  <si>
    <t>ATK1-I3</t>
  </si>
  <si>
    <t>183_ClassNA</t>
  </si>
  <si>
    <t>base</t>
  </si>
  <si>
    <t>2017-2025 FRM</t>
  </si>
  <si>
    <t>ClassNA</t>
  </si>
  <si>
    <t>Med2</t>
  </si>
  <si>
    <t>Cost neutral with base engine; cam switching done with DCP &amp; DVVL which are added/costed separately</t>
  </si>
  <si>
    <t>ATK1-I4</t>
  </si>
  <si>
    <t>184_ClassNA</t>
  </si>
  <si>
    <t>ATK1-V6</t>
  </si>
  <si>
    <t>185_ClassNA</t>
  </si>
  <si>
    <t>ATK1-V8</t>
  </si>
  <si>
    <t>186_ClassNA</t>
  </si>
  <si>
    <t>DeacPD_I4</t>
  </si>
  <si>
    <t>193_ClassNA</t>
  </si>
  <si>
    <t>High1</t>
  </si>
  <si>
    <t>20160216: set equal to one-half the Deac-V8 per J.McDonald</t>
  </si>
  <si>
    <t>DeacPD_V6</t>
  </si>
  <si>
    <t>194_ClassNA</t>
  </si>
  <si>
    <t>2012-2016 FRM</t>
  </si>
  <si>
    <t>DeacPD_V8</t>
  </si>
  <si>
    <t>195_ClassNA</t>
  </si>
  <si>
    <t>DI-I4</t>
  </si>
  <si>
    <t>197_ClassNA</t>
  </si>
  <si>
    <t>FEV</t>
  </si>
  <si>
    <t>DI-I4&gt;I3</t>
  </si>
  <si>
    <t>198_ClassNA</t>
  </si>
  <si>
    <t>DI-V6</t>
  </si>
  <si>
    <t>199_ClassNA</t>
  </si>
  <si>
    <t>DI-V8</t>
  </si>
  <si>
    <t>200_ClassNA</t>
  </si>
  <si>
    <t>207_ClassNA</t>
  </si>
  <si>
    <t>Low2</t>
  </si>
  <si>
    <t>20171019: LUB2 removed from EFR2 and new LUB2 code added; 2011-03-22: Included cost of LUB2 which is double LUB; 2011-03-07: Set at double the cost for EFR1</t>
  </si>
  <si>
    <t>EGR-I</t>
  </si>
  <si>
    <t>215_ClassNA</t>
  </si>
  <si>
    <t>TAR 2010</t>
  </si>
  <si>
    <t>New cost is from diesel VW EGR teardown for single loop EGR; Old cost was for Dual loop EGR with venturi; dual loop cost was for TDS engine but we use this EGR cost only for ATK2 which has no turbo</t>
  </si>
  <si>
    <t>EGR-V</t>
  </si>
  <si>
    <t>216_ClassNA</t>
  </si>
  <si>
    <t>I4 DOHC to I4 DOHC wT</t>
  </si>
  <si>
    <t>229_ClassNA</t>
  </si>
  <si>
    <t>I4 to I3 wT</t>
  </si>
  <si>
    <t>230_ClassNA</t>
  </si>
  <si>
    <t>LUB1</t>
  </si>
  <si>
    <t>241_ClassNA</t>
  </si>
  <si>
    <t>TURB11-I</t>
  </si>
  <si>
    <t>265_ClassNA</t>
  </si>
  <si>
    <t>TURB11-V</t>
  </si>
  <si>
    <t>266_ClassNA</t>
  </si>
  <si>
    <t>TURB21-I</t>
  </si>
  <si>
    <t>267_ClassNA</t>
  </si>
  <si>
    <t>20160229 email fr J.Cherry; additional $44 is an additional delta from VW diesel VGT teardown vs Mini Cooper non-VGT gasoline teardown</t>
  </si>
  <si>
    <t>TURB21-V</t>
  </si>
  <si>
    <t>268_ClassNA</t>
  </si>
  <si>
    <t>20160328 JoeMcD says we need 2*44 for V engines (2 turbos); 20160229 email fr J.Cherry; additional $44 is an additional delta from VW diesel VGT teardown vs Mini Cooper non-VGT gasoline teardown</t>
  </si>
  <si>
    <t>269_ClassNA</t>
  </si>
  <si>
    <t>V6 DOHC to I3 DOHC wT</t>
  </si>
  <si>
    <t>271_ClassNA</t>
  </si>
  <si>
    <t>EPA Internal</t>
  </si>
  <si>
    <t>V6 DOHC to I4 wT</t>
  </si>
  <si>
    <t>272_ClassNA</t>
  </si>
  <si>
    <t>V6 OHV to I3 DOHC wT</t>
  </si>
  <si>
    <t>273_ClassNA</t>
  </si>
  <si>
    <t>V6 OHV to I4 DOHC wT</t>
  </si>
  <si>
    <t>274_ClassNA</t>
  </si>
  <si>
    <t>V6 SOHC to I3 DOHC wT</t>
  </si>
  <si>
    <t>275_ClassNA</t>
  </si>
  <si>
    <t>V6 SOHC to I4 wT</t>
  </si>
  <si>
    <t>276_ClassNA</t>
  </si>
  <si>
    <t>V6 OHV to V6 DOHC</t>
  </si>
  <si>
    <t>277_ClassNA</t>
  </si>
  <si>
    <t>V6 SOHC to V6 DOHC</t>
  </si>
  <si>
    <t>278_ClassNA</t>
  </si>
  <si>
    <t>V8 DOHC to I4 DOHC wT</t>
  </si>
  <si>
    <t>279_ClassNA</t>
  </si>
  <si>
    <t>V8 DOHC to V6 DOHC wT</t>
  </si>
  <si>
    <t>280_ClassNA</t>
  </si>
  <si>
    <t>V8 OHV to I4 DOHC wT</t>
  </si>
  <si>
    <t>281_ClassNA</t>
  </si>
  <si>
    <t>V8 OHV to V6 DOHC wT</t>
  </si>
  <si>
    <t>282_ClassNA</t>
  </si>
  <si>
    <t>V8 OHV to V8 DOHC</t>
  </si>
  <si>
    <t>283_ClassNA</t>
  </si>
  <si>
    <t>V8 SOHC 3V to I4 DOHC wT</t>
  </si>
  <si>
    <t>284_ClassNA</t>
  </si>
  <si>
    <t>V8 SOHC 3V to V6 DOHC wT</t>
  </si>
  <si>
    <t>285_ClassNA</t>
  </si>
  <si>
    <t>V8 SOHC 3V to V8 DOHC</t>
  </si>
  <si>
    <t>286_ClassNA</t>
  </si>
  <si>
    <t>V8 SOHC to I4 DOHC wT</t>
  </si>
  <si>
    <t>287_ClassNA</t>
  </si>
  <si>
    <t>V8 SOHC to V6 DOHC wT</t>
  </si>
  <si>
    <t>288_ClassNA</t>
  </si>
  <si>
    <t>V8 SOHC to V8 DOHC</t>
  </si>
  <si>
    <t>289_ClassNA</t>
  </si>
  <si>
    <t>VVLTD-OHC-I4</t>
  </si>
  <si>
    <t>294_ClassNA</t>
  </si>
  <si>
    <t>VVLTD-OHC-V6</t>
  </si>
  <si>
    <t>295_ClassNA</t>
  </si>
  <si>
    <t>VVLTD-OHC-V8</t>
  </si>
  <si>
    <t>296_ClassNA</t>
  </si>
  <si>
    <t>VVTC-OHC-I</t>
  </si>
  <si>
    <t>297_ClassNA</t>
  </si>
  <si>
    <t>One cam phaser per bank of cylinders</t>
  </si>
  <si>
    <t>VVTC-OHC-V</t>
  </si>
  <si>
    <t>298_ClassNA</t>
  </si>
  <si>
    <t>VVTD-OHC-I</t>
  </si>
  <si>
    <t>300_ClassNA</t>
  </si>
  <si>
    <t>Two cam phasers per bank of cylinders, less $6 (2012 cost in 2007$) credit for removal of EGR valve</t>
  </si>
  <si>
    <t>VVTD-OHC-V</t>
  </si>
  <si>
    <t>301_ClassNA</t>
  </si>
  <si>
    <t>Two cam phasers per bank of cylinders, less $6 (2012 cost in 2007$) credit for removal of EGR valve; additional $4.08 to set value equivalent to legacy value for consistency</t>
  </si>
  <si>
    <t>VVTD-OHV-V</t>
  </si>
  <si>
    <t>302_ClassNA</t>
  </si>
  <si>
    <t>EPA internal on 4/28 to accommodate TEB-CEB machine; tech used only on Viper</t>
  </si>
  <si>
    <t>ATK2-I3</t>
  </si>
  <si>
    <t>314_ClassNA</t>
  </si>
  <si>
    <t>20150723: NAS2015, see Table S.2</t>
  </si>
  <si>
    <t>ATK2-I4</t>
  </si>
  <si>
    <t>315_ClassNA</t>
  </si>
  <si>
    <t>ATK2-V6</t>
  </si>
  <si>
    <t>316_ClassNA</t>
  </si>
  <si>
    <t>ATK2-V8</t>
  </si>
  <si>
    <t>317_ClassNA</t>
  </si>
  <si>
    <t>TURBM-I</t>
  </si>
  <si>
    <t>320_ClassNA</t>
  </si>
  <si>
    <t>20160216: set equal to TURB24 per J.McDonald</t>
  </si>
  <si>
    <t>TURBM-V</t>
  </si>
  <si>
    <t>321_ClassNA</t>
  </si>
  <si>
    <t>TURB12-I</t>
  </si>
  <si>
    <t>337_ClassNA</t>
  </si>
  <si>
    <t>TURB12-V</t>
  </si>
  <si>
    <t>338_ClassNA</t>
  </si>
  <si>
    <t>DeacFC_NVH</t>
  </si>
  <si>
    <t>339_ClassNA</t>
  </si>
  <si>
    <t>DeacFC_OCV</t>
  </si>
  <si>
    <t>358_ClassNA</t>
  </si>
  <si>
    <t>DeacFC_RFF</t>
  </si>
  <si>
    <t>359_ClassNA</t>
  </si>
  <si>
    <t>DeacFC_HVL</t>
  </si>
  <si>
    <t>360_ClassNA</t>
  </si>
  <si>
    <t>Null_8cyl_DMC</t>
  </si>
  <si>
    <t>Null_6cyl_DMC</t>
  </si>
  <si>
    <t>Null_4cyl_DMC</t>
  </si>
  <si>
    <t>cams</t>
  </si>
  <si>
    <t>downsize</t>
  </si>
  <si>
    <t>gdi</t>
  </si>
  <si>
    <t>atk</t>
  </si>
  <si>
    <t>vvt</t>
  </si>
  <si>
    <t>vvl/deac</t>
  </si>
  <si>
    <t>lub</t>
  </si>
  <si>
    <t>efr</t>
  </si>
  <si>
    <t>egr</t>
  </si>
  <si>
    <t>dmc</t>
  </si>
  <si>
    <t>engine_2016_toyota_TNGA_2L5_paper_image</t>
  </si>
  <si>
    <t>engine_future_Ricardo_EGRB_1L0_Tier2</t>
  </si>
  <si>
    <t>engine_future_EPA_Atkinson_r2_2L5</t>
  </si>
  <si>
    <t>ATK2</t>
  </si>
  <si>
    <t>cegr</t>
  </si>
  <si>
    <t>NoCEGR</t>
  </si>
  <si>
    <t>CEGR</t>
  </si>
  <si>
    <t>engine_cost</t>
  </si>
  <si>
    <t>trans_cost</t>
  </si>
  <si>
    <t>aero_cost</t>
  </si>
  <si>
    <t>trans</t>
  </si>
  <si>
    <t>electric_EPS_HEA_REGEN_HPW</t>
  </si>
  <si>
    <t>electric_EPS_HEA_REGEN_Truck</t>
  </si>
  <si>
    <t>electric_EPS_HEA_REGEN_LPW_LRL</t>
  </si>
  <si>
    <t>electric_EPS_HEA_REGEN_LPW_HRL</t>
  </si>
  <si>
    <t>electric_EPS_HEA_REGEN_MPW_LRL</t>
  </si>
  <si>
    <t>electric_EPS_HEA_REGEN_MPW_HRL</t>
  </si>
  <si>
    <t>accessory_cost</t>
  </si>
  <si>
    <t>Accessory</t>
  </si>
  <si>
    <t>electric_EPS_LPW_LRL</t>
  </si>
  <si>
    <t>electric_EPS_LPW_HRL</t>
  </si>
  <si>
    <t>electric_EPS_MPW_LRL</t>
  </si>
  <si>
    <t>electric_EPS_MPW_HRL</t>
  </si>
  <si>
    <t>electric_EPS_HPW</t>
  </si>
  <si>
    <t>electric_EPS_Truck</t>
  </si>
  <si>
    <t>electric_HPS_LPW_LRL</t>
  </si>
  <si>
    <t>electric_HPS_LPW_HRL</t>
  </si>
  <si>
    <t>electric_HPS_MPW_LRL</t>
  </si>
  <si>
    <t>electric_HPS_MPW_HRL</t>
  </si>
  <si>
    <t>electric_HPS_HPW</t>
  </si>
  <si>
    <t>electric_HPS_Truck</t>
  </si>
  <si>
    <t>start-stop_cost</t>
  </si>
  <si>
    <t>aero</t>
  </si>
  <si>
    <t>Aero00</t>
  </si>
  <si>
    <t>nonaero</t>
  </si>
  <si>
    <t>nonaero_cost</t>
  </si>
  <si>
    <t>LRRT1</t>
  </si>
  <si>
    <t>LRRT2</t>
  </si>
  <si>
    <t>NADR1</t>
  </si>
  <si>
    <t>NADR2</t>
  </si>
  <si>
    <t>NADR3</t>
  </si>
  <si>
    <t>NADR4</t>
  </si>
  <si>
    <t>NADR0</t>
  </si>
  <si>
    <t>LDB</t>
  </si>
  <si>
    <t>Cylinders</t>
  </si>
  <si>
    <t>DeacPD_I3</t>
  </si>
  <si>
    <t>deac_cost</t>
  </si>
  <si>
    <t>CWC</t>
  </si>
  <si>
    <t>CWC1</t>
  </si>
  <si>
    <t>CWC2</t>
  </si>
  <si>
    <t>CWC3</t>
  </si>
  <si>
    <t>CWC4</t>
  </si>
  <si>
    <t>CWC5</t>
  </si>
  <si>
    <t>CWC6</t>
  </si>
  <si>
    <t>gap</t>
  </si>
  <si>
    <t>range</t>
  </si>
  <si>
    <t>loss_charging</t>
  </si>
  <si>
    <t>utility_factor</t>
  </si>
  <si>
    <t>calendar_year</t>
  </si>
  <si>
    <t>grid_loss</t>
  </si>
  <si>
    <t>GHGpkWh</t>
  </si>
  <si>
    <t>CO2pGal_Refinery</t>
  </si>
  <si>
    <t>footprint</t>
  </si>
  <si>
    <t>EV200batt</t>
  </si>
  <si>
    <t>EV200nonbatt</t>
  </si>
  <si>
    <t>slope</t>
  </si>
  <si>
    <t>intercept</t>
  </si>
  <si>
    <t>bev</t>
  </si>
  <si>
    <t>WR</t>
  </si>
  <si>
    <t>kWh</t>
  </si>
  <si>
    <t>kWh_pack_slope</t>
  </si>
  <si>
    <t>kWh_pack_intercept</t>
  </si>
  <si>
    <t>kWhpmi_cycle_noWR</t>
  </si>
  <si>
    <t>LPW_LRL</t>
  </si>
  <si>
    <t>MPW_LRL</t>
  </si>
  <si>
    <t>LPW_HRL</t>
  </si>
  <si>
    <t>MPW_HRL</t>
  </si>
  <si>
    <t>HPW</t>
  </si>
  <si>
    <t>Truck</t>
  </si>
  <si>
    <t>effectiveness_class</t>
  </si>
  <si>
    <t>usable_SOC</t>
  </si>
  <si>
    <t>Test Weight lbs</t>
  </si>
  <si>
    <t>car_a</t>
  </si>
  <si>
    <t>car_b</t>
  </si>
  <si>
    <t>car_c</t>
  </si>
  <si>
    <t>car_d</t>
  </si>
  <si>
    <t>truck_a</t>
  </si>
  <si>
    <t>truck_b</t>
  </si>
  <si>
    <t>truck_c</t>
  </si>
  <si>
    <t>truck_d</t>
  </si>
  <si>
    <t>reg_class</t>
  </si>
  <si>
    <t>car</t>
  </si>
  <si>
    <t>truck</t>
  </si>
  <si>
    <t>car_fp_min</t>
  </si>
  <si>
    <t>car_fp_max</t>
  </si>
  <si>
    <t>truck_fp_min</t>
  </si>
  <si>
    <t>truck_fp_max</t>
  </si>
  <si>
    <t>bev_spec</t>
  </si>
  <si>
    <t>CO2pGal_TestFuel</t>
  </si>
  <si>
    <t>learning_rate_bev</t>
  </si>
  <si>
    <t>item</t>
  </si>
  <si>
    <t>value</t>
  </si>
  <si>
    <t>start_year</t>
  </si>
  <si>
    <t>end_year</t>
  </si>
  <si>
    <t>learning_rate_weight</t>
  </si>
  <si>
    <t>learning_rate_powertrain</t>
  </si>
  <si>
    <t>learning_rate_roadload</t>
  </si>
  <si>
    <t>dmc_basis</t>
  </si>
  <si>
    <t>year</t>
  </si>
  <si>
    <t>factor</t>
  </si>
  <si>
    <t>EFR1</t>
  </si>
  <si>
    <t>EFR</t>
  </si>
  <si>
    <t>value is per cylinder</t>
  </si>
  <si>
    <t>workbook_dollar_basis</t>
  </si>
  <si>
    <t>dollar_basis</t>
  </si>
  <si>
    <t>EFR2</t>
  </si>
  <si>
    <t>bev_cost_slope</t>
  </si>
  <si>
    <t>bev_cost_intercept</t>
  </si>
  <si>
    <t>analysis_year_dollars</t>
  </si>
  <si>
    <t>dollar/kWh_0WR</t>
  </si>
  <si>
    <t>dollar/kWh_20WR</t>
  </si>
  <si>
    <t>ghg_standards</t>
  </si>
  <si>
    <t>flat</t>
  </si>
  <si>
    <t>NO LONGER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</si>
</sst>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\$* #,##0.00_);_(\$* \(#,##0.00\);_(\$* \-??_);_(@_)"/>
    <numFmt numFmtId="165" formatCode="0.000"/>
    <numFmt numFmtId="166" formatCode="0.0"/>
    <numFmt numFmtId="167" formatCode="_(* #,##0_);_(* \(#,##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Arial"/>
      <family val="2"/>
    </font>
    <font>
      <sz val="10"/>
      <color theme="1"/>
      <name val="Segoe UI"/>
      <family val="2"/>
    </font>
    <font>
      <sz val="10"/>
      <color rgb="FF3F3F76"/>
      <name val="Segoe UI"/>
      <family val="2"/>
    </font>
    <font>
      <b/>
      <sz val="10"/>
      <color rgb="FFFA7D00"/>
      <name val="Segoe UI"/>
      <family val="2"/>
    </font>
    <font>
      <sz val="10"/>
      <color rgb="FFFA7D00"/>
      <name val="Segoe UI"/>
      <family val="2"/>
    </font>
    <font>
      <sz val="10"/>
      <name val="Arial"/>
      <family val="2"/>
    </font>
    <font>
      <sz val="11"/>
      <color rgb="FF3F3F76"/>
      <name val="Tahoma"/>
      <family val="2"/>
    </font>
    <font>
      <sz val="10"/>
      <color rgb="FF3F3F76"/>
      <name val="Tahoma"/>
      <family val="2"/>
    </font>
    <font>
      <b/>
      <sz val="11"/>
      <color rgb="FFFA7D00"/>
      <name val="Tahoma"/>
      <family val="2"/>
    </font>
    <font>
      <sz val="10"/>
      <color rgb="FFFA7D00"/>
      <name val="Tahoma"/>
      <family val="2"/>
    </font>
    <font>
      <b/>
      <sz val="10"/>
      <color rgb="FF3F3F3F"/>
      <name val="Segoe UI"/>
      <family val="2"/>
    </font>
    <font>
      <sz val="10"/>
      <color theme="0"/>
      <name val="Tahoma"/>
      <family val="2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A7D00"/>
      <name val="Tahoma"/>
      <family val="2"/>
    </font>
    <font>
      <sz val="10"/>
      <name val="Times New Roman"/>
      <family val="1"/>
    </font>
    <font>
      <sz val="11"/>
      <color rgb="FFFA7D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34">
    <xf numFmtId="0" fontId="0" fillId="0" borderId="0"/>
    <xf numFmtId="0" fontId="1" fillId="2" borderId="1" applyNumberFormat="0" applyAlignment="0" applyProtection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0" fontId="4" fillId="2" borderId="1" applyNumberFormat="0" applyAlignment="0" applyProtection="0"/>
    <xf numFmtId="0" fontId="5" fillId="3" borderId="1" applyNumberFormat="0" applyAlignment="0" applyProtection="0"/>
    <xf numFmtId="0" fontId="6" fillId="0" borderId="3" applyNumberFormat="0" applyFill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2" borderId="1" applyNumberFormat="0" applyAlignment="0" applyProtection="0"/>
    <xf numFmtId="0" fontId="7" fillId="0" borderId="0"/>
    <xf numFmtId="164" fontId="7" fillId="0" borderId="0" applyFill="0" applyBorder="0" applyAlignment="0" applyProtection="0"/>
    <xf numFmtId="0" fontId="10" fillId="3" borderId="1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1" fillId="0" borderId="3" applyNumberFormat="0" applyFill="0" applyAlignment="0" applyProtection="0"/>
    <xf numFmtId="0" fontId="3" fillId="0" borderId="0"/>
    <xf numFmtId="0" fontId="12" fillId="3" borderId="2" applyNumberFormat="0" applyAlignment="0" applyProtection="0"/>
    <xf numFmtId="0" fontId="13" fillId="4" borderId="0" applyNumberFormat="0" applyBorder="0" applyAlignment="0" applyProtection="0"/>
    <xf numFmtId="0" fontId="2" fillId="0" borderId="0"/>
    <xf numFmtId="0" fontId="9" fillId="2" borderId="1" applyNumberFormat="0" applyAlignment="0" applyProtection="0"/>
    <xf numFmtId="0" fontId="14" fillId="3" borderId="2" applyNumberFormat="0" applyAlignment="0" applyProtection="0"/>
    <xf numFmtId="0" fontId="15" fillId="3" borderId="1" applyNumberFormat="0" applyAlignment="0" applyProtection="0"/>
    <xf numFmtId="43" fontId="16" fillId="0" borderId="0" applyFont="0" applyFill="0" applyBorder="0" applyAlignment="0" applyProtection="0"/>
    <xf numFmtId="0" fontId="17" fillId="3" borderId="1" applyNumberFormat="0" applyAlignment="0" applyProtection="0"/>
    <xf numFmtId="0" fontId="18" fillId="0" borderId="0"/>
    <xf numFmtId="9" fontId="18" fillId="0" borderId="0" applyFont="0" applyFill="0" applyBorder="0" applyAlignment="0" applyProtection="0"/>
    <xf numFmtId="0" fontId="16" fillId="0" borderId="0"/>
    <xf numFmtId="0" fontId="16" fillId="0" borderId="0"/>
    <xf numFmtId="0" fontId="18" fillId="0" borderId="0"/>
    <xf numFmtId="0" fontId="18" fillId="0" borderId="0"/>
    <xf numFmtId="0" fontId="19" fillId="0" borderId="3" applyNumberFormat="0" applyFill="0" applyAlignment="0" applyProtection="0"/>
  </cellStyleXfs>
  <cellXfs count="45">
    <xf numFmtId="0" fontId="0" fillId="0" borderId="0" xfId="0"/>
    <xf numFmtId="0" fontId="1" fillId="2" borderId="1" xfId="1"/>
    <xf numFmtId="0" fontId="0" fillId="0" borderId="0" xfId="0" applyAlignment="1">
      <alignment vertical="top"/>
    </xf>
    <xf numFmtId="0" fontId="1" fillId="2" borderId="1" xfId="1" applyAlignment="1">
      <alignment vertical="top"/>
    </xf>
    <xf numFmtId="0" fontId="14" fillId="3" borderId="2" xfId="23"/>
    <xf numFmtId="3" fontId="14" fillId="3" borderId="2" xfId="23" applyNumberFormat="1"/>
    <xf numFmtId="0" fontId="0" fillId="0" borderId="0" xfId="0" quotePrefix="1"/>
    <xf numFmtId="0" fontId="0" fillId="0" borderId="0" xfId="0" quotePrefix="1" applyNumberFormat="1"/>
    <xf numFmtId="1" fontId="14" fillId="3" borderId="2" xfId="23" applyNumberFormat="1"/>
    <xf numFmtId="1" fontId="1" fillId="2" borderId="1" xfId="1" applyNumberFormat="1"/>
    <xf numFmtId="0" fontId="0" fillId="0" borderId="0" xfId="0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1" fontId="0" fillId="5" borderId="0" xfId="0" applyNumberFormat="1" applyFill="1"/>
    <xf numFmtId="1" fontId="0" fillId="0" borderId="0" xfId="0" applyNumberFormat="1" applyFont="1" applyFill="1" applyBorder="1"/>
    <xf numFmtId="0" fontId="0" fillId="0" borderId="0" xfId="0" applyFont="1" applyFill="1" applyBorder="1"/>
    <xf numFmtId="167" fontId="0" fillId="0" borderId="0" xfId="25" applyNumberFormat="1" applyFont="1"/>
    <xf numFmtId="0" fontId="0" fillId="0" borderId="0" xfId="0"/>
    <xf numFmtId="1" fontId="0" fillId="0" borderId="0" xfId="0" applyNumberFormat="1"/>
    <xf numFmtId="166" fontId="0" fillId="5" borderId="0" xfId="0" applyNumberFormat="1" applyFill="1"/>
    <xf numFmtId="0" fontId="0" fillId="0" borderId="0" xfId="0"/>
    <xf numFmtId="0" fontId="0" fillId="0" borderId="0" xfId="0" applyAlignment="1">
      <alignment horizontal="center"/>
    </xf>
    <xf numFmtId="166" fontId="0" fillId="0" borderId="0" xfId="0" applyNumberFormat="1"/>
    <xf numFmtId="1" fontId="0" fillId="0" borderId="0" xfId="0" applyNumberFormat="1"/>
    <xf numFmtId="165" fontId="15" fillId="3" borderId="4" xfId="24" applyNumberFormat="1" applyBorder="1"/>
    <xf numFmtId="0" fontId="0" fillId="0" borderId="0" xfId="0" applyBorder="1" applyAlignment="1">
      <alignment horizontal="center" vertical="top"/>
    </xf>
    <xf numFmtId="0" fontId="0" fillId="0" borderId="0" xfId="0" applyBorder="1" applyAlignment="1">
      <alignment vertical="top"/>
    </xf>
    <xf numFmtId="0" fontId="0" fillId="0" borderId="0" xfId="0" applyFill="1" applyBorder="1" applyAlignment="1">
      <alignment horizontal="center" vertical="top"/>
    </xf>
    <xf numFmtId="0" fontId="0" fillId="0" borderId="0" xfId="0" applyBorder="1" applyAlignment="1">
      <alignment horizontal="left"/>
    </xf>
    <xf numFmtId="166" fontId="0" fillId="0" borderId="0" xfId="0" applyNumberFormat="1" applyBorder="1" applyAlignment="1">
      <alignment horizontal="right" vertical="center" wrapText="1"/>
    </xf>
    <xf numFmtId="0" fontId="0" fillId="0" borderId="0" xfId="0"/>
    <xf numFmtId="166" fontId="0" fillId="0" borderId="0" xfId="0" applyNumberFormat="1" applyBorder="1"/>
    <xf numFmtId="0" fontId="0" fillId="0" borderId="0" xfId="0"/>
    <xf numFmtId="2" fontId="0" fillId="0" borderId="0" xfId="0" applyNumberFormat="1" applyBorder="1" applyAlignment="1">
      <alignment horizontal="right" vertical="center" wrapText="1"/>
    </xf>
    <xf numFmtId="0" fontId="0" fillId="0" borderId="0" xfId="0" applyBorder="1"/>
    <xf numFmtId="0" fontId="0" fillId="0" borderId="0" xfId="0"/>
    <xf numFmtId="166" fontId="0" fillId="0" borderId="0" xfId="0" applyNumberFormat="1"/>
    <xf numFmtId="2" fontId="0" fillId="0" borderId="0" xfId="0" applyNumberFormat="1" applyBorder="1"/>
    <xf numFmtId="0" fontId="1" fillId="2" borderId="5" xfId="1" applyBorder="1"/>
    <xf numFmtId="0" fontId="19" fillId="0" borderId="3" xfId="33"/>
    <xf numFmtId="0" fontId="1" fillId="2" borderId="1" xfId="1" applyAlignment="1">
      <alignment horizontal="center"/>
    </xf>
    <xf numFmtId="2" fontId="1" fillId="2" borderId="1" xfId="1" applyNumberFormat="1" applyAlignment="1">
      <alignment horizontal="center"/>
    </xf>
    <xf numFmtId="0" fontId="22" fillId="0" borderId="0" xfId="0" applyFont="1"/>
  </cellXfs>
  <cellStyles count="34">
    <cellStyle name="Accent1 2" xfId="20" xr:uid="{D9FD632B-EF7F-49B6-8440-0774D2DADADB}"/>
    <cellStyle name="Calculation" xfId="24" builtinId="22"/>
    <cellStyle name="Calculation 2" xfId="14" xr:uid="{FE108587-6BB1-48C6-A201-65192C808774}"/>
    <cellStyle name="Calculation 3" xfId="6" xr:uid="{5274EEA8-4A6C-49CF-911D-0B513965EDE0}"/>
    <cellStyle name="Calculation 4" xfId="26" xr:uid="{E581566A-4310-498D-B20D-DE28C46FA6DF}"/>
    <cellStyle name="Comma" xfId="25" builtinId="3"/>
    <cellStyle name="Comma 2" xfId="16" xr:uid="{6C404ECA-4D34-4FDB-9417-7D5B37CECF6C}"/>
    <cellStyle name="Comma 3" xfId="15" xr:uid="{2C18F2F8-CABC-4993-A5E7-40DF4A6C346C}"/>
    <cellStyle name="Currency 2" xfId="13" xr:uid="{675BCA7D-7530-4994-B905-CADA0F721D5F}"/>
    <cellStyle name="Input" xfId="1" builtinId="20"/>
    <cellStyle name="Input 2" xfId="11" xr:uid="{88B890A1-C25D-4F51-BF67-D6C4F98590D3}"/>
    <cellStyle name="Input 3" xfId="22" xr:uid="{1B2D7EB3-7741-4480-BD0C-F6ED1317CF77}"/>
    <cellStyle name="Input 4" xfId="5" xr:uid="{AA04B5F3-8D4C-4162-BCAF-2C5E2DBABC82}"/>
    <cellStyle name="Linked Cell" xfId="33" builtinId="24"/>
    <cellStyle name="Linked Cell 2" xfId="17" xr:uid="{E76B1D5C-B61E-4A12-A6A9-914B9635274E}"/>
    <cellStyle name="Linked Cell 3" xfId="7" xr:uid="{A4E24AE6-00B3-41A9-BD71-207B6B1CFE7F}"/>
    <cellStyle name="Normal" xfId="0" builtinId="0"/>
    <cellStyle name="Normal 2" xfId="2" xr:uid="{BB3C9F31-2AF0-4A34-BF88-C635292282C0}"/>
    <cellStyle name="Normal 2 2" xfId="30" xr:uid="{619E91A8-96B2-4336-A945-E172440606C8}"/>
    <cellStyle name="Normal 2 3" xfId="29" xr:uid="{EDF5D55F-11F9-420F-8340-0B820C66F3B1}"/>
    <cellStyle name="Normal 3" xfId="12" xr:uid="{7590D559-C3BE-4647-A6D4-765118303AF6}"/>
    <cellStyle name="Normal 3 2" xfId="27" xr:uid="{3A17BD79-5E3B-4085-BA57-8F1B90E3500F}"/>
    <cellStyle name="Normal 4" xfId="18" xr:uid="{FD93B29F-CE10-4238-A1EF-65C899233EB2}"/>
    <cellStyle name="Normal 4 2" xfId="32" xr:uid="{2E72DAA7-577D-488E-ADBD-D334D38B3921}"/>
    <cellStyle name="Normal 4 3" xfId="31" xr:uid="{4D2C7A35-A31B-432E-99A7-BF52415ED0BF}"/>
    <cellStyle name="Normal 5" xfId="8" xr:uid="{67E3CCE3-ADF3-4EA9-9DD7-5499299E58B1}"/>
    <cellStyle name="Normal 6" xfId="21" xr:uid="{E30054B3-EB6B-45E1-B681-D9CAAB0ABBFF}"/>
    <cellStyle name="Normal 7" xfId="3" xr:uid="{C6E5CA8E-5BF8-4D04-B0E4-0F911B37164F}"/>
    <cellStyle name="Output" xfId="23" builtinId="21"/>
    <cellStyle name="Output 2" xfId="19" xr:uid="{E4B9B678-BB91-49BE-9466-2B18699E335C}"/>
    <cellStyle name="Percent 2" xfId="9" xr:uid="{853BFCA4-8A84-4DA7-A80C-99F2129715B2}"/>
    <cellStyle name="Percent 2 2" xfId="28" xr:uid="{980F5F3C-CB52-4C6B-9481-5B24D30F92F3}"/>
    <cellStyle name="Percent 3" xfId="10" xr:uid="{1573D7D6-7F3E-4DB1-9CC8-18AD53222C70}"/>
    <cellStyle name="Percent 4" xfId="4" xr:uid="{E1B2A24A-4C5A-4471-AE28-D80443CC02B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SHERWOO/Documents/GitHub/EPA_OMEGA_Model/stage/OMEGA_TechCost_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Log"/>
      <sheetName val="Inputs"/>
      <sheetName val="CWC_VehType"/>
      <sheetName val="TechList"/>
      <sheetName val="LFs"/>
      <sheetName val="ICMs"/>
      <sheetName val="ICM_inputs"/>
      <sheetName val="lfTable"/>
      <sheetName val="ICM_o"/>
      <sheetName val="ICM_w"/>
      <sheetName val="et_dmc"/>
      <sheetName val="wr_DMCcurves_FRM"/>
      <sheetName val="wr_dmc"/>
      <sheetName val="wr_DMCcurve_TAR"/>
      <sheetName val="wr_dmc_TAR"/>
      <sheetName val="wr_ICcurves"/>
      <sheetName val="wr_ic_TAR"/>
      <sheetName val="ev1_dmc_curves"/>
      <sheetName val="ev1_dmc"/>
      <sheetName val="ev2_dmc"/>
      <sheetName val="T3"/>
      <sheetName val="PriceDeflators"/>
      <sheetName val="PU_Inputs"/>
    </sheetNames>
    <sheetDataSet>
      <sheetData sheetId="0"/>
      <sheetData sheetId="1">
        <row r="17">
          <cell r="B17">
            <v>1.175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6D2098-7ED5-4FD1-9252-DA736D36E254}" name="et_dmc" displayName="et_dmc" ref="A1:L62" totalsRowShown="0">
  <autoFilter ref="A1:L62" xr:uid="{FC23E305-CC0C-448F-8C6F-468416C8658D}">
    <filterColumn colId="1">
      <filters>
        <filter val="ATK1-I3"/>
        <filter val="ATK1-I4"/>
        <filter val="ATK1-V6"/>
        <filter val="ATK1-V8"/>
        <filter val="ATK2-I3"/>
        <filter val="ATK2-I4"/>
        <filter val="ATK2-V6"/>
        <filter val="ATK2-V8"/>
      </filters>
    </filterColumn>
  </autoFilter>
  <tableColumns count="12">
    <tableColumn id="1" xr3:uid="{809B6FC5-91F1-4455-B7C1-3CD73723C495}" name="Tech_#"/>
    <tableColumn id="2" xr3:uid="{0496EB90-A038-4080-8E29-2F166E1AFC3F}" name="Tech"/>
    <tableColumn id="3" xr3:uid="{B754036B-7825-451E-9BD9-9F73488E7136}" name="key"/>
    <tableColumn id="4" xr3:uid="{055B5EBF-8498-4FE7-ACA2-FEDFA214A0BF}" name="Increment"/>
    <tableColumn id="5" xr3:uid="{38305A37-AAA6-4268-967E-28C8B0618F24}" name="Source"/>
    <tableColumn id="6" xr3:uid="{29300B72-D99E-4435-980F-74685850F759}" name="dmc_basis"/>
    <tableColumn id="7" xr3:uid="{E0F44C76-9AFC-4E89-A13A-54B003EC4D41}" name="CWC_VehType"/>
    <tableColumn id="8" xr3:uid="{FC37FB33-4E09-4893-8B75-8DF18C3B2D28}" name="LF_code"/>
    <tableColumn id="9" xr3:uid="{14A224E0-34D4-42D6-BC21-4CB2661EB1F2}" name="ST_Thru"/>
    <tableColumn id="10" xr3:uid="{6606FF16-B104-4C2A-9AE4-F0942CDCB8D5}" name="Complexity"/>
    <tableColumn id="11" xr3:uid="{B79E1E85-D444-4837-BBE4-180D9CC6FAFD}" name="dmc_base"/>
    <tableColumn id="12" xr3:uid="{54E86EF3-4875-4167-AC02-79D13FBFD158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8B9CD-C45C-4464-97D6-845ECC18E560}">
  <dimension ref="A1:B9"/>
  <sheetViews>
    <sheetView tabSelected="1" workbookViewId="0">
      <selection activeCell="B10" sqref="B10"/>
    </sheetView>
  </sheetViews>
  <sheetFormatPr defaultRowHeight="14.4" x14ac:dyDescent="0.3"/>
  <cols>
    <col min="1" max="1" width="22.109375" bestFit="1" customWidth="1"/>
  </cols>
  <sheetData>
    <row r="1" spans="1:2" x14ac:dyDescent="0.3">
      <c r="A1" t="s">
        <v>314</v>
      </c>
      <c r="B1" t="s">
        <v>315</v>
      </c>
    </row>
    <row r="2" spans="1:2" s="37" customFormat="1" x14ac:dyDescent="0.3">
      <c r="A2" t="s">
        <v>316</v>
      </c>
      <c r="B2" s="1">
        <v>2020</v>
      </c>
    </row>
    <row r="3" spans="1:2" s="37" customFormat="1" x14ac:dyDescent="0.3">
      <c r="A3" t="s">
        <v>317</v>
      </c>
      <c r="B3" s="1">
        <v>2050</v>
      </c>
    </row>
    <row r="4" spans="1:2" x14ac:dyDescent="0.3">
      <c r="A4" t="s">
        <v>318</v>
      </c>
      <c r="B4" s="1">
        <v>5.0000000000000001E-3</v>
      </c>
    </row>
    <row r="5" spans="1:2" x14ac:dyDescent="0.3">
      <c r="A5" t="s">
        <v>319</v>
      </c>
      <c r="B5" s="1">
        <v>0.01</v>
      </c>
    </row>
    <row r="6" spans="1:2" x14ac:dyDescent="0.3">
      <c r="A6" t="s">
        <v>320</v>
      </c>
      <c r="B6" s="1">
        <v>1.4999999999999999E-2</v>
      </c>
    </row>
    <row r="7" spans="1:2" x14ac:dyDescent="0.3">
      <c r="A7" t="s">
        <v>313</v>
      </c>
      <c r="B7" s="1">
        <v>2.5000000000000001E-2</v>
      </c>
    </row>
    <row r="8" spans="1:2" x14ac:dyDescent="0.3">
      <c r="A8" t="s">
        <v>332</v>
      </c>
      <c r="B8" s="1">
        <v>2019</v>
      </c>
    </row>
    <row r="9" spans="1:2" x14ac:dyDescent="0.3">
      <c r="A9" t="s">
        <v>335</v>
      </c>
      <c r="B9" s="1" t="s">
        <v>336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2A2B6-BB18-4E85-8175-B61206919176}">
  <dimension ref="A1:E5"/>
  <sheetViews>
    <sheetView workbookViewId="0">
      <selection activeCell="E2" sqref="E2:E5"/>
    </sheetView>
  </sheetViews>
  <sheetFormatPr defaultRowHeight="14.4" x14ac:dyDescent="0.3"/>
  <cols>
    <col min="1" max="1" width="11" bestFit="1" customWidth="1"/>
  </cols>
  <sheetData>
    <row r="1" spans="1:5" x14ac:dyDescent="0.3">
      <c r="A1" t="s">
        <v>42</v>
      </c>
      <c r="B1" t="s">
        <v>258</v>
      </c>
      <c r="C1" t="s">
        <v>260</v>
      </c>
      <c r="D1" t="s">
        <v>213</v>
      </c>
      <c r="E1" s="2" t="s">
        <v>328</v>
      </c>
    </row>
    <row r="2" spans="1:5" x14ac:dyDescent="0.3">
      <c r="A2" t="s">
        <v>259</v>
      </c>
      <c r="B2">
        <v>3</v>
      </c>
      <c r="C2" s="8">
        <f>Markup*D2</f>
        <v>114</v>
      </c>
      <c r="D2" s="9">
        <f>D3</f>
        <v>76</v>
      </c>
      <c r="E2" s="1">
        <v>2006</v>
      </c>
    </row>
    <row r="3" spans="1:5" x14ac:dyDescent="0.3">
      <c r="A3" t="s">
        <v>72</v>
      </c>
      <c r="B3">
        <v>4</v>
      </c>
      <c r="C3" s="8">
        <f>Markup*D3</f>
        <v>114</v>
      </c>
      <c r="D3" s="9">
        <f>D5/2</f>
        <v>76</v>
      </c>
      <c r="E3" s="1">
        <v>2006</v>
      </c>
    </row>
    <row r="4" spans="1:5" x14ac:dyDescent="0.3">
      <c r="A4" t="s">
        <v>76</v>
      </c>
      <c r="B4">
        <v>6</v>
      </c>
      <c r="C4" s="8">
        <f>Markup*D4</f>
        <v>204</v>
      </c>
      <c r="D4" s="9">
        <f>136</f>
        <v>136</v>
      </c>
      <c r="E4" s="1">
        <v>2006</v>
      </c>
    </row>
    <row r="5" spans="1:5" x14ac:dyDescent="0.3">
      <c r="A5" t="s">
        <v>79</v>
      </c>
      <c r="B5">
        <v>8</v>
      </c>
      <c r="C5" s="8">
        <f>Markup*D5</f>
        <v>228</v>
      </c>
      <c r="D5" s="9">
        <v>152</v>
      </c>
      <c r="E5" s="1">
        <v>2006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C16C4-514C-4855-AC00-5CBAF6F7CA67}">
  <dimension ref="A1:L62"/>
  <sheetViews>
    <sheetView zoomScale="80" zoomScaleNormal="80" workbookViewId="0">
      <selection activeCell="K51" sqref="K51"/>
    </sheetView>
  </sheetViews>
  <sheetFormatPr defaultRowHeight="14.4" x14ac:dyDescent="0.3"/>
  <cols>
    <col min="1" max="1" width="9.33203125" customWidth="1"/>
    <col min="2" max="2" width="27" bestFit="1" customWidth="1"/>
    <col min="4" max="4" width="12.33203125" customWidth="1"/>
    <col min="6" max="6" width="17.5546875" customWidth="1"/>
    <col min="7" max="7" width="16.33203125" customWidth="1"/>
    <col min="8" max="8" width="10.33203125" customWidth="1"/>
    <col min="9" max="9" width="10.109375" customWidth="1"/>
    <col min="10" max="10" width="13.33203125" customWidth="1"/>
    <col min="11" max="11" width="12" customWidth="1"/>
    <col min="12" max="12" width="181.88671875" bestFit="1" customWidth="1"/>
  </cols>
  <sheetData>
    <row r="1" spans="1:12" x14ac:dyDescent="0.3">
      <c r="A1" t="s">
        <v>50</v>
      </c>
      <c r="B1" t="s">
        <v>42</v>
      </c>
      <c r="C1" t="s">
        <v>10</v>
      </c>
      <c r="D1" t="s">
        <v>51</v>
      </c>
      <c r="E1" t="s">
        <v>52</v>
      </c>
      <c r="F1" t="s">
        <v>321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</row>
    <row r="2" spans="1:12" x14ac:dyDescent="0.3">
      <c r="A2">
        <v>183</v>
      </c>
      <c r="B2" t="s">
        <v>59</v>
      </c>
      <c r="C2" t="s">
        <v>60</v>
      </c>
      <c r="D2" t="s">
        <v>61</v>
      </c>
      <c r="E2" t="s">
        <v>62</v>
      </c>
      <c r="F2">
        <v>2015</v>
      </c>
      <c r="G2" t="s">
        <v>63</v>
      </c>
      <c r="H2">
        <v>24</v>
      </c>
      <c r="I2">
        <v>2025</v>
      </c>
      <c r="J2" t="s">
        <v>64</v>
      </c>
      <c r="K2">
        <v>0</v>
      </c>
      <c r="L2" t="s">
        <v>65</v>
      </c>
    </row>
    <row r="3" spans="1:12" x14ac:dyDescent="0.3">
      <c r="A3">
        <v>184</v>
      </c>
      <c r="B3" t="s">
        <v>66</v>
      </c>
      <c r="C3" t="s">
        <v>67</v>
      </c>
      <c r="D3" t="s">
        <v>61</v>
      </c>
      <c r="E3" t="s">
        <v>62</v>
      </c>
      <c r="F3">
        <v>2015</v>
      </c>
      <c r="G3" t="s">
        <v>63</v>
      </c>
      <c r="H3">
        <v>24</v>
      </c>
      <c r="I3">
        <v>2025</v>
      </c>
      <c r="J3" t="s">
        <v>64</v>
      </c>
      <c r="K3">
        <v>0</v>
      </c>
      <c r="L3" t="s">
        <v>65</v>
      </c>
    </row>
    <row r="4" spans="1:12" x14ac:dyDescent="0.3">
      <c r="A4">
        <v>185</v>
      </c>
      <c r="B4" t="s">
        <v>68</v>
      </c>
      <c r="C4" t="s">
        <v>69</v>
      </c>
      <c r="D4" t="s">
        <v>61</v>
      </c>
      <c r="E4" t="s">
        <v>62</v>
      </c>
      <c r="F4">
        <v>2015</v>
      </c>
      <c r="G4" t="s">
        <v>63</v>
      </c>
      <c r="H4">
        <v>24</v>
      </c>
      <c r="I4">
        <v>2025</v>
      </c>
      <c r="J4" t="s">
        <v>64</v>
      </c>
      <c r="K4">
        <v>0</v>
      </c>
      <c r="L4" t="s">
        <v>65</v>
      </c>
    </row>
    <row r="5" spans="1:12" x14ac:dyDescent="0.3">
      <c r="A5">
        <v>186</v>
      </c>
      <c r="B5" t="s">
        <v>70</v>
      </c>
      <c r="C5" t="s">
        <v>71</v>
      </c>
      <c r="D5" t="s">
        <v>61</v>
      </c>
      <c r="E5" t="s">
        <v>62</v>
      </c>
      <c r="F5">
        <v>2015</v>
      </c>
      <c r="G5" t="s">
        <v>63</v>
      </c>
      <c r="H5">
        <v>24</v>
      </c>
      <c r="I5">
        <v>2025</v>
      </c>
      <c r="J5" t="s">
        <v>64</v>
      </c>
      <c r="K5">
        <v>0</v>
      </c>
      <c r="L5" t="s">
        <v>65</v>
      </c>
    </row>
    <row r="6" spans="1:12" hidden="1" x14ac:dyDescent="0.3">
      <c r="A6">
        <v>193</v>
      </c>
      <c r="B6" t="s">
        <v>72</v>
      </c>
      <c r="C6" t="s">
        <v>73</v>
      </c>
      <c r="D6" t="s">
        <v>61</v>
      </c>
      <c r="F6">
        <v>2015</v>
      </c>
      <c r="G6" t="s">
        <v>63</v>
      </c>
      <c r="H6">
        <v>24</v>
      </c>
      <c r="I6">
        <v>2025</v>
      </c>
      <c r="J6" t="s">
        <v>74</v>
      </c>
      <c r="K6">
        <v>89.592202318229965</v>
      </c>
      <c r="L6" t="s">
        <v>75</v>
      </c>
    </row>
    <row r="7" spans="1:12" hidden="1" x14ac:dyDescent="0.3">
      <c r="A7">
        <v>194</v>
      </c>
      <c r="B7" t="s">
        <v>76</v>
      </c>
      <c r="C7" t="s">
        <v>77</v>
      </c>
      <c r="D7" t="s">
        <v>61</v>
      </c>
      <c r="E7" t="s">
        <v>78</v>
      </c>
      <c r="F7">
        <v>2015</v>
      </c>
      <c r="G7" t="s">
        <v>63</v>
      </c>
      <c r="H7">
        <v>24</v>
      </c>
      <c r="I7">
        <v>2025</v>
      </c>
      <c r="J7" t="s">
        <v>64</v>
      </c>
      <c r="K7">
        <v>159.27502634351916</v>
      </c>
    </row>
    <row r="8" spans="1:12" hidden="1" x14ac:dyDescent="0.3">
      <c r="A8">
        <v>195</v>
      </c>
      <c r="B8" t="s">
        <v>79</v>
      </c>
      <c r="C8" t="s">
        <v>80</v>
      </c>
      <c r="D8" t="s">
        <v>61</v>
      </c>
      <c r="E8" t="s">
        <v>78</v>
      </c>
      <c r="F8">
        <v>2015</v>
      </c>
      <c r="G8" t="s">
        <v>63</v>
      </c>
      <c r="H8">
        <v>24</v>
      </c>
      <c r="I8">
        <v>2025</v>
      </c>
      <c r="J8" t="s">
        <v>64</v>
      </c>
      <c r="K8">
        <v>179.18440463645993</v>
      </c>
    </row>
    <row r="9" spans="1:12" hidden="1" x14ac:dyDescent="0.3">
      <c r="A9">
        <v>197</v>
      </c>
      <c r="B9" t="s">
        <v>81</v>
      </c>
      <c r="C9" t="s">
        <v>82</v>
      </c>
      <c r="D9" t="s">
        <v>61</v>
      </c>
      <c r="E9" t="s">
        <v>83</v>
      </c>
      <c r="F9">
        <v>2012</v>
      </c>
      <c r="G9" t="s">
        <v>63</v>
      </c>
      <c r="H9">
        <v>23</v>
      </c>
      <c r="I9">
        <v>2025</v>
      </c>
      <c r="J9" t="s">
        <v>64</v>
      </c>
      <c r="K9">
        <v>243.88499999999999</v>
      </c>
    </row>
    <row r="10" spans="1:12" hidden="1" x14ac:dyDescent="0.3">
      <c r="A10">
        <v>198</v>
      </c>
      <c r="B10" t="s">
        <v>84</v>
      </c>
      <c r="C10" t="s">
        <v>85</v>
      </c>
      <c r="D10" t="s">
        <v>61</v>
      </c>
      <c r="E10" t="s">
        <v>83</v>
      </c>
      <c r="F10">
        <v>2012</v>
      </c>
      <c r="G10" t="s">
        <v>63</v>
      </c>
      <c r="H10">
        <v>23</v>
      </c>
      <c r="I10">
        <v>2025</v>
      </c>
      <c r="J10" t="s">
        <v>64</v>
      </c>
      <c r="K10">
        <v>243.88499999999999</v>
      </c>
    </row>
    <row r="11" spans="1:12" hidden="1" x14ac:dyDescent="0.3">
      <c r="A11">
        <v>199</v>
      </c>
      <c r="B11" t="s">
        <v>86</v>
      </c>
      <c r="C11" t="s">
        <v>87</v>
      </c>
      <c r="D11" t="s">
        <v>61</v>
      </c>
      <c r="E11" t="s">
        <v>83</v>
      </c>
      <c r="F11">
        <v>2012</v>
      </c>
      <c r="G11" t="s">
        <v>63</v>
      </c>
      <c r="H11">
        <v>23</v>
      </c>
      <c r="I11">
        <v>2025</v>
      </c>
      <c r="J11" t="s">
        <v>64</v>
      </c>
      <c r="K11">
        <v>367.54500000000002</v>
      </c>
    </row>
    <row r="12" spans="1:12" hidden="1" x14ac:dyDescent="0.3">
      <c r="A12">
        <v>200</v>
      </c>
      <c r="B12" t="s">
        <v>88</v>
      </c>
      <c r="C12" t="s">
        <v>89</v>
      </c>
      <c r="D12" t="s">
        <v>61</v>
      </c>
      <c r="E12" t="s">
        <v>83</v>
      </c>
      <c r="F12">
        <v>2012</v>
      </c>
      <c r="G12" t="s">
        <v>63</v>
      </c>
      <c r="H12">
        <v>23</v>
      </c>
      <c r="I12">
        <v>2025</v>
      </c>
      <c r="J12" t="s">
        <v>64</v>
      </c>
      <c r="K12">
        <v>442.06851256369526</v>
      </c>
    </row>
    <row r="13" spans="1:12" hidden="1" x14ac:dyDescent="0.3">
      <c r="A13">
        <v>205</v>
      </c>
      <c r="B13" t="s">
        <v>325</v>
      </c>
      <c r="C13" t="s">
        <v>90</v>
      </c>
      <c r="D13" t="s">
        <v>61</v>
      </c>
      <c r="E13" t="s">
        <v>78</v>
      </c>
      <c r="F13">
        <v>2006</v>
      </c>
      <c r="G13" t="s">
        <v>63</v>
      </c>
      <c r="H13">
        <v>1</v>
      </c>
      <c r="I13">
        <v>2018</v>
      </c>
      <c r="J13" t="s">
        <v>91</v>
      </c>
      <c r="K13">
        <v>13</v>
      </c>
      <c r="L13" t="s">
        <v>326</v>
      </c>
    </row>
    <row r="14" spans="1:12" hidden="1" x14ac:dyDescent="0.3">
      <c r="A14">
        <v>215</v>
      </c>
      <c r="B14" t="s">
        <v>93</v>
      </c>
      <c r="C14" t="s">
        <v>94</v>
      </c>
      <c r="D14" t="s">
        <v>61</v>
      </c>
      <c r="E14" t="s">
        <v>95</v>
      </c>
      <c r="F14">
        <v>2012</v>
      </c>
      <c r="G14" t="s">
        <v>63</v>
      </c>
      <c r="H14">
        <v>23</v>
      </c>
      <c r="I14">
        <v>2025</v>
      </c>
      <c r="J14" t="s">
        <v>64</v>
      </c>
      <c r="K14">
        <v>113.57755999999999</v>
      </c>
      <c r="L14" t="s">
        <v>96</v>
      </c>
    </row>
    <row r="15" spans="1:12" hidden="1" x14ac:dyDescent="0.3">
      <c r="A15">
        <v>216</v>
      </c>
      <c r="B15" t="s">
        <v>97</v>
      </c>
      <c r="C15" t="s">
        <v>98</v>
      </c>
      <c r="D15" t="s">
        <v>61</v>
      </c>
      <c r="E15" t="s">
        <v>95</v>
      </c>
      <c r="F15">
        <v>2012</v>
      </c>
      <c r="G15" t="s">
        <v>63</v>
      </c>
      <c r="H15">
        <v>23</v>
      </c>
      <c r="I15">
        <v>2025</v>
      </c>
      <c r="J15" t="s">
        <v>64</v>
      </c>
      <c r="K15">
        <v>113.57755999999999</v>
      </c>
    </row>
    <row r="16" spans="1:12" hidden="1" x14ac:dyDescent="0.3">
      <c r="A16">
        <v>229</v>
      </c>
      <c r="B16" t="s">
        <v>99</v>
      </c>
      <c r="C16" t="s">
        <v>100</v>
      </c>
      <c r="D16" t="s">
        <v>61</v>
      </c>
      <c r="E16" t="s">
        <v>83</v>
      </c>
      <c r="F16">
        <v>2012</v>
      </c>
      <c r="G16" t="s">
        <v>63</v>
      </c>
      <c r="H16">
        <v>23</v>
      </c>
      <c r="I16">
        <v>2018</v>
      </c>
      <c r="J16" t="s">
        <v>64</v>
      </c>
      <c r="K16">
        <v>-97.21050000000001</v>
      </c>
    </row>
    <row r="17" spans="1:12" hidden="1" x14ac:dyDescent="0.3">
      <c r="A17">
        <v>230</v>
      </c>
      <c r="B17" t="s">
        <v>101</v>
      </c>
      <c r="C17" t="s">
        <v>102</v>
      </c>
      <c r="D17" t="s">
        <v>61</v>
      </c>
      <c r="E17" t="s">
        <v>83</v>
      </c>
      <c r="F17">
        <v>2012</v>
      </c>
      <c r="G17" t="s">
        <v>63</v>
      </c>
      <c r="H17">
        <v>23</v>
      </c>
      <c r="I17">
        <v>2018</v>
      </c>
      <c r="J17" t="s">
        <v>64</v>
      </c>
      <c r="K17">
        <v>-220.98500000000001</v>
      </c>
    </row>
    <row r="18" spans="1:12" hidden="1" x14ac:dyDescent="0.3">
      <c r="A18">
        <v>241</v>
      </c>
      <c r="B18" t="s">
        <v>103</v>
      </c>
      <c r="C18" t="s">
        <v>104</v>
      </c>
      <c r="D18" t="s">
        <v>61</v>
      </c>
      <c r="E18" t="s">
        <v>78</v>
      </c>
      <c r="F18">
        <v>2006</v>
      </c>
      <c r="G18" s="37" t="s">
        <v>63</v>
      </c>
      <c r="H18">
        <v>1</v>
      </c>
      <c r="I18">
        <v>2018</v>
      </c>
      <c r="J18" t="s">
        <v>91</v>
      </c>
      <c r="K18">
        <v>3</v>
      </c>
    </row>
    <row r="19" spans="1:12" hidden="1" x14ac:dyDescent="0.3">
      <c r="A19">
        <v>265</v>
      </c>
      <c r="B19" t="s">
        <v>105</v>
      </c>
      <c r="C19" t="s">
        <v>106</v>
      </c>
      <c r="D19" t="s">
        <v>61</v>
      </c>
      <c r="E19" t="s">
        <v>83</v>
      </c>
      <c r="F19">
        <v>2012</v>
      </c>
      <c r="G19" t="s">
        <v>63</v>
      </c>
      <c r="H19">
        <v>23</v>
      </c>
      <c r="I19">
        <v>2018</v>
      </c>
      <c r="J19" t="s">
        <v>64</v>
      </c>
      <c r="K19">
        <v>462.58</v>
      </c>
    </row>
    <row r="20" spans="1:12" hidden="1" x14ac:dyDescent="0.3">
      <c r="A20">
        <v>266</v>
      </c>
      <c r="B20" t="s">
        <v>107</v>
      </c>
      <c r="C20" t="s">
        <v>108</v>
      </c>
      <c r="D20" t="s">
        <v>61</v>
      </c>
      <c r="E20" t="s">
        <v>83</v>
      </c>
      <c r="F20">
        <v>2012</v>
      </c>
      <c r="G20" t="s">
        <v>63</v>
      </c>
      <c r="H20">
        <v>23</v>
      </c>
      <c r="I20">
        <v>2018</v>
      </c>
      <c r="J20" t="s">
        <v>64</v>
      </c>
      <c r="K20">
        <v>779.745</v>
      </c>
    </row>
    <row r="21" spans="1:12" hidden="1" x14ac:dyDescent="0.3">
      <c r="A21">
        <v>267</v>
      </c>
      <c r="B21" t="s">
        <v>109</v>
      </c>
      <c r="C21" t="s">
        <v>110</v>
      </c>
      <c r="D21" t="s">
        <v>61</v>
      </c>
      <c r="E21" t="s">
        <v>83</v>
      </c>
      <c r="F21">
        <v>2012</v>
      </c>
      <c r="G21" t="s">
        <v>63</v>
      </c>
      <c r="H21">
        <v>23</v>
      </c>
      <c r="I21">
        <v>2025</v>
      </c>
      <c r="J21" t="s">
        <v>64</v>
      </c>
      <c r="K21">
        <v>739.71799999999996</v>
      </c>
      <c r="L21" t="s">
        <v>111</v>
      </c>
    </row>
    <row r="22" spans="1:12" hidden="1" x14ac:dyDescent="0.3">
      <c r="A22">
        <v>268</v>
      </c>
      <c r="B22" t="s">
        <v>112</v>
      </c>
      <c r="C22" t="s">
        <v>113</v>
      </c>
      <c r="D22" t="s">
        <v>61</v>
      </c>
      <c r="E22" t="s">
        <v>83</v>
      </c>
      <c r="F22">
        <v>2012</v>
      </c>
      <c r="G22" t="s">
        <v>63</v>
      </c>
      <c r="H22">
        <v>23</v>
      </c>
      <c r="I22">
        <v>2025</v>
      </c>
      <c r="J22" t="s">
        <v>64</v>
      </c>
      <c r="K22">
        <v>1261.3135</v>
      </c>
      <c r="L22" t="s">
        <v>114</v>
      </c>
    </row>
    <row r="23" spans="1:12" hidden="1" x14ac:dyDescent="0.3">
      <c r="A23">
        <v>269</v>
      </c>
      <c r="B23" t="s">
        <v>24</v>
      </c>
      <c r="C23" t="s">
        <v>115</v>
      </c>
      <c r="D23" t="s">
        <v>61</v>
      </c>
      <c r="E23" t="s">
        <v>62</v>
      </c>
      <c r="F23">
        <v>2006</v>
      </c>
      <c r="G23" s="37" t="s">
        <v>63</v>
      </c>
      <c r="H23">
        <v>1</v>
      </c>
      <c r="I23">
        <v>2025</v>
      </c>
      <c r="J23" t="s">
        <v>91</v>
      </c>
      <c r="K23">
        <f>2*K18</f>
        <v>6</v>
      </c>
      <c r="L23" t="s">
        <v>92</v>
      </c>
    </row>
    <row r="24" spans="1:12" hidden="1" x14ac:dyDescent="0.3">
      <c r="A24">
        <v>271</v>
      </c>
      <c r="B24" t="s">
        <v>116</v>
      </c>
      <c r="C24" t="s">
        <v>117</v>
      </c>
      <c r="D24" t="s">
        <v>61</v>
      </c>
      <c r="E24" t="s">
        <v>118</v>
      </c>
      <c r="F24">
        <v>2016</v>
      </c>
      <c r="G24" t="s">
        <v>63</v>
      </c>
      <c r="H24">
        <v>28</v>
      </c>
      <c r="I24">
        <v>2018</v>
      </c>
      <c r="J24" t="s">
        <v>64</v>
      </c>
      <c r="K24">
        <v>-847.59770000000003</v>
      </c>
    </row>
    <row r="25" spans="1:12" hidden="1" x14ac:dyDescent="0.3">
      <c r="A25">
        <v>272</v>
      </c>
      <c r="B25" t="s">
        <v>119</v>
      </c>
      <c r="C25" t="s">
        <v>120</v>
      </c>
      <c r="D25" t="s">
        <v>61</v>
      </c>
      <c r="E25" t="s">
        <v>83</v>
      </c>
      <c r="F25">
        <v>2012</v>
      </c>
      <c r="G25" t="s">
        <v>63</v>
      </c>
      <c r="H25">
        <v>23</v>
      </c>
      <c r="I25">
        <v>2018</v>
      </c>
      <c r="J25" t="s">
        <v>64</v>
      </c>
      <c r="K25">
        <v>-626.61270000000002</v>
      </c>
    </row>
    <row r="26" spans="1:12" hidden="1" x14ac:dyDescent="0.3">
      <c r="A26">
        <v>273</v>
      </c>
      <c r="B26" t="s">
        <v>121</v>
      </c>
      <c r="C26" t="s">
        <v>122</v>
      </c>
      <c r="D26" t="s">
        <v>61</v>
      </c>
      <c r="E26" t="s">
        <v>118</v>
      </c>
      <c r="F26">
        <v>2016</v>
      </c>
      <c r="G26" t="s">
        <v>63</v>
      </c>
      <c r="H26">
        <v>28</v>
      </c>
      <c r="I26">
        <v>2018</v>
      </c>
      <c r="J26" t="s">
        <v>64</v>
      </c>
      <c r="K26">
        <v>88.164999999999964</v>
      </c>
    </row>
    <row r="27" spans="1:12" hidden="1" x14ac:dyDescent="0.3">
      <c r="A27">
        <v>274</v>
      </c>
      <c r="B27" t="s">
        <v>123</v>
      </c>
      <c r="C27" t="s">
        <v>124</v>
      </c>
      <c r="D27" t="s">
        <v>61</v>
      </c>
      <c r="E27" t="s">
        <v>78</v>
      </c>
      <c r="F27">
        <v>2016</v>
      </c>
      <c r="G27" t="s">
        <v>63</v>
      </c>
      <c r="H27">
        <v>28</v>
      </c>
      <c r="I27">
        <v>2018</v>
      </c>
      <c r="J27" t="s">
        <v>64</v>
      </c>
      <c r="K27">
        <v>309.14999999999998</v>
      </c>
    </row>
    <row r="28" spans="1:12" hidden="1" x14ac:dyDescent="0.3">
      <c r="A28">
        <v>275</v>
      </c>
      <c r="B28" t="s">
        <v>125</v>
      </c>
      <c r="C28" t="s">
        <v>126</v>
      </c>
      <c r="D28" t="s">
        <v>61</v>
      </c>
      <c r="E28" t="s">
        <v>118</v>
      </c>
      <c r="F28">
        <v>2016</v>
      </c>
      <c r="G28" t="s">
        <v>63</v>
      </c>
      <c r="H28">
        <v>28</v>
      </c>
      <c r="I28">
        <v>2018</v>
      </c>
      <c r="J28" t="s">
        <v>64</v>
      </c>
      <c r="K28">
        <v>-658.79864999999995</v>
      </c>
    </row>
    <row r="29" spans="1:12" hidden="1" x14ac:dyDescent="0.3">
      <c r="A29">
        <v>276</v>
      </c>
      <c r="B29" t="s">
        <v>127</v>
      </c>
      <c r="C29" t="s">
        <v>128</v>
      </c>
      <c r="D29" t="s">
        <v>61</v>
      </c>
      <c r="E29" t="s">
        <v>83</v>
      </c>
      <c r="F29">
        <v>2012</v>
      </c>
      <c r="G29" t="s">
        <v>63</v>
      </c>
      <c r="H29">
        <v>23</v>
      </c>
      <c r="I29">
        <v>2018</v>
      </c>
      <c r="J29" t="s">
        <v>64</v>
      </c>
      <c r="K29">
        <v>-437.81365</v>
      </c>
    </row>
    <row r="30" spans="1:12" hidden="1" x14ac:dyDescent="0.3">
      <c r="A30">
        <v>277</v>
      </c>
      <c r="B30" t="s">
        <v>129</v>
      </c>
      <c r="C30" t="s">
        <v>130</v>
      </c>
      <c r="D30" t="s">
        <v>61</v>
      </c>
      <c r="E30" t="s">
        <v>78</v>
      </c>
      <c r="F30">
        <v>2016</v>
      </c>
      <c r="G30" t="s">
        <v>63</v>
      </c>
      <c r="H30">
        <v>28</v>
      </c>
      <c r="I30">
        <v>2018</v>
      </c>
      <c r="J30" t="s">
        <v>64</v>
      </c>
      <c r="K30">
        <v>541.10772384767472</v>
      </c>
    </row>
    <row r="31" spans="1:12" hidden="1" x14ac:dyDescent="0.3">
      <c r="A31">
        <v>278</v>
      </c>
      <c r="B31" t="s">
        <v>131</v>
      </c>
      <c r="C31" t="s">
        <v>132</v>
      </c>
      <c r="D31" t="s">
        <v>61</v>
      </c>
      <c r="E31" t="s">
        <v>83</v>
      </c>
      <c r="F31">
        <v>2012</v>
      </c>
      <c r="G31" t="s">
        <v>63</v>
      </c>
      <c r="H31">
        <v>23</v>
      </c>
      <c r="I31">
        <v>2018</v>
      </c>
      <c r="J31" t="s">
        <v>64</v>
      </c>
      <c r="K31">
        <v>188.79966055354828</v>
      </c>
    </row>
    <row r="32" spans="1:12" hidden="1" x14ac:dyDescent="0.3">
      <c r="A32">
        <v>279</v>
      </c>
      <c r="B32" t="s">
        <v>133</v>
      </c>
      <c r="C32" t="s">
        <v>134</v>
      </c>
      <c r="D32" t="s">
        <v>61</v>
      </c>
      <c r="E32" t="s">
        <v>118</v>
      </c>
      <c r="F32">
        <v>2016</v>
      </c>
      <c r="G32" t="s">
        <v>63</v>
      </c>
      <c r="H32">
        <v>28</v>
      </c>
      <c r="I32">
        <v>2018</v>
      </c>
      <c r="J32" t="s">
        <v>64</v>
      </c>
      <c r="K32">
        <v>-940.23964999999998</v>
      </c>
    </row>
    <row r="33" spans="1:12" hidden="1" x14ac:dyDescent="0.3">
      <c r="A33">
        <v>280</v>
      </c>
      <c r="B33" t="s">
        <v>135</v>
      </c>
      <c r="C33" t="s">
        <v>136</v>
      </c>
      <c r="D33" t="s">
        <v>61</v>
      </c>
      <c r="E33" t="s">
        <v>83</v>
      </c>
      <c r="F33">
        <v>2012</v>
      </c>
      <c r="G33" t="s">
        <v>63</v>
      </c>
      <c r="H33">
        <v>23</v>
      </c>
      <c r="I33">
        <v>2018</v>
      </c>
      <c r="J33" t="s">
        <v>64</v>
      </c>
      <c r="K33">
        <v>-313.62695000000002</v>
      </c>
    </row>
    <row r="34" spans="1:12" hidden="1" x14ac:dyDescent="0.3">
      <c r="A34">
        <v>281</v>
      </c>
      <c r="B34" t="s">
        <v>137</v>
      </c>
      <c r="C34" t="s">
        <v>138</v>
      </c>
      <c r="D34" t="s">
        <v>61</v>
      </c>
      <c r="E34" t="s">
        <v>118</v>
      </c>
      <c r="F34">
        <v>2016</v>
      </c>
      <c r="G34" t="s">
        <v>63</v>
      </c>
      <c r="H34">
        <v>28</v>
      </c>
      <c r="I34">
        <v>2018</v>
      </c>
      <c r="J34" t="s">
        <v>64</v>
      </c>
      <c r="K34">
        <v>-265.93770000000001</v>
      </c>
    </row>
    <row r="35" spans="1:12" hidden="1" x14ac:dyDescent="0.3">
      <c r="A35">
        <v>282</v>
      </c>
      <c r="B35" t="s">
        <v>139</v>
      </c>
      <c r="C35" t="s">
        <v>140</v>
      </c>
      <c r="D35" t="s">
        <v>61</v>
      </c>
      <c r="E35" t="s">
        <v>78</v>
      </c>
      <c r="F35">
        <v>2016</v>
      </c>
      <c r="G35" t="s">
        <v>63</v>
      </c>
      <c r="H35">
        <v>28</v>
      </c>
      <c r="I35">
        <v>2018</v>
      </c>
      <c r="J35" t="s">
        <v>64</v>
      </c>
      <c r="K35">
        <v>360.67500000000001</v>
      </c>
    </row>
    <row r="36" spans="1:12" hidden="1" x14ac:dyDescent="0.3">
      <c r="A36">
        <v>283</v>
      </c>
      <c r="B36" t="s">
        <v>141</v>
      </c>
      <c r="C36" t="s">
        <v>142</v>
      </c>
      <c r="D36" t="s">
        <v>61</v>
      </c>
      <c r="E36" t="s">
        <v>78</v>
      </c>
      <c r="F36">
        <v>2016</v>
      </c>
      <c r="G36" t="s">
        <v>63</v>
      </c>
      <c r="H36">
        <v>28</v>
      </c>
      <c r="I36">
        <v>2018</v>
      </c>
      <c r="J36" t="s">
        <v>64</v>
      </c>
      <c r="K36">
        <v>592.64179278554764</v>
      </c>
    </row>
    <row r="37" spans="1:12" hidden="1" x14ac:dyDescent="0.3">
      <c r="A37">
        <v>284</v>
      </c>
      <c r="B37" t="s">
        <v>143</v>
      </c>
      <c r="C37" t="s">
        <v>144</v>
      </c>
      <c r="D37" t="s">
        <v>61</v>
      </c>
      <c r="E37" t="s">
        <v>118</v>
      </c>
      <c r="F37">
        <v>2016</v>
      </c>
      <c r="G37" t="s">
        <v>63</v>
      </c>
      <c r="H37">
        <v>28</v>
      </c>
      <c r="I37">
        <v>2018</v>
      </c>
      <c r="J37" t="s">
        <v>64</v>
      </c>
      <c r="K37">
        <v>-804.40830000000005</v>
      </c>
    </row>
    <row r="38" spans="1:12" hidden="1" x14ac:dyDescent="0.3">
      <c r="A38">
        <v>285</v>
      </c>
      <c r="B38" t="s">
        <v>145</v>
      </c>
      <c r="C38" t="s">
        <v>146</v>
      </c>
      <c r="D38" t="s">
        <v>61</v>
      </c>
      <c r="E38" t="s">
        <v>83</v>
      </c>
      <c r="F38">
        <v>2012</v>
      </c>
      <c r="G38" t="s">
        <v>63</v>
      </c>
      <c r="H38">
        <v>23</v>
      </c>
      <c r="I38">
        <v>2018</v>
      </c>
      <c r="J38" t="s">
        <v>64</v>
      </c>
      <c r="K38">
        <v>-177.79560000000001</v>
      </c>
    </row>
    <row r="39" spans="1:12" hidden="1" x14ac:dyDescent="0.3">
      <c r="A39">
        <v>286</v>
      </c>
      <c r="B39" t="s">
        <v>147</v>
      </c>
      <c r="C39" t="s">
        <v>148</v>
      </c>
      <c r="D39" t="s">
        <v>61</v>
      </c>
      <c r="E39" t="s">
        <v>83</v>
      </c>
      <c r="F39">
        <v>2012</v>
      </c>
      <c r="G39" t="s">
        <v>63</v>
      </c>
      <c r="H39">
        <v>23</v>
      </c>
      <c r="I39">
        <v>2018</v>
      </c>
      <c r="J39" t="s">
        <v>64</v>
      </c>
      <c r="K39">
        <v>135.83591145034848</v>
      </c>
    </row>
    <row r="40" spans="1:12" hidden="1" x14ac:dyDescent="0.3">
      <c r="A40">
        <v>287</v>
      </c>
      <c r="B40" t="s">
        <v>149</v>
      </c>
      <c r="C40" t="s">
        <v>150</v>
      </c>
      <c r="D40" t="s">
        <v>61</v>
      </c>
      <c r="E40" t="s">
        <v>118</v>
      </c>
      <c r="F40">
        <v>2016</v>
      </c>
      <c r="G40" t="s">
        <v>63</v>
      </c>
      <c r="H40">
        <v>28</v>
      </c>
      <c r="I40">
        <v>2018</v>
      </c>
      <c r="J40" t="s">
        <v>64</v>
      </c>
      <c r="K40">
        <v>-722.52935000000002</v>
      </c>
    </row>
    <row r="41" spans="1:12" hidden="1" x14ac:dyDescent="0.3">
      <c r="A41">
        <v>288</v>
      </c>
      <c r="B41" t="s">
        <v>151</v>
      </c>
      <c r="C41" t="s">
        <v>152</v>
      </c>
      <c r="D41" t="s">
        <v>61</v>
      </c>
      <c r="E41" t="s">
        <v>83</v>
      </c>
      <c r="F41">
        <v>2012</v>
      </c>
      <c r="G41" t="s">
        <v>63</v>
      </c>
      <c r="H41">
        <v>23</v>
      </c>
      <c r="I41">
        <v>2018</v>
      </c>
      <c r="J41" t="s">
        <v>64</v>
      </c>
      <c r="K41">
        <v>-95.91664999999999</v>
      </c>
    </row>
    <row r="42" spans="1:12" hidden="1" x14ac:dyDescent="0.3">
      <c r="A42">
        <v>289</v>
      </c>
      <c r="B42" t="s">
        <v>153</v>
      </c>
      <c r="C42" t="s">
        <v>154</v>
      </c>
      <c r="D42" t="s">
        <v>61</v>
      </c>
      <c r="E42" t="s">
        <v>83</v>
      </c>
      <c r="F42">
        <v>2012</v>
      </c>
      <c r="G42" t="s">
        <v>63</v>
      </c>
      <c r="H42">
        <v>23</v>
      </c>
      <c r="I42">
        <v>2018</v>
      </c>
      <c r="J42" t="s">
        <v>64</v>
      </c>
      <c r="K42">
        <v>217.71486145034851</v>
      </c>
    </row>
    <row r="43" spans="1:12" hidden="1" x14ac:dyDescent="0.3">
      <c r="A43">
        <v>294</v>
      </c>
      <c r="B43" t="s">
        <v>155</v>
      </c>
      <c r="C43" t="s">
        <v>156</v>
      </c>
      <c r="D43" t="s">
        <v>61</v>
      </c>
      <c r="E43" t="s">
        <v>78</v>
      </c>
      <c r="F43">
        <v>2015</v>
      </c>
      <c r="G43" t="s">
        <v>63</v>
      </c>
      <c r="H43">
        <v>24</v>
      </c>
      <c r="I43">
        <v>2018</v>
      </c>
      <c r="J43" t="s">
        <v>64</v>
      </c>
      <c r="K43">
        <v>132.72918861960008</v>
      </c>
    </row>
    <row r="44" spans="1:12" hidden="1" x14ac:dyDescent="0.3">
      <c r="A44">
        <v>295</v>
      </c>
      <c r="B44" t="s">
        <v>157</v>
      </c>
      <c r="C44" t="s">
        <v>158</v>
      </c>
      <c r="D44" t="s">
        <v>61</v>
      </c>
      <c r="E44" t="s">
        <v>78</v>
      </c>
      <c r="F44">
        <v>2015</v>
      </c>
      <c r="G44" t="s">
        <v>63</v>
      </c>
      <c r="H44">
        <v>24</v>
      </c>
      <c r="I44">
        <v>2018</v>
      </c>
      <c r="J44" t="s">
        <v>64</v>
      </c>
      <c r="K44">
        <v>192.45732349841887</v>
      </c>
    </row>
    <row r="45" spans="1:12" hidden="1" x14ac:dyDescent="0.3">
      <c r="A45">
        <v>296</v>
      </c>
      <c r="B45" t="s">
        <v>159</v>
      </c>
      <c r="C45" t="s">
        <v>160</v>
      </c>
      <c r="D45" t="s">
        <v>61</v>
      </c>
      <c r="E45" t="s">
        <v>78</v>
      </c>
      <c r="F45">
        <v>2015</v>
      </c>
      <c r="G45" t="s">
        <v>63</v>
      </c>
      <c r="H45">
        <v>24</v>
      </c>
      <c r="I45">
        <v>2018</v>
      </c>
      <c r="J45" t="s">
        <v>64</v>
      </c>
      <c r="K45">
        <v>274.95</v>
      </c>
    </row>
    <row r="46" spans="1:12" hidden="1" x14ac:dyDescent="0.3">
      <c r="A46">
        <v>297</v>
      </c>
      <c r="B46" t="s">
        <v>161</v>
      </c>
      <c r="C46" t="s">
        <v>162</v>
      </c>
      <c r="D46" t="s">
        <v>61</v>
      </c>
      <c r="E46" t="s">
        <v>78</v>
      </c>
      <c r="F46">
        <v>2015</v>
      </c>
      <c r="G46" t="s">
        <v>63</v>
      </c>
      <c r="H46">
        <v>24</v>
      </c>
      <c r="I46">
        <v>2018</v>
      </c>
      <c r="J46" t="s">
        <v>91</v>
      </c>
      <c r="K46">
        <v>42.300000000000004</v>
      </c>
      <c r="L46" t="s">
        <v>163</v>
      </c>
    </row>
    <row r="47" spans="1:12" hidden="1" x14ac:dyDescent="0.3">
      <c r="A47">
        <v>298</v>
      </c>
      <c r="B47" t="s">
        <v>164</v>
      </c>
      <c r="C47" t="s">
        <v>165</v>
      </c>
      <c r="D47" t="s">
        <v>61</v>
      </c>
      <c r="E47" t="s">
        <v>78</v>
      </c>
      <c r="F47">
        <v>2015</v>
      </c>
      <c r="G47" t="s">
        <v>63</v>
      </c>
      <c r="H47">
        <v>24</v>
      </c>
      <c r="I47">
        <v>2018</v>
      </c>
      <c r="J47" t="s">
        <v>91</v>
      </c>
      <c r="K47">
        <v>84.600000000000009</v>
      </c>
      <c r="L47" t="s">
        <v>163</v>
      </c>
    </row>
    <row r="48" spans="1:12" hidden="1" x14ac:dyDescent="0.3">
      <c r="A48">
        <v>300</v>
      </c>
      <c r="B48" t="s">
        <v>166</v>
      </c>
      <c r="C48" t="s">
        <v>167</v>
      </c>
      <c r="D48" t="s">
        <v>61</v>
      </c>
      <c r="E48" t="s">
        <v>78</v>
      </c>
      <c r="F48">
        <v>2015</v>
      </c>
      <c r="G48" t="s">
        <v>63</v>
      </c>
      <c r="H48">
        <v>24</v>
      </c>
      <c r="I48">
        <v>2018</v>
      </c>
      <c r="J48" t="s">
        <v>64</v>
      </c>
      <c r="K48">
        <v>77.550000000000011</v>
      </c>
      <c r="L48" t="s">
        <v>168</v>
      </c>
    </row>
    <row r="49" spans="1:12" hidden="1" x14ac:dyDescent="0.3">
      <c r="A49">
        <v>301</v>
      </c>
      <c r="B49" t="s">
        <v>169</v>
      </c>
      <c r="C49" t="s">
        <v>170</v>
      </c>
      <c r="D49" t="s">
        <v>61</v>
      </c>
      <c r="E49" t="s">
        <v>78</v>
      </c>
      <c r="F49">
        <v>2015</v>
      </c>
      <c r="G49" t="s">
        <v>63</v>
      </c>
      <c r="H49">
        <v>24</v>
      </c>
      <c r="I49">
        <v>2018</v>
      </c>
      <c r="J49" t="s">
        <v>64</v>
      </c>
      <c r="K49">
        <v>166.41000000000003</v>
      </c>
      <c r="L49" t="s">
        <v>171</v>
      </c>
    </row>
    <row r="50" spans="1:12" hidden="1" x14ac:dyDescent="0.3">
      <c r="A50">
        <v>302</v>
      </c>
      <c r="B50" t="s">
        <v>172</v>
      </c>
      <c r="C50" t="s">
        <v>173</v>
      </c>
      <c r="D50" t="s">
        <v>61</v>
      </c>
      <c r="E50" t="s">
        <v>118</v>
      </c>
      <c r="F50">
        <v>2015</v>
      </c>
      <c r="G50" t="s">
        <v>63</v>
      </c>
      <c r="H50">
        <v>24</v>
      </c>
      <c r="I50">
        <v>2018</v>
      </c>
      <c r="J50" t="s">
        <v>64</v>
      </c>
      <c r="K50">
        <v>84.600000000000009</v>
      </c>
      <c r="L50" t="s">
        <v>174</v>
      </c>
    </row>
    <row r="51" spans="1:12" x14ac:dyDescent="0.3">
      <c r="A51">
        <v>314</v>
      </c>
      <c r="B51" t="s">
        <v>175</v>
      </c>
      <c r="C51" t="s">
        <v>176</v>
      </c>
      <c r="F51">
        <v>2010</v>
      </c>
      <c r="G51" t="s">
        <v>63</v>
      </c>
      <c r="H51">
        <v>22</v>
      </c>
      <c r="I51">
        <v>2025</v>
      </c>
      <c r="J51" t="s">
        <v>64</v>
      </c>
      <c r="K51">
        <v>86</v>
      </c>
      <c r="L51" t="s">
        <v>177</v>
      </c>
    </row>
    <row r="52" spans="1:12" x14ac:dyDescent="0.3">
      <c r="A52">
        <v>315</v>
      </c>
      <c r="B52" t="s">
        <v>178</v>
      </c>
      <c r="C52" t="s">
        <v>179</v>
      </c>
      <c r="F52">
        <v>2010</v>
      </c>
      <c r="G52" t="s">
        <v>63</v>
      </c>
      <c r="H52">
        <v>22</v>
      </c>
      <c r="I52">
        <v>2025</v>
      </c>
      <c r="J52" t="s">
        <v>64</v>
      </c>
      <c r="K52">
        <v>86</v>
      </c>
      <c r="L52" t="s">
        <v>177</v>
      </c>
    </row>
    <row r="53" spans="1:12" x14ac:dyDescent="0.3">
      <c r="A53">
        <v>316</v>
      </c>
      <c r="B53" t="s">
        <v>180</v>
      </c>
      <c r="C53" t="s">
        <v>181</v>
      </c>
      <c r="F53">
        <v>2010</v>
      </c>
      <c r="G53" t="s">
        <v>63</v>
      </c>
      <c r="H53">
        <v>22</v>
      </c>
      <c r="I53">
        <v>2025</v>
      </c>
      <c r="J53" t="s">
        <v>64</v>
      </c>
      <c r="K53">
        <v>129</v>
      </c>
      <c r="L53" t="s">
        <v>177</v>
      </c>
    </row>
    <row r="54" spans="1:12" x14ac:dyDescent="0.3">
      <c r="A54">
        <v>317</v>
      </c>
      <c r="B54" t="s">
        <v>182</v>
      </c>
      <c r="C54" t="s">
        <v>183</v>
      </c>
      <c r="F54">
        <v>2010</v>
      </c>
      <c r="G54" t="s">
        <v>63</v>
      </c>
      <c r="H54">
        <v>22</v>
      </c>
      <c r="I54">
        <v>2025</v>
      </c>
      <c r="J54" t="s">
        <v>64</v>
      </c>
      <c r="K54">
        <v>204</v>
      </c>
      <c r="L54" t="s">
        <v>177</v>
      </c>
    </row>
    <row r="55" spans="1:12" hidden="1" x14ac:dyDescent="0.3">
      <c r="A55">
        <v>320</v>
      </c>
      <c r="B55" t="s">
        <v>184</v>
      </c>
      <c r="C55" t="s">
        <v>185</v>
      </c>
      <c r="F55">
        <v>2012</v>
      </c>
      <c r="G55" t="s">
        <v>63</v>
      </c>
      <c r="H55">
        <v>23</v>
      </c>
      <c r="I55">
        <v>2025</v>
      </c>
      <c r="J55" t="s">
        <v>64</v>
      </c>
      <c r="K55">
        <v>739.71799999999996</v>
      </c>
      <c r="L55" t="s">
        <v>186</v>
      </c>
    </row>
    <row r="56" spans="1:12" hidden="1" x14ac:dyDescent="0.3">
      <c r="A56">
        <v>321</v>
      </c>
      <c r="B56" t="s">
        <v>187</v>
      </c>
      <c r="C56" t="s">
        <v>188</v>
      </c>
      <c r="F56">
        <v>2012</v>
      </c>
      <c r="G56" t="s">
        <v>63</v>
      </c>
      <c r="H56">
        <v>23</v>
      </c>
      <c r="I56">
        <v>2025</v>
      </c>
      <c r="J56" t="s">
        <v>64</v>
      </c>
      <c r="K56">
        <v>1261.3135</v>
      </c>
      <c r="L56" t="s">
        <v>186</v>
      </c>
    </row>
    <row r="57" spans="1:12" hidden="1" x14ac:dyDescent="0.3">
      <c r="A57">
        <v>337</v>
      </c>
      <c r="B57" t="s">
        <v>189</v>
      </c>
      <c r="C57" t="s">
        <v>190</v>
      </c>
      <c r="F57">
        <v>2012</v>
      </c>
      <c r="G57" t="s">
        <v>63</v>
      </c>
      <c r="H57">
        <v>28</v>
      </c>
      <c r="I57">
        <v>2025</v>
      </c>
      <c r="J57" t="s">
        <v>64</v>
      </c>
      <c r="K57">
        <v>462.58</v>
      </c>
    </row>
    <row r="58" spans="1:12" hidden="1" x14ac:dyDescent="0.3">
      <c r="A58">
        <v>338</v>
      </c>
      <c r="B58" t="s">
        <v>191</v>
      </c>
      <c r="C58" t="s">
        <v>192</v>
      </c>
      <c r="F58">
        <v>2012</v>
      </c>
      <c r="G58" t="s">
        <v>63</v>
      </c>
      <c r="H58">
        <v>28</v>
      </c>
      <c r="I58">
        <v>2025</v>
      </c>
      <c r="J58" t="s">
        <v>64</v>
      </c>
      <c r="K58">
        <v>779.745</v>
      </c>
    </row>
    <row r="59" spans="1:12" hidden="1" x14ac:dyDescent="0.3">
      <c r="A59">
        <v>339</v>
      </c>
      <c r="B59" t="s">
        <v>193</v>
      </c>
      <c r="C59" t="s">
        <v>194</v>
      </c>
      <c r="F59">
        <v>2017</v>
      </c>
      <c r="G59" t="s">
        <v>63</v>
      </c>
      <c r="H59">
        <v>29</v>
      </c>
      <c r="I59">
        <v>2025</v>
      </c>
      <c r="J59" t="s">
        <v>64</v>
      </c>
      <c r="K59">
        <v>120</v>
      </c>
    </row>
    <row r="60" spans="1:12" hidden="1" x14ac:dyDescent="0.3">
      <c r="A60">
        <v>358</v>
      </c>
      <c r="B60" t="s">
        <v>195</v>
      </c>
      <c r="C60" t="s">
        <v>196</v>
      </c>
      <c r="F60">
        <v>2017</v>
      </c>
      <c r="G60" t="s">
        <v>63</v>
      </c>
      <c r="H60">
        <v>29</v>
      </c>
      <c r="I60">
        <v>2025</v>
      </c>
      <c r="J60" t="s">
        <v>64</v>
      </c>
      <c r="K60">
        <v>12.5</v>
      </c>
    </row>
    <row r="61" spans="1:12" hidden="1" x14ac:dyDescent="0.3">
      <c r="A61">
        <v>359</v>
      </c>
      <c r="B61" t="s">
        <v>197</v>
      </c>
      <c r="C61" t="s">
        <v>198</v>
      </c>
      <c r="F61">
        <v>2017</v>
      </c>
      <c r="G61" t="s">
        <v>63</v>
      </c>
      <c r="H61">
        <v>29</v>
      </c>
      <c r="I61">
        <v>2025</v>
      </c>
      <c r="J61" t="s">
        <v>64</v>
      </c>
      <c r="K61">
        <v>11.875</v>
      </c>
    </row>
    <row r="62" spans="1:12" hidden="1" x14ac:dyDescent="0.3">
      <c r="A62">
        <v>360</v>
      </c>
      <c r="B62" t="s">
        <v>199</v>
      </c>
      <c r="C62" t="s">
        <v>200</v>
      </c>
      <c r="F62">
        <v>2017</v>
      </c>
      <c r="G62" t="s">
        <v>63</v>
      </c>
      <c r="H62">
        <v>29</v>
      </c>
      <c r="I62">
        <v>2025</v>
      </c>
      <c r="J62" t="s">
        <v>64</v>
      </c>
      <c r="K62">
        <v>9.75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69F5C-798B-4A10-94D8-33D9607CBCCB}">
  <dimension ref="A1:S28"/>
  <sheetViews>
    <sheetView topLeftCell="C1" workbookViewId="0">
      <selection activeCell="R1" sqref="R1"/>
    </sheetView>
  </sheetViews>
  <sheetFormatPr defaultRowHeight="14.4" x14ac:dyDescent="0.3"/>
  <cols>
    <col min="1" max="1" width="17.77734375" style="37" bestFit="1" customWidth="1"/>
    <col min="2" max="2" width="16.77734375" style="22" bestFit="1" customWidth="1"/>
    <col min="3" max="3" width="5.5546875" bestFit="1" customWidth="1"/>
    <col min="4" max="4" width="11" bestFit="1" customWidth="1"/>
    <col min="5" max="5" width="8.44140625" style="37" bestFit="1" customWidth="1"/>
    <col min="6" max="6" width="8.33203125" bestFit="1" customWidth="1"/>
    <col min="7" max="7" width="13.44140625" style="22" bestFit="1" customWidth="1"/>
    <col min="8" max="8" width="14.88671875" bestFit="1" customWidth="1"/>
    <col min="9" max="9" width="18" bestFit="1" customWidth="1"/>
    <col min="10" max="10" width="9.77734375" style="10" bestFit="1" customWidth="1"/>
    <col min="11" max="11" width="12.77734375" style="10" bestFit="1" customWidth="1"/>
    <col min="12" max="12" width="12.77734375" style="37" customWidth="1"/>
    <col min="13" max="13" width="12" bestFit="1" customWidth="1"/>
    <col min="14" max="14" width="4.5546875" bestFit="1" customWidth="1"/>
    <col min="15" max="15" width="11.88671875" bestFit="1" customWidth="1"/>
    <col min="16" max="16" width="11.5546875" bestFit="1" customWidth="1"/>
    <col min="17" max="17" width="12.77734375" bestFit="1" customWidth="1"/>
    <col min="18" max="18" width="15.109375" bestFit="1" customWidth="1"/>
    <col min="19" max="19" width="16.109375" bestFit="1" customWidth="1"/>
  </cols>
  <sheetData>
    <row r="1" spans="1:19" x14ac:dyDescent="0.3">
      <c r="A1" s="37" t="s">
        <v>311</v>
      </c>
      <c r="B1" s="27" t="s">
        <v>293</v>
      </c>
      <c r="C1" s="27" t="s">
        <v>269</v>
      </c>
      <c r="D1" s="27" t="s">
        <v>261</v>
      </c>
      <c r="E1" s="27" t="s">
        <v>304</v>
      </c>
      <c r="F1" s="28" t="s">
        <v>276</v>
      </c>
      <c r="G1" s="27" t="s">
        <v>295</v>
      </c>
      <c r="H1" s="27" t="s">
        <v>284</v>
      </c>
      <c r="I1" s="29" t="s">
        <v>285</v>
      </c>
      <c r="J1" s="29" t="s">
        <v>330</v>
      </c>
      <c r="K1" s="29" t="s">
        <v>331</v>
      </c>
      <c r="L1" s="2" t="s">
        <v>328</v>
      </c>
      <c r="M1" s="27" t="s">
        <v>294</v>
      </c>
      <c r="N1" s="27" t="s">
        <v>268</v>
      </c>
      <c r="O1" s="27" t="s">
        <v>270</v>
      </c>
      <c r="P1" s="27" t="s">
        <v>271</v>
      </c>
      <c r="Q1" s="28" t="s">
        <v>286</v>
      </c>
      <c r="R1" s="29" t="s">
        <v>333</v>
      </c>
      <c r="S1" s="29" t="s">
        <v>334</v>
      </c>
    </row>
    <row r="2" spans="1:19" x14ac:dyDescent="0.3">
      <c r="A2" s="37" t="str">
        <f>CONCATENATE("bev_",C2,"_",B2)</f>
        <v>bev_300_LPW_LRL</v>
      </c>
      <c r="B2" s="22" t="s">
        <v>287</v>
      </c>
      <c r="C2" s="11">
        <f>bev_curves_data!C20</f>
        <v>300</v>
      </c>
      <c r="D2" s="11" t="s">
        <v>262</v>
      </c>
      <c r="E2" s="42" t="s">
        <v>305</v>
      </c>
      <c r="F2" s="10">
        <v>48</v>
      </c>
      <c r="G2" s="14">
        <v>3281</v>
      </c>
      <c r="H2" s="12">
        <f>INDEX(bev_curves_data!$Q$14:$V$14,,MATCH($D2,bev_curves_data!$Q$1:$V$1,0))</f>
        <v>-24.268554136897372</v>
      </c>
      <c r="I2" s="12">
        <f>INDEX(bev_curves_data!$Q$15:$V$15,,MATCH($D2,bev_curves_data!$Q$1:$V$1,0))</f>
        <v>60.808301226195006</v>
      </c>
      <c r="J2" s="25">
        <f>bev_curves_data!D20*Markup</f>
        <v>-5673.0305598007189</v>
      </c>
      <c r="K2" s="25">
        <f>bev_curves_data!E20*Markup</f>
        <v>10871.187804030276</v>
      </c>
      <c r="L2" s="9">
        <v>2015</v>
      </c>
      <c r="M2" s="43">
        <v>0.9</v>
      </c>
      <c r="N2" s="43">
        <v>0.25</v>
      </c>
      <c r="O2" s="43">
        <v>0.1</v>
      </c>
      <c r="P2" s="43">
        <v>1</v>
      </c>
      <c r="Q2" s="26">
        <f t="shared" ref="Q2:Q7" si="0">(H2*0+I2)*M2*(1-N2)*P2/(C2*(1-O2))</f>
        <v>0.15202075306548751</v>
      </c>
      <c r="R2" s="25">
        <f>K2/I2</f>
        <v>178.77802182947983</v>
      </c>
      <c r="S2" s="25">
        <f>(J2*0.2+K2)/(H2*0.2+I2)</f>
        <v>174.00863133252852</v>
      </c>
    </row>
    <row r="3" spans="1:19" x14ac:dyDescent="0.3">
      <c r="A3" s="37" t="str">
        <f t="shared" ref="A3:A7" si="1">CONCATENATE("bev_",C3,"_",B3)</f>
        <v>bev_300_MPW_LRL</v>
      </c>
      <c r="B3" s="22" t="s">
        <v>288</v>
      </c>
      <c r="C3" s="23">
        <f>bev_curves_data!C21</f>
        <v>300</v>
      </c>
      <c r="D3" s="11" t="s">
        <v>263</v>
      </c>
      <c r="E3" s="42" t="s">
        <v>305</v>
      </c>
      <c r="F3" s="10">
        <v>50</v>
      </c>
      <c r="G3" s="14">
        <v>3510</v>
      </c>
      <c r="H3" s="12">
        <f>INDEX(bev_curves_data!$Q$14:$V$14,,MATCH($D3,bev_curves_data!$Q$1:$V$1,0))</f>
        <v>-30.252876361395565</v>
      </c>
      <c r="I3" s="12">
        <f>INDEX(bev_curves_data!$Q$15:$V$15,,MATCH($D3,bev_curves_data!$Q$1:$V$1,0))</f>
        <v>67.043292045087483</v>
      </c>
      <c r="J3" s="25">
        <f>bev_curves_data!D21*Markup</f>
        <v>-3918.6026668254008</v>
      </c>
      <c r="K3" s="25">
        <f>bev_curves_data!E21*Markup</f>
        <v>12032.6025767176</v>
      </c>
      <c r="L3" s="9">
        <v>2015</v>
      </c>
      <c r="M3" s="43">
        <v>0.9</v>
      </c>
      <c r="N3" s="43">
        <v>0.25</v>
      </c>
      <c r="O3" s="43">
        <v>0.1</v>
      </c>
      <c r="P3" s="43">
        <v>1</v>
      </c>
      <c r="Q3" s="26">
        <f t="shared" si="0"/>
        <v>0.16760823011271872</v>
      </c>
      <c r="R3" s="25">
        <f t="shared" ref="R3:R7" si="2">K3/I3</f>
        <v>179.47511540193341</v>
      </c>
      <c r="S3" s="25">
        <f t="shared" ref="S3:S7" si="3">(J3*0.2+K3)/(H3*0.2+I3)</f>
        <v>184.42992276034292</v>
      </c>
    </row>
    <row r="4" spans="1:19" x14ac:dyDescent="0.3">
      <c r="A4" s="37" t="str">
        <f t="shared" si="1"/>
        <v>bev_300_LPW_HRL</v>
      </c>
      <c r="B4" s="22" t="s">
        <v>289</v>
      </c>
      <c r="C4" s="23">
        <f>bev_curves_data!C22</f>
        <v>300</v>
      </c>
      <c r="D4" s="11" t="s">
        <v>264</v>
      </c>
      <c r="E4" s="42" t="s">
        <v>306</v>
      </c>
      <c r="F4" s="10">
        <v>53</v>
      </c>
      <c r="G4" s="14">
        <v>3838</v>
      </c>
      <c r="H4" s="12">
        <f>INDEX(bev_curves_data!$Q$14:$V$14,,MATCH($D4,bev_curves_data!$Q$1:$V$1,0))</f>
        <v>-35.865409336352315</v>
      </c>
      <c r="I4" s="12">
        <f>INDEX(bev_curves_data!$Q$15:$V$15,,MATCH($D4,bev_curves_data!$Q$1:$V$1,0))</f>
        <v>71.130580893617847</v>
      </c>
      <c r="J4" s="25">
        <f>bev_curves_data!D22*Markup</f>
        <v>-4612.4939008040619</v>
      </c>
      <c r="K4" s="25">
        <f>bev_curves_data!E22*Markup</f>
        <v>13041.635316641255</v>
      </c>
      <c r="L4" s="9">
        <v>2015</v>
      </c>
      <c r="M4" s="43">
        <v>0.9</v>
      </c>
      <c r="N4" s="43">
        <v>0.25</v>
      </c>
      <c r="O4" s="43">
        <v>0.1</v>
      </c>
      <c r="P4" s="43">
        <v>1</v>
      </c>
      <c r="Q4" s="26">
        <f t="shared" si="0"/>
        <v>0.17782645223404461</v>
      </c>
      <c r="R4" s="25">
        <f t="shared" si="2"/>
        <v>183.34779714713969</v>
      </c>
      <c r="S4" s="25">
        <f t="shared" si="3"/>
        <v>189.48734270375311</v>
      </c>
    </row>
    <row r="5" spans="1:19" x14ac:dyDescent="0.3">
      <c r="A5" s="37" t="str">
        <f t="shared" si="1"/>
        <v>bev_300_HPW</v>
      </c>
      <c r="B5" s="22" t="s">
        <v>291</v>
      </c>
      <c r="C5" s="23">
        <f>bev_curves_data!C23</f>
        <v>300</v>
      </c>
      <c r="D5" s="14" t="s">
        <v>265</v>
      </c>
      <c r="E5" s="42" t="s">
        <v>305</v>
      </c>
      <c r="F5" s="13">
        <v>55</v>
      </c>
      <c r="G5" s="14">
        <v>4294</v>
      </c>
      <c r="H5" s="12">
        <f>INDEX(bev_curves_data!$Q$14:$V$14,,MATCH($D5,bev_curves_data!$Q$1:$V$1,0))</f>
        <v>-43.801034322475424</v>
      </c>
      <c r="I5" s="12">
        <f>INDEX(bev_curves_data!$Q$15:$V$15,,MATCH($D5,bev_curves_data!$Q$1:$V$1,0))</f>
        <v>76.944032888824438</v>
      </c>
      <c r="J5" s="25">
        <f>bev_curves_data!D23*Markup</f>
        <v>-5608.7848653736301</v>
      </c>
      <c r="K5" s="25">
        <f>bev_curves_data!E23*Markup</f>
        <v>14243.393856449989</v>
      </c>
      <c r="L5" s="9">
        <v>2015</v>
      </c>
      <c r="M5" s="43">
        <v>0.9</v>
      </c>
      <c r="N5" s="43">
        <v>0.25</v>
      </c>
      <c r="O5" s="43">
        <v>0.1</v>
      </c>
      <c r="P5" s="43">
        <v>1</v>
      </c>
      <c r="Q5" s="26">
        <f t="shared" si="0"/>
        <v>0.19236008222206108</v>
      </c>
      <c r="R5" s="25">
        <f t="shared" si="2"/>
        <v>185.11369006392098</v>
      </c>
      <c r="S5" s="25">
        <f t="shared" si="3"/>
        <v>192.44500710026455</v>
      </c>
    </row>
    <row r="6" spans="1:19" x14ac:dyDescent="0.3">
      <c r="A6" s="37" t="str">
        <f t="shared" si="1"/>
        <v>bev_300_MPW_HRL</v>
      </c>
      <c r="B6" s="22" t="s">
        <v>290</v>
      </c>
      <c r="C6" s="23">
        <f>bev_curves_data!C24</f>
        <v>300</v>
      </c>
      <c r="D6" s="14" t="s">
        <v>266</v>
      </c>
      <c r="E6" s="42" t="s">
        <v>306</v>
      </c>
      <c r="F6" s="13">
        <v>58</v>
      </c>
      <c r="G6" s="14">
        <v>4454</v>
      </c>
      <c r="H6" s="12">
        <f>INDEX(bev_curves_data!$Q$14:$V$14,,MATCH($D6,bev_curves_data!$Q$1:$V$1,0))</f>
        <v>-65.685676475795191</v>
      </c>
      <c r="I6" s="12">
        <f>INDEX(bev_curves_data!$Q$15:$V$15,,MATCH($D6,bev_curves_data!$Q$1:$V$1,0))</f>
        <v>92.526292490725154</v>
      </c>
      <c r="J6" s="25">
        <f>bev_curves_data!D24*Markup</f>
        <v>-9467.2734917450307</v>
      </c>
      <c r="K6" s="25">
        <f>bev_curves_data!E24*Markup</f>
        <v>17367.566241216802</v>
      </c>
      <c r="L6" s="9">
        <v>2015</v>
      </c>
      <c r="M6" s="43">
        <v>0.9</v>
      </c>
      <c r="N6" s="43">
        <v>0.25</v>
      </c>
      <c r="O6" s="43">
        <v>0.1</v>
      </c>
      <c r="P6" s="43">
        <v>1</v>
      </c>
      <c r="Q6" s="26">
        <f t="shared" si="0"/>
        <v>0.2313157312268129</v>
      </c>
      <c r="R6" s="25">
        <f t="shared" si="2"/>
        <v>187.70411926920912</v>
      </c>
      <c r="S6" s="25">
        <f t="shared" si="3"/>
        <v>194.91467209746401</v>
      </c>
    </row>
    <row r="7" spans="1:19" x14ac:dyDescent="0.3">
      <c r="A7" s="37" t="str">
        <f t="shared" si="1"/>
        <v>bev_300_Truck</v>
      </c>
      <c r="B7" s="22" t="s">
        <v>292</v>
      </c>
      <c r="C7" s="23">
        <f>bev_curves_data!C25</f>
        <v>300</v>
      </c>
      <c r="D7" s="14" t="s">
        <v>267</v>
      </c>
      <c r="E7" s="42" t="s">
        <v>306</v>
      </c>
      <c r="F7" s="13">
        <v>60</v>
      </c>
      <c r="G7" s="14">
        <v>5310</v>
      </c>
      <c r="H7" s="12">
        <f>INDEX(bev_curves_data!$Q$14:$V$14,,MATCH($D7,bev_curves_data!$Q$1:$V$1,0))</f>
        <v>-80.220422822679083</v>
      </c>
      <c r="I7" s="12">
        <f>INDEX(bev_curves_data!$Q$15:$V$15,,MATCH($D7,bev_curves_data!$Q$1:$V$1,0))</f>
        <v>101.35899844109895</v>
      </c>
      <c r="J7" s="25">
        <f>bev_curves_data!D25*Markup</f>
        <v>-10853.979113246165</v>
      </c>
      <c r="K7" s="25">
        <f>bev_curves_data!E25*Markup</f>
        <v>18961.499140978616</v>
      </c>
      <c r="L7" s="9">
        <v>2015</v>
      </c>
      <c r="M7" s="43">
        <v>0.9</v>
      </c>
      <c r="N7" s="43">
        <v>0.25</v>
      </c>
      <c r="O7" s="43">
        <v>0.1</v>
      </c>
      <c r="P7" s="43">
        <v>1</v>
      </c>
      <c r="Q7" s="26">
        <f t="shared" si="0"/>
        <v>0.25339749610274737</v>
      </c>
      <c r="R7" s="25">
        <f t="shared" si="2"/>
        <v>187.07267665038535</v>
      </c>
      <c r="S7" s="25">
        <f t="shared" si="3"/>
        <v>196.80853622641891</v>
      </c>
    </row>
    <row r="9" spans="1:19" x14ac:dyDescent="0.3">
      <c r="C9" s="23"/>
      <c r="D9" s="14"/>
      <c r="H9" s="23"/>
      <c r="I9" s="14"/>
      <c r="J9" s="14"/>
      <c r="K9" s="14"/>
      <c r="L9" s="14"/>
    </row>
    <row r="10" spans="1:19" x14ac:dyDescent="0.3">
      <c r="B10" s="14"/>
      <c r="C10" s="24"/>
      <c r="E10" s="14"/>
      <c r="G10" s="14"/>
      <c r="H10" s="24"/>
      <c r="I10" s="24"/>
      <c r="J10" s="24"/>
      <c r="K10" s="24"/>
      <c r="L10" s="38"/>
    </row>
    <row r="11" spans="1:19" x14ac:dyDescent="0.3">
      <c r="B11" s="14"/>
      <c r="C11" s="24"/>
      <c r="E11" s="14"/>
      <c r="G11" s="14"/>
      <c r="H11" s="24"/>
      <c r="I11" s="24"/>
      <c r="J11" s="24"/>
      <c r="K11" s="24"/>
      <c r="L11" s="38"/>
    </row>
    <row r="12" spans="1:19" x14ac:dyDescent="0.3">
      <c r="B12" s="14"/>
      <c r="C12" s="24"/>
      <c r="E12" s="14"/>
      <c r="G12" s="14"/>
      <c r="H12" s="24"/>
      <c r="I12" s="24"/>
      <c r="J12" s="24"/>
      <c r="K12" s="24"/>
      <c r="L12" s="38"/>
    </row>
    <row r="13" spans="1:19" x14ac:dyDescent="0.3">
      <c r="B13" s="14"/>
      <c r="C13" s="24"/>
      <c r="E13" s="14"/>
      <c r="G13" s="14"/>
      <c r="H13" s="24"/>
      <c r="I13" s="24"/>
      <c r="J13" s="24"/>
      <c r="K13" s="24"/>
      <c r="L13" s="38"/>
    </row>
    <row r="14" spans="1:19" x14ac:dyDescent="0.3">
      <c r="B14" s="14"/>
      <c r="C14" s="24"/>
      <c r="D14" s="22"/>
      <c r="E14" s="14"/>
      <c r="G14" s="14"/>
      <c r="H14" s="24"/>
      <c r="I14" s="24"/>
      <c r="J14" s="24"/>
      <c r="K14" s="24"/>
      <c r="L14" s="38"/>
    </row>
    <row r="15" spans="1:19" x14ac:dyDescent="0.3">
      <c r="B15" s="14"/>
      <c r="C15" s="24"/>
      <c r="D15" s="22"/>
      <c r="E15" s="14"/>
      <c r="F15" s="22"/>
      <c r="G15" s="14"/>
      <c r="H15" s="24"/>
      <c r="I15" s="24"/>
      <c r="J15" s="24"/>
      <c r="K15" s="24"/>
      <c r="L15" s="38"/>
    </row>
    <row r="16" spans="1:19" x14ac:dyDescent="0.3">
      <c r="B16" s="14"/>
      <c r="C16" s="24"/>
      <c r="D16" s="22"/>
      <c r="E16" s="14"/>
      <c r="F16" s="22"/>
      <c r="G16" s="14"/>
      <c r="H16" s="24"/>
      <c r="I16" s="24"/>
      <c r="J16" s="24"/>
      <c r="K16" s="24"/>
      <c r="L16" s="38"/>
    </row>
    <row r="17" spans="1:12" x14ac:dyDescent="0.3">
      <c r="B17" s="14"/>
      <c r="C17" s="24"/>
      <c r="D17" s="22"/>
      <c r="E17" s="14"/>
      <c r="F17" s="22"/>
      <c r="G17" s="14"/>
      <c r="H17" s="24"/>
      <c r="I17" s="24"/>
      <c r="J17" s="24"/>
      <c r="K17" s="24"/>
      <c r="L17" s="38"/>
    </row>
    <row r="18" spans="1:12" x14ac:dyDescent="0.3">
      <c r="B18" s="14"/>
      <c r="C18" s="24"/>
      <c r="D18" s="22"/>
      <c r="E18" s="14"/>
      <c r="F18" s="22"/>
      <c r="G18" s="14"/>
      <c r="H18" s="24"/>
      <c r="I18" s="24"/>
      <c r="J18" s="24"/>
      <c r="K18" s="24"/>
      <c r="L18" s="38"/>
    </row>
    <row r="19" spans="1:12" x14ac:dyDescent="0.3">
      <c r="B19" s="14"/>
      <c r="C19" s="24"/>
      <c r="D19" s="22"/>
      <c r="E19" s="14"/>
      <c r="F19" s="22"/>
      <c r="G19" s="14"/>
      <c r="H19" s="24"/>
      <c r="I19" s="24"/>
      <c r="J19" s="24"/>
      <c r="K19" s="24"/>
      <c r="L19" s="38"/>
    </row>
    <row r="20" spans="1:12" s="22" customFormat="1" x14ac:dyDescent="0.3">
      <c r="A20" s="37"/>
      <c r="B20" s="14"/>
      <c r="C20" s="24"/>
      <c r="E20" s="14"/>
      <c r="G20" s="14"/>
      <c r="H20" s="24"/>
      <c r="I20" s="24"/>
      <c r="J20" s="24"/>
      <c r="K20" s="24"/>
      <c r="L20" s="38"/>
    </row>
    <row r="21" spans="1:12" s="22" customFormat="1" x14ac:dyDescent="0.3">
      <c r="A21" s="37"/>
      <c r="B21" s="14"/>
      <c r="C21" s="24"/>
      <c r="E21" s="14"/>
      <c r="G21" s="14"/>
      <c r="H21" s="24"/>
      <c r="I21" s="24"/>
      <c r="J21" s="24"/>
      <c r="K21" s="24"/>
      <c r="L21" s="38"/>
    </row>
    <row r="22" spans="1:12" x14ac:dyDescent="0.3">
      <c r="B22" s="14"/>
      <c r="C22" s="24"/>
      <c r="D22" s="22"/>
      <c r="E22" s="14"/>
      <c r="G22" s="14"/>
      <c r="H22" s="24"/>
      <c r="I22" s="24"/>
      <c r="J22" s="24"/>
      <c r="K22" s="24"/>
      <c r="L22" s="38"/>
    </row>
    <row r="23" spans="1:12" x14ac:dyDescent="0.3">
      <c r="B23" s="14"/>
      <c r="C23" s="24"/>
      <c r="D23" s="22"/>
      <c r="E23" s="14"/>
      <c r="G23" s="14"/>
      <c r="H23" s="24"/>
      <c r="I23" s="24"/>
      <c r="J23" s="24"/>
      <c r="K23" s="24"/>
      <c r="L23" s="38"/>
    </row>
    <row r="24" spans="1:12" x14ac:dyDescent="0.3">
      <c r="C24" s="24"/>
      <c r="H24" s="24"/>
      <c r="I24" s="24"/>
      <c r="J24" s="24"/>
      <c r="K24" s="24"/>
      <c r="L24" s="38"/>
    </row>
    <row r="25" spans="1:12" x14ac:dyDescent="0.3">
      <c r="C25" s="24"/>
      <c r="H25" s="24"/>
      <c r="I25" s="24"/>
      <c r="J25" s="24"/>
      <c r="K25" s="24"/>
      <c r="L25" s="38"/>
    </row>
    <row r="26" spans="1:12" x14ac:dyDescent="0.3">
      <c r="C26" s="24"/>
      <c r="H26" s="24"/>
      <c r="I26" s="24"/>
      <c r="J26" s="24"/>
      <c r="K26" s="24"/>
      <c r="L26" s="38"/>
    </row>
    <row r="27" spans="1:12" x14ac:dyDescent="0.3">
      <c r="C27" s="24"/>
      <c r="H27" s="24"/>
      <c r="I27" s="24"/>
      <c r="J27" s="24"/>
      <c r="K27" s="24"/>
      <c r="L27" s="38"/>
    </row>
    <row r="28" spans="1:12" x14ac:dyDescent="0.3">
      <c r="C28" s="24"/>
      <c r="H28" s="24"/>
      <c r="I28" s="24"/>
      <c r="J28" s="24"/>
      <c r="K28" s="24"/>
      <c r="L28" s="38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787BE-7CDC-4D53-B66A-224AC26D0702}">
  <dimension ref="A1:V25"/>
  <sheetViews>
    <sheetView workbookViewId="0">
      <selection activeCell="K30" sqref="K30"/>
    </sheetView>
  </sheetViews>
  <sheetFormatPr defaultRowHeight="14.4" x14ac:dyDescent="0.3"/>
  <cols>
    <col min="1" max="1" width="12.5546875" bestFit="1" customWidth="1"/>
    <col min="2" max="2" width="6" bestFit="1" customWidth="1"/>
    <col min="3" max="3" width="6" style="19" customWidth="1"/>
    <col min="4" max="4" width="9.6640625" bestFit="1" customWidth="1"/>
    <col min="5" max="5" width="8" customWidth="1"/>
    <col min="6" max="6" width="9.109375" bestFit="1" customWidth="1"/>
  </cols>
  <sheetData>
    <row r="1" spans="1:22" s="19" customFormat="1" x14ac:dyDescent="0.3">
      <c r="C1" s="19" t="s">
        <v>269</v>
      </c>
      <c r="D1" s="19" t="s">
        <v>279</v>
      </c>
      <c r="E1" s="19" t="s">
        <v>280</v>
      </c>
      <c r="F1" s="19">
        <v>0.05</v>
      </c>
      <c r="G1" s="19">
        <v>0.1</v>
      </c>
      <c r="H1" s="19">
        <v>0.15</v>
      </c>
      <c r="I1" s="19">
        <v>0.2</v>
      </c>
      <c r="N1" s="14" t="s">
        <v>269</v>
      </c>
      <c r="O1" s="22"/>
      <c r="P1" s="22" t="s">
        <v>282</v>
      </c>
      <c r="Q1" s="23" t="s">
        <v>262</v>
      </c>
      <c r="R1" s="23" t="s">
        <v>263</v>
      </c>
      <c r="S1" s="23" t="s">
        <v>264</v>
      </c>
      <c r="T1" s="14" t="s">
        <v>265</v>
      </c>
      <c r="U1" s="14" t="s">
        <v>266</v>
      </c>
      <c r="V1" s="14" t="s">
        <v>267</v>
      </c>
    </row>
    <row r="2" spans="1:22" x14ac:dyDescent="0.3">
      <c r="A2" s="17" t="s">
        <v>277</v>
      </c>
      <c r="B2" s="17" t="s">
        <v>262</v>
      </c>
      <c r="C2" s="17"/>
      <c r="D2" s="16">
        <v>-2576.7620840996824</v>
      </c>
      <c r="E2" s="16">
        <v>5602.377214821332</v>
      </c>
      <c r="N2" s="22">
        <v>200</v>
      </c>
      <c r="O2" s="14" t="s">
        <v>283</v>
      </c>
      <c r="P2" s="22">
        <v>0</v>
      </c>
      <c r="Q2" s="24">
        <v>40.868388760951277</v>
      </c>
      <c r="R2" s="24">
        <v>45.183587655869438</v>
      </c>
      <c r="S2" s="24">
        <v>47.980695220024501</v>
      </c>
      <c r="T2" s="24">
        <v>51.979221655924036</v>
      </c>
      <c r="U2" s="24">
        <v>62.779386923784088</v>
      </c>
      <c r="V2" s="24">
        <v>69.219987721658612</v>
      </c>
    </row>
    <row r="3" spans="1:22" x14ac:dyDescent="0.3">
      <c r="A3" s="17" t="s">
        <v>277</v>
      </c>
      <c r="B3" s="17" t="s">
        <v>263</v>
      </c>
      <c r="C3" s="17"/>
      <c r="D3" s="16">
        <v>-1805.4969687178307</v>
      </c>
      <c r="E3" s="16">
        <v>5931.3861999282308</v>
      </c>
      <c r="F3" s="19"/>
      <c r="N3" s="22">
        <v>200</v>
      </c>
      <c r="O3" s="14" t="s">
        <v>283</v>
      </c>
      <c r="P3" s="22">
        <v>0.02</v>
      </c>
      <c r="Q3" s="24">
        <v>40.358260247890946</v>
      </c>
      <c r="R3" s="24">
        <v>44.502332512123068</v>
      </c>
      <c r="S3" s="24">
        <v>47.18050977735745</v>
      </c>
      <c r="T3" s="24">
        <v>50.99829954512586</v>
      </c>
      <c r="U3" s="24">
        <v>61.2540277926933</v>
      </c>
      <c r="V3" s="24">
        <v>66.858403643459866</v>
      </c>
    </row>
    <row r="4" spans="1:22" x14ac:dyDescent="0.3">
      <c r="A4" s="17" t="s">
        <v>277</v>
      </c>
      <c r="B4" s="17" t="s">
        <v>264</v>
      </c>
      <c r="C4" s="17"/>
      <c r="D4" s="16">
        <v>-2128.2305061722441</v>
      </c>
      <c r="E4" s="16">
        <v>6173.2915385164506</v>
      </c>
      <c r="F4" s="19"/>
      <c r="N4" s="22">
        <v>200</v>
      </c>
      <c r="O4" s="14" t="s">
        <v>283</v>
      </c>
      <c r="P4" s="22">
        <v>7.4999999999999997E-2</v>
      </c>
      <c r="Q4" s="24">
        <v>39.002539681025908</v>
      </c>
      <c r="R4" s="24">
        <v>42.704531417461624</v>
      </c>
      <c r="S4" s="24">
        <v>45.077650760577015</v>
      </c>
      <c r="T4" s="24">
        <v>48.435605952301401</v>
      </c>
      <c r="U4" s="24">
        <v>57.324202987544808</v>
      </c>
      <c r="V4" s="24">
        <v>62.107868498937762</v>
      </c>
    </row>
    <row r="5" spans="1:22" x14ac:dyDescent="0.3">
      <c r="A5" s="17" t="s">
        <v>277</v>
      </c>
      <c r="B5" s="17" t="s">
        <v>265</v>
      </c>
      <c r="C5" s="17"/>
      <c r="D5" s="16">
        <v>-2584.0465853396113</v>
      </c>
      <c r="E5" s="16">
        <v>6515.8796928176971</v>
      </c>
      <c r="F5" s="19"/>
      <c r="N5" s="22">
        <v>200</v>
      </c>
      <c r="O5" s="14" t="s">
        <v>283</v>
      </c>
      <c r="P5" s="22">
        <v>0.1</v>
      </c>
      <c r="Q5" s="24">
        <v>38.408194167629759</v>
      </c>
      <c r="R5" s="24">
        <v>41.922174247111649</v>
      </c>
      <c r="S5" s="24">
        <v>44.166586250893694</v>
      </c>
      <c r="T5" s="24">
        <v>47.332184294414724</v>
      </c>
      <c r="U5" s="24">
        <v>55.65724599020178</v>
      </c>
      <c r="V5" s="24">
        <v>60.107594658208214</v>
      </c>
    </row>
    <row r="6" spans="1:22" x14ac:dyDescent="0.3">
      <c r="A6" s="17" t="s">
        <v>277</v>
      </c>
      <c r="B6" s="17" t="s">
        <v>266</v>
      </c>
      <c r="C6" s="17"/>
      <c r="D6" s="16">
        <v>-4322.4925016248253</v>
      </c>
      <c r="E6" s="16">
        <v>7516.1160803168368</v>
      </c>
      <c r="F6" s="19"/>
      <c r="N6" s="22">
        <v>200</v>
      </c>
      <c r="O6" s="14" t="s">
        <v>283</v>
      </c>
      <c r="P6" s="22">
        <v>0.2</v>
      </c>
      <c r="Q6" s="24">
        <v>37.666235307102482</v>
      </c>
      <c r="R6" s="24">
        <v>41.198423542558317</v>
      </c>
      <c r="S6" s="24">
        <v>43.251936511300734</v>
      </c>
      <c r="T6" s="24">
        <v>46.200525810063588</v>
      </c>
      <c r="U6" s="24">
        <v>54.108883136233871</v>
      </c>
      <c r="V6" s="24">
        <v>58.444762271426534</v>
      </c>
    </row>
    <row r="7" spans="1:22" x14ac:dyDescent="0.3">
      <c r="A7" s="17" t="s">
        <v>277</v>
      </c>
      <c r="B7" s="17" t="s">
        <v>267</v>
      </c>
      <c r="C7" s="17"/>
      <c r="D7" s="16">
        <v>-4993.8876682975106</v>
      </c>
      <c r="E7" s="16">
        <v>8052.2784345309319</v>
      </c>
      <c r="F7" s="19"/>
      <c r="N7" s="22">
        <v>300</v>
      </c>
      <c r="O7" s="14" t="s">
        <v>283</v>
      </c>
      <c r="P7" s="22">
        <v>0</v>
      </c>
      <c r="Q7" s="24">
        <f>$N7/$N2*Q2</f>
        <v>61.302583141426915</v>
      </c>
      <c r="R7" s="24">
        <f t="shared" ref="R7:V7" si="0">$N7/$N2*R2</f>
        <v>67.775381483804154</v>
      </c>
      <c r="S7" s="24">
        <f t="shared" si="0"/>
        <v>71.971042830036751</v>
      </c>
      <c r="T7" s="24">
        <f t="shared" si="0"/>
        <v>77.968832483886047</v>
      </c>
      <c r="U7" s="24">
        <f t="shared" si="0"/>
        <v>94.169080385676125</v>
      </c>
      <c r="V7" s="24">
        <f t="shared" si="0"/>
        <v>103.82998158248792</v>
      </c>
    </row>
    <row r="8" spans="1:22" x14ac:dyDescent="0.3">
      <c r="A8" s="17" t="s">
        <v>278</v>
      </c>
      <c r="B8" s="17" t="s">
        <v>262</v>
      </c>
      <c r="C8" s="17"/>
      <c r="D8" s="16">
        <v>55.415168632696194</v>
      </c>
      <c r="E8" s="16">
        <v>-770.73819080787621</v>
      </c>
      <c r="F8" s="19"/>
      <c r="N8" s="22">
        <v>300</v>
      </c>
      <c r="O8" s="14" t="s">
        <v>283</v>
      </c>
      <c r="P8" s="22">
        <v>0.02</v>
      </c>
      <c r="Q8" s="24">
        <f t="shared" ref="Q8:V11" si="1">$N8/$N3*Q3</f>
        <v>60.537390371836423</v>
      </c>
      <c r="R8" s="24">
        <f t="shared" si="1"/>
        <v>66.753498768184599</v>
      </c>
      <c r="S8" s="24">
        <f t="shared" si="1"/>
        <v>70.770764666036172</v>
      </c>
      <c r="T8" s="24">
        <f t="shared" si="1"/>
        <v>76.49744931768879</v>
      </c>
      <c r="U8" s="24">
        <f t="shared" si="1"/>
        <v>91.881041689039947</v>
      </c>
      <c r="V8" s="24">
        <f t="shared" si="1"/>
        <v>100.2876054651898</v>
      </c>
    </row>
    <row r="9" spans="1:22" x14ac:dyDescent="0.3">
      <c r="A9" s="17" t="s">
        <v>278</v>
      </c>
      <c r="B9" s="17" t="s">
        <v>263</v>
      </c>
      <c r="C9" s="17"/>
      <c r="D9" s="16">
        <v>63.895783462096851</v>
      </c>
      <c r="E9" s="16">
        <v>-583.56283249818694</v>
      </c>
      <c r="F9" s="19"/>
      <c r="G9" s="19"/>
      <c r="N9" s="22">
        <v>300</v>
      </c>
      <c r="O9" s="14" t="s">
        <v>283</v>
      </c>
      <c r="P9" s="22">
        <v>7.4999999999999997E-2</v>
      </c>
      <c r="Q9" s="24">
        <f t="shared" si="1"/>
        <v>58.503809521538862</v>
      </c>
      <c r="R9" s="24">
        <f t="shared" si="1"/>
        <v>64.056797126192436</v>
      </c>
      <c r="S9" s="24">
        <f t="shared" si="1"/>
        <v>67.616476140865529</v>
      </c>
      <c r="T9" s="24">
        <f t="shared" si="1"/>
        <v>72.653408928452109</v>
      </c>
      <c r="U9" s="24">
        <f t="shared" si="1"/>
        <v>85.986304481317205</v>
      </c>
      <c r="V9" s="24">
        <f t="shared" si="1"/>
        <v>93.161802748406643</v>
      </c>
    </row>
    <row r="10" spans="1:22" x14ac:dyDescent="0.3">
      <c r="A10" s="17" t="s">
        <v>278</v>
      </c>
      <c r="B10" s="17" t="s">
        <v>264</v>
      </c>
      <c r="C10" s="17"/>
      <c r="D10" s="16">
        <v>78.233216925994299</v>
      </c>
      <c r="E10" s="16">
        <v>-377.00917556478117</v>
      </c>
      <c r="F10" s="19"/>
      <c r="G10" s="19"/>
      <c r="N10" s="22">
        <v>300</v>
      </c>
      <c r="O10" s="14" t="s">
        <v>283</v>
      </c>
      <c r="P10" s="22">
        <v>0.1</v>
      </c>
      <c r="Q10" s="24">
        <f t="shared" si="1"/>
        <v>57.612291251444638</v>
      </c>
      <c r="R10" s="24">
        <f t="shared" si="1"/>
        <v>62.883261370667469</v>
      </c>
      <c r="S10" s="24">
        <f t="shared" si="1"/>
        <v>66.249879376340544</v>
      </c>
      <c r="T10" s="24">
        <f t="shared" si="1"/>
        <v>70.998276441622082</v>
      </c>
      <c r="U10" s="24">
        <f t="shared" si="1"/>
        <v>83.485868985302673</v>
      </c>
      <c r="V10" s="24">
        <f t="shared" si="1"/>
        <v>90.161391987312328</v>
      </c>
    </row>
    <row r="11" spans="1:22" x14ac:dyDescent="0.3">
      <c r="A11" s="17" t="s">
        <v>278</v>
      </c>
      <c r="B11" s="17" t="s">
        <v>265</v>
      </c>
      <c r="C11" s="17"/>
      <c r="D11" s="16">
        <v>91.253311840220164</v>
      </c>
      <c r="E11" s="16">
        <v>-185.48242328436888</v>
      </c>
      <c r="F11" s="19"/>
      <c r="G11" s="19"/>
      <c r="N11" s="22">
        <v>300</v>
      </c>
      <c r="O11" s="14" t="s">
        <v>283</v>
      </c>
      <c r="P11" s="22">
        <v>0.2</v>
      </c>
      <c r="Q11" s="24">
        <f t="shared" si="1"/>
        <v>56.499352960653724</v>
      </c>
      <c r="R11" s="24">
        <f t="shared" si="1"/>
        <v>61.797635313837475</v>
      </c>
      <c r="S11" s="24">
        <f t="shared" si="1"/>
        <v>64.877904766951104</v>
      </c>
      <c r="T11" s="24">
        <f t="shared" si="1"/>
        <v>69.300788715095379</v>
      </c>
      <c r="U11" s="24">
        <f t="shared" si="1"/>
        <v>81.163324704350799</v>
      </c>
      <c r="V11" s="24">
        <f t="shared" si="1"/>
        <v>87.667143407139804</v>
      </c>
    </row>
    <row r="12" spans="1:22" x14ac:dyDescent="0.3">
      <c r="A12" s="17" t="s">
        <v>278</v>
      </c>
      <c r="B12" s="17" t="s">
        <v>266</v>
      </c>
      <c r="C12" s="17"/>
      <c r="D12" s="16">
        <v>114.81539418258987</v>
      </c>
      <c r="E12" s="16">
        <v>202.80224911285262</v>
      </c>
      <c r="F12" s="19"/>
      <c r="G12" s="19"/>
      <c r="N12" s="22">
        <v>200</v>
      </c>
      <c r="O12" s="14" t="s">
        <v>283</v>
      </c>
      <c r="P12" s="22" t="s">
        <v>279</v>
      </c>
      <c r="Q12" s="24">
        <f>SLOPE(Q$2:Q$6,$P2:$P6)</f>
        <v>-16.179036091264908</v>
      </c>
      <c r="R12" s="24">
        <f t="shared" ref="R12:V12" si="2">SLOPE(R$2:R$6,$P2:$P6)</f>
        <v>-20.168584240930389</v>
      </c>
      <c r="S12" s="24">
        <f t="shared" si="2"/>
        <v>-23.91027289090156</v>
      </c>
      <c r="T12" s="24">
        <f t="shared" si="2"/>
        <v>-29.200689548316952</v>
      </c>
      <c r="U12" s="24">
        <f t="shared" si="2"/>
        <v>-43.790450983863458</v>
      </c>
      <c r="V12" s="24">
        <f t="shared" si="2"/>
        <v>-53.480281881786084</v>
      </c>
    </row>
    <row r="13" spans="1:22" x14ac:dyDescent="0.3">
      <c r="A13" s="17" t="s">
        <v>278</v>
      </c>
      <c r="B13" s="17" t="s">
        <v>267</v>
      </c>
      <c r="C13" s="17"/>
      <c r="D13" s="16">
        <v>169.89695129921509</v>
      </c>
      <c r="E13" s="16">
        <v>375.05451701512038</v>
      </c>
      <c r="F13" s="19"/>
      <c r="G13" s="19"/>
      <c r="N13" s="22">
        <v>200</v>
      </c>
      <c r="O13" s="14" t="s">
        <v>283</v>
      </c>
      <c r="P13" s="22" t="s">
        <v>280</v>
      </c>
      <c r="Q13" s="24">
        <f>INTERCEPT(Q$2:Q$6,$P2:$P6)</f>
        <v>40.538867484130002</v>
      </c>
      <c r="R13" s="24">
        <f t="shared" ref="R13:V13" si="3">INTERCEPT(R$2:R$6,$P2:$P6)</f>
        <v>44.69552803005832</v>
      </c>
      <c r="S13" s="24">
        <f t="shared" si="3"/>
        <v>47.4203872624119</v>
      </c>
      <c r="T13" s="24">
        <f t="shared" si="3"/>
        <v>51.296021925882968</v>
      </c>
      <c r="U13" s="24">
        <f t="shared" si="3"/>
        <v>61.684194993816782</v>
      </c>
      <c r="V13" s="24">
        <f t="shared" si="3"/>
        <v>67.572665627399303</v>
      </c>
    </row>
    <row r="14" spans="1:22" x14ac:dyDescent="0.3">
      <c r="A14" s="17" t="s">
        <v>281</v>
      </c>
      <c r="B14" t="str">
        <f>B2</f>
        <v>CWC1</v>
      </c>
      <c r="C14" s="19">
        <v>200</v>
      </c>
      <c r="D14" s="20">
        <f>D2+D8</f>
        <v>-2521.346915466986</v>
      </c>
      <c r="E14" s="20">
        <f>E2+E8</f>
        <v>4831.639024013456</v>
      </c>
      <c r="F14" s="18">
        <f>$D14*F$1+$E14</f>
        <v>4705.5716782401068</v>
      </c>
      <c r="G14" s="18">
        <f t="shared" ref="G14:I14" si="4">$D14*G$1+$E14</f>
        <v>4579.5043324667577</v>
      </c>
      <c r="H14" s="18">
        <f t="shared" si="4"/>
        <v>4453.4369866934085</v>
      </c>
      <c r="I14" s="18">
        <f t="shared" si="4"/>
        <v>4327.3696409200584</v>
      </c>
      <c r="N14" s="22">
        <v>300</v>
      </c>
      <c r="O14" s="14" t="s">
        <v>283</v>
      </c>
      <c r="P14" s="22" t="s">
        <v>279</v>
      </c>
      <c r="Q14" s="21">
        <f>SLOPE(Q$7:Q$11,$P7:$P11)</f>
        <v>-24.268554136897372</v>
      </c>
      <c r="R14" s="21">
        <f t="shared" ref="R14:V14" si="5">SLOPE(R$7:R$11,$P7:$P11)</f>
        <v>-30.252876361395565</v>
      </c>
      <c r="S14" s="21">
        <f t="shared" si="5"/>
        <v>-35.865409336352315</v>
      </c>
      <c r="T14" s="21">
        <f t="shared" si="5"/>
        <v>-43.801034322475424</v>
      </c>
      <c r="U14" s="21">
        <f t="shared" si="5"/>
        <v>-65.685676475795191</v>
      </c>
      <c r="V14" s="21">
        <f t="shared" si="5"/>
        <v>-80.220422822679083</v>
      </c>
    </row>
    <row r="15" spans="1:22" x14ac:dyDescent="0.3">
      <c r="A15" s="17" t="s">
        <v>281</v>
      </c>
      <c r="B15" s="19" t="str">
        <f t="shared" ref="B15:B25" si="6">B3</f>
        <v>CWC2</v>
      </c>
      <c r="C15" s="19">
        <v>200</v>
      </c>
      <c r="D15" s="20">
        <f t="shared" ref="D15:E15" si="7">D3+D9</f>
        <v>-1741.6011852557338</v>
      </c>
      <c r="E15" s="20">
        <f t="shared" si="7"/>
        <v>5347.8233674300436</v>
      </c>
      <c r="F15" s="18">
        <f t="shared" ref="F15:I25" si="8">$D15*F$1+$E15</f>
        <v>5260.7433081672571</v>
      </c>
      <c r="G15" s="18">
        <f t="shared" si="8"/>
        <v>5173.6632489044705</v>
      </c>
      <c r="H15" s="18">
        <f t="shared" si="8"/>
        <v>5086.5831896416839</v>
      </c>
      <c r="I15" s="18">
        <f t="shared" si="8"/>
        <v>4999.5031303788965</v>
      </c>
      <c r="N15" s="22">
        <v>300</v>
      </c>
      <c r="O15" s="14" t="s">
        <v>283</v>
      </c>
      <c r="P15" s="22" t="s">
        <v>280</v>
      </c>
      <c r="Q15" s="21">
        <f>INTERCEPT(Q$7:Q$11,$P7:$P11)</f>
        <v>60.808301226195006</v>
      </c>
      <c r="R15" s="21">
        <f t="shared" ref="R15:V15" si="9">INTERCEPT(R$7:R$11,$P7:$P11)</f>
        <v>67.043292045087483</v>
      </c>
      <c r="S15" s="21">
        <f t="shared" si="9"/>
        <v>71.130580893617847</v>
      </c>
      <c r="T15" s="21">
        <f t="shared" si="9"/>
        <v>76.944032888824438</v>
      </c>
      <c r="U15" s="21">
        <f t="shared" si="9"/>
        <v>92.526292490725154</v>
      </c>
      <c r="V15" s="21">
        <f t="shared" si="9"/>
        <v>101.35899844109895</v>
      </c>
    </row>
    <row r="16" spans="1:22" x14ac:dyDescent="0.3">
      <c r="A16" s="17" t="s">
        <v>281</v>
      </c>
      <c r="B16" s="19" t="str">
        <f t="shared" si="6"/>
        <v>CWC3</v>
      </c>
      <c r="C16" s="19">
        <v>200</v>
      </c>
      <c r="D16" s="20">
        <f t="shared" ref="D16:E16" si="10">D4+D10</f>
        <v>-2049.9972892462497</v>
      </c>
      <c r="E16" s="20">
        <f t="shared" si="10"/>
        <v>5796.2823629516697</v>
      </c>
      <c r="F16" s="18">
        <f t="shared" si="8"/>
        <v>5693.7824984893568</v>
      </c>
      <c r="G16" s="18">
        <f t="shared" si="8"/>
        <v>5591.2826340270449</v>
      </c>
      <c r="H16" s="18">
        <f t="shared" si="8"/>
        <v>5488.782769564732</v>
      </c>
      <c r="I16" s="18">
        <f t="shared" si="8"/>
        <v>5386.28290510242</v>
      </c>
      <c r="N16" s="22"/>
      <c r="O16" s="22"/>
      <c r="P16" s="22"/>
      <c r="Q16" s="24">
        <f>Q$14*$P7+Q$15</f>
        <v>60.808301226195006</v>
      </c>
      <c r="R16" s="38">
        <f t="shared" ref="R16:V16" si="11">R$14*$P7+R$15</f>
        <v>67.043292045087483</v>
      </c>
      <c r="S16" s="38">
        <f t="shared" si="11"/>
        <v>71.130580893617847</v>
      </c>
      <c r="T16" s="38">
        <f t="shared" si="11"/>
        <v>76.944032888824438</v>
      </c>
      <c r="U16" s="38">
        <f t="shared" si="11"/>
        <v>92.526292490725154</v>
      </c>
      <c r="V16" s="38">
        <f t="shared" si="11"/>
        <v>101.35899844109895</v>
      </c>
    </row>
    <row r="17" spans="1:22" x14ac:dyDescent="0.3">
      <c r="A17" s="17" t="s">
        <v>281</v>
      </c>
      <c r="B17" s="19" t="str">
        <f t="shared" si="6"/>
        <v>CWC4</v>
      </c>
      <c r="C17" s="19">
        <v>200</v>
      </c>
      <c r="D17" s="20">
        <f t="shared" ref="D17:E17" si="12">D5+D11</f>
        <v>-2492.793273499391</v>
      </c>
      <c r="E17" s="20">
        <f t="shared" si="12"/>
        <v>6330.3972695333287</v>
      </c>
      <c r="F17" s="18">
        <f t="shared" si="8"/>
        <v>6205.7576058583591</v>
      </c>
      <c r="G17" s="18">
        <f t="shared" si="8"/>
        <v>6081.1179421833895</v>
      </c>
      <c r="H17" s="18">
        <f t="shared" si="8"/>
        <v>5956.4782785084199</v>
      </c>
      <c r="I17" s="18">
        <f t="shared" si="8"/>
        <v>5831.8386148334503</v>
      </c>
      <c r="N17" s="22"/>
      <c r="O17" s="22"/>
      <c r="P17" s="22"/>
      <c r="Q17" s="38">
        <f t="shared" ref="Q17:V20" si="13">Q$14*$P8+Q$15</f>
        <v>60.322930143457057</v>
      </c>
      <c r="R17" s="38">
        <f t="shared" si="13"/>
        <v>66.43823451785957</v>
      </c>
      <c r="S17" s="38">
        <f t="shared" si="13"/>
        <v>70.413272706890794</v>
      </c>
      <c r="T17" s="38">
        <f t="shared" si="13"/>
        <v>76.068012202374931</v>
      </c>
      <c r="U17" s="38">
        <f t="shared" si="13"/>
        <v>91.212578961209246</v>
      </c>
      <c r="V17" s="38">
        <f t="shared" si="13"/>
        <v>99.754589984645364</v>
      </c>
    </row>
    <row r="18" spans="1:22" x14ac:dyDescent="0.3">
      <c r="A18" s="17" t="s">
        <v>281</v>
      </c>
      <c r="B18" s="19" t="str">
        <f t="shared" si="6"/>
        <v>CWC5</v>
      </c>
      <c r="C18" s="19">
        <v>200</v>
      </c>
      <c r="D18" s="20">
        <f t="shared" ref="D18:E18" si="14">D6+D12</f>
        <v>-4207.6771074422359</v>
      </c>
      <c r="E18" s="20">
        <f t="shared" si="14"/>
        <v>7718.918329429689</v>
      </c>
      <c r="F18" s="18">
        <f t="shared" si="8"/>
        <v>7508.5344740575774</v>
      </c>
      <c r="G18" s="18">
        <f t="shared" si="8"/>
        <v>7298.1506186854658</v>
      </c>
      <c r="H18" s="18">
        <f t="shared" si="8"/>
        <v>7087.7667633133533</v>
      </c>
      <c r="I18" s="18">
        <f t="shared" si="8"/>
        <v>6877.3829079412417</v>
      </c>
      <c r="N18" s="22"/>
      <c r="O18" s="22"/>
      <c r="P18" s="22"/>
      <c r="Q18" s="38">
        <f t="shared" si="13"/>
        <v>58.988159665927704</v>
      </c>
      <c r="R18" s="38">
        <f t="shared" si="13"/>
        <v>64.774326317982812</v>
      </c>
      <c r="S18" s="38">
        <f t="shared" si="13"/>
        <v>68.440675193391428</v>
      </c>
      <c r="T18" s="38">
        <f t="shared" si="13"/>
        <v>73.658955314638774</v>
      </c>
      <c r="U18" s="38">
        <f t="shared" si="13"/>
        <v>87.599866755040509</v>
      </c>
      <c r="V18" s="38">
        <f t="shared" si="13"/>
        <v>95.342466729398012</v>
      </c>
    </row>
    <row r="19" spans="1:22" x14ac:dyDescent="0.3">
      <c r="A19" s="17" t="s">
        <v>281</v>
      </c>
      <c r="B19" s="19" t="str">
        <f t="shared" si="6"/>
        <v>CWC6</v>
      </c>
      <c r="C19" s="19">
        <v>200</v>
      </c>
      <c r="D19" s="20">
        <f t="shared" ref="D19:E19" si="15">D7+D13</f>
        <v>-4823.9907169982953</v>
      </c>
      <c r="E19" s="20">
        <f t="shared" si="15"/>
        <v>8427.3329515460518</v>
      </c>
      <c r="F19" s="18">
        <f t="shared" si="8"/>
        <v>8186.1334156961375</v>
      </c>
      <c r="G19" s="18">
        <f t="shared" si="8"/>
        <v>7944.9338798462222</v>
      </c>
      <c r="H19" s="18">
        <f t="shared" si="8"/>
        <v>7703.7343439963079</v>
      </c>
      <c r="I19" s="18">
        <f t="shared" si="8"/>
        <v>7462.5348081463926</v>
      </c>
      <c r="N19" s="22"/>
      <c r="O19" s="22"/>
      <c r="P19" s="22"/>
      <c r="Q19" s="38">
        <f t="shared" si="13"/>
        <v>58.38144581250527</v>
      </c>
      <c r="R19" s="38">
        <f t="shared" si="13"/>
        <v>64.018004408947931</v>
      </c>
      <c r="S19" s="38">
        <f t="shared" si="13"/>
        <v>67.544039959982612</v>
      </c>
      <c r="T19" s="38">
        <f t="shared" si="13"/>
        <v>72.563929456576901</v>
      </c>
      <c r="U19" s="38">
        <f t="shared" si="13"/>
        <v>85.957724843145641</v>
      </c>
      <c r="V19" s="38">
        <f t="shared" si="13"/>
        <v>93.336956158831043</v>
      </c>
    </row>
    <row r="20" spans="1:22" x14ac:dyDescent="0.3">
      <c r="A20" s="17" t="s">
        <v>281</v>
      </c>
      <c r="B20" s="19" t="str">
        <f>B8</f>
        <v>CWC1</v>
      </c>
      <c r="C20" s="19">
        <v>300</v>
      </c>
      <c r="D20" s="15">
        <f>$C20/$C14*D14</f>
        <v>-3782.0203732004793</v>
      </c>
      <c r="E20" s="15">
        <f>$C20/$C14*E14</f>
        <v>7247.4585360201836</v>
      </c>
      <c r="F20" s="18">
        <f t="shared" si="8"/>
        <v>7058.3575173601594</v>
      </c>
      <c r="G20" s="18">
        <f t="shared" si="8"/>
        <v>6869.256498700136</v>
      </c>
      <c r="H20" s="18">
        <f t="shared" si="8"/>
        <v>6680.1554800401118</v>
      </c>
      <c r="I20" s="18">
        <f t="shared" si="8"/>
        <v>6491.0544613800876</v>
      </c>
      <c r="N20" s="22"/>
      <c r="O20" s="22"/>
      <c r="P20" s="22"/>
      <c r="Q20" s="38">
        <f t="shared" si="13"/>
        <v>55.954590398815533</v>
      </c>
      <c r="R20" s="38">
        <f t="shared" si="13"/>
        <v>60.992716772808372</v>
      </c>
      <c r="S20" s="38">
        <f t="shared" si="13"/>
        <v>63.957499026347385</v>
      </c>
      <c r="T20" s="38">
        <f t="shared" si="13"/>
        <v>68.183826024329349</v>
      </c>
      <c r="U20" s="38">
        <f t="shared" si="13"/>
        <v>79.389157195566114</v>
      </c>
      <c r="V20" s="38">
        <f t="shared" si="13"/>
        <v>85.314913876563125</v>
      </c>
    </row>
    <row r="21" spans="1:22" x14ac:dyDescent="0.3">
      <c r="A21" s="17" t="s">
        <v>281</v>
      </c>
      <c r="B21" s="19" t="str">
        <f t="shared" si="6"/>
        <v>CWC2</v>
      </c>
      <c r="C21" s="19">
        <v>300</v>
      </c>
      <c r="D21" s="15">
        <f t="shared" ref="D21:E21" si="16">$C21/$C15*D15</f>
        <v>-2612.4017778836005</v>
      </c>
      <c r="E21" s="15">
        <f t="shared" si="16"/>
        <v>8021.7350511450659</v>
      </c>
      <c r="F21" s="18">
        <f t="shared" si="8"/>
        <v>7891.1149622508856</v>
      </c>
      <c r="G21" s="18">
        <f t="shared" si="8"/>
        <v>7760.4948733567062</v>
      </c>
      <c r="H21" s="18">
        <f t="shared" si="8"/>
        <v>7629.8747844625259</v>
      </c>
      <c r="I21" s="18">
        <f t="shared" si="8"/>
        <v>7499.2546955683456</v>
      </c>
    </row>
    <row r="22" spans="1:22" x14ac:dyDescent="0.3">
      <c r="A22" s="17" t="s">
        <v>281</v>
      </c>
      <c r="B22" s="19" t="str">
        <f t="shared" si="6"/>
        <v>CWC3</v>
      </c>
      <c r="C22" s="19">
        <v>300</v>
      </c>
      <c r="D22" s="15">
        <f t="shared" ref="D22:E22" si="17">$C22/$C16*D16</f>
        <v>-3074.9959338693743</v>
      </c>
      <c r="E22" s="15">
        <f t="shared" si="17"/>
        <v>8694.4235444275037</v>
      </c>
      <c r="F22" s="18">
        <f t="shared" si="8"/>
        <v>8540.6737477340357</v>
      </c>
      <c r="G22" s="18">
        <f t="shared" si="8"/>
        <v>8386.923951040566</v>
      </c>
      <c r="H22" s="18">
        <f t="shared" si="8"/>
        <v>8233.174154347098</v>
      </c>
      <c r="I22" s="18">
        <f t="shared" si="8"/>
        <v>8079.4243576536282</v>
      </c>
    </row>
    <row r="23" spans="1:22" x14ac:dyDescent="0.3">
      <c r="A23" s="17" t="s">
        <v>281</v>
      </c>
      <c r="B23" s="19" t="str">
        <f t="shared" si="6"/>
        <v>CWC4</v>
      </c>
      <c r="C23" s="19">
        <v>300</v>
      </c>
      <c r="D23" s="15">
        <f t="shared" ref="D23:E23" si="18">$C23/$C17*D17</f>
        <v>-3739.1899102490866</v>
      </c>
      <c r="E23" s="15">
        <f t="shared" si="18"/>
        <v>9495.595904299993</v>
      </c>
      <c r="F23" s="18">
        <f t="shared" si="8"/>
        <v>9308.636408787539</v>
      </c>
      <c r="G23" s="18">
        <f t="shared" si="8"/>
        <v>9121.6769132750851</v>
      </c>
      <c r="H23" s="18">
        <f t="shared" si="8"/>
        <v>8934.7174177626293</v>
      </c>
      <c r="I23" s="18">
        <f t="shared" si="8"/>
        <v>8747.7579222501754</v>
      </c>
    </row>
    <row r="24" spans="1:22" x14ac:dyDescent="0.3">
      <c r="A24" s="17" t="s">
        <v>281</v>
      </c>
      <c r="B24" s="19" t="str">
        <f t="shared" si="6"/>
        <v>CWC5</v>
      </c>
      <c r="C24" s="19">
        <v>300</v>
      </c>
      <c r="D24" s="15">
        <f t="shared" ref="D24:E24" si="19">$C24/$C18*D18</f>
        <v>-6311.5156611633538</v>
      </c>
      <c r="E24" s="15">
        <f t="shared" si="19"/>
        <v>11578.377494144534</v>
      </c>
      <c r="F24" s="18">
        <f t="shared" si="8"/>
        <v>11262.801711086366</v>
      </c>
      <c r="G24" s="18">
        <f t="shared" si="8"/>
        <v>10947.225928028198</v>
      </c>
      <c r="H24" s="18">
        <f t="shared" si="8"/>
        <v>10631.65014497003</v>
      </c>
      <c r="I24" s="18">
        <f t="shared" si="8"/>
        <v>10316.074361911862</v>
      </c>
    </row>
    <row r="25" spans="1:22" x14ac:dyDescent="0.3">
      <c r="A25" s="17" t="s">
        <v>281</v>
      </c>
      <c r="B25" s="19" t="str">
        <f t="shared" si="6"/>
        <v>CWC6</v>
      </c>
      <c r="C25" s="19">
        <v>300</v>
      </c>
      <c r="D25" s="15">
        <f t="shared" ref="D25:E25" si="20">$C25/$C19*D19</f>
        <v>-7235.9860754974434</v>
      </c>
      <c r="E25" s="15">
        <f t="shared" si="20"/>
        <v>12640.999427319079</v>
      </c>
      <c r="F25" s="18">
        <f t="shared" si="8"/>
        <v>12279.200123544206</v>
      </c>
      <c r="G25" s="18">
        <f t="shared" si="8"/>
        <v>11917.400819769335</v>
      </c>
      <c r="H25" s="18">
        <f t="shared" si="8"/>
        <v>11555.601515994462</v>
      </c>
      <c r="I25" s="18">
        <f t="shared" si="8"/>
        <v>11193.802212219591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4D92A-6996-4221-BCA6-9F7B1FEA98B2}">
  <dimension ref="A1:E41"/>
  <sheetViews>
    <sheetView workbookViewId="0">
      <selection activeCell="B2" sqref="B2:E35"/>
    </sheetView>
  </sheetViews>
  <sheetFormatPr defaultRowHeight="14.4" x14ac:dyDescent="0.3"/>
  <sheetData>
    <row r="1" spans="1:5" x14ac:dyDescent="0.3">
      <c r="A1" t="s">
        <v>272</v>
      </c>
      <c r="B1" t="s">
        <v>273</v>
      </c>
      <c r="C1" t="s">
        <v>274</v>
      </c>
      <c r="D1" t="s">
        <v>312</v>
      </c>
      <c r="E1" t="s">
        <v>275</v>
      </c>
    </row>
    <row r="2" spans="1:5" x14ac:dyDescent="0.3">
      <c r="A2">
        <v>2017</v>
      </c>
      <c r="B2" s="1">
        <v>6.5000000000000002E-2</v>
      </c>
      <c r="C2" s="1">
        <v>534</v>
      </c>
      <c r="D2" s="1">
        <v>8887</v>
      </c>
      <c r="E2" s="1">
        <v>2478</v>
      </c>
    </row>
    <row r="3" spans="1:5" x14ac:dyDescent="0.3">
      <c r="A3" s="10">
        <v>2018</v>
      </c>
      <c r="B3" s="1">
        <v>6.5000000000000002E-2</v>
      </c>
      <c r="C3" s="1">
        <v>534</v>
      </c>
      <c r="D3" s="1">
        <v>8887</v>
      </c>
      <c r="E3" s="1">
        <v>2478</v>
      </c>
    </row>
    <row r="4" spans="1:5" x14ac:dyDescent="0.3">
      <c r="A4" s="10">
        <v>2019</v>
      </c>
      <c r="B4" s="1">
        <v>6.5000000000000002E-2</v>
      </c>
      <c r="C4" s="1">
        <v>534</v>
      </c>
      <c r="D4" s="1">
        <v>8887</v>
      </c>
      <c r="E4" s="1">
        <v>2478</v>
      </c>
    </row>
    <row r="5" spans="1:5" x14ac:dyDescent="0.3">
      <c r="A5" s="10">
        <v>2020</v>
      </c>
      <c r="B5" s="1">
        <v>6.5000000000000002E-2</v>
      </c>
      <c r="C5" s="1">
        <v>534</v>
      </c>
      <c r="D5" s="1">
        <v>8887</v>
      </c>
      <c r="E5" s="1">
        <v>2478</v>
      </c>
    </row>
    <row r="6" spans="1:5" x14ac:dyDescent="0.3">
      <c r="A6" s="10">
        <v>2021</v>
      </c>
      <c r="B6" s="1">
        <v>6.5000000000000002E-2</v>
      </c>
      <c r="C6" s="1">
        <v>534</v>
      </c>
      <c r="D6" s="1">
        <v>8887</v>
      </c>
      <c r="E6" s="1">
        <v>2478</v>
      </c>
    </row>
    <row r="7" spans="1:5" x14ac:dyDescent="0.3">
      <c r="A7" s="10">
        <v>2022</v>
      </c>
      <c r="B7" s="1">
        <v>6.5000000000000002E-2</v>
      </c>
      <c r="C7" s="1">
        <v>534</v>
      </c>
      <c r="D7" s="1">
        <v>8887</v>
      </c>
      <c r="E7" s="1">
        <v>2478</v>
      </c>
    </row>
    <row r="8" spans="1:5" x14ac:dyDescent="0.3">
      <c r="A8" s="10">
        <v>2023</v>
      </c>
      <c r="B8" s="1">
        <v>6.5000000000000002E-2</v>
      </c>
      <c r="C8" s="1">
        <v>534</v>
      </c>
      <c r="D8" s="1">
        <v>8887</v>
      </c>
      <c r="E8" s="1">
        <v>2478</v>
      </c>
    </row>
    <row r="9" spans="1:5" x14ac:dyDescent="0.3">
      <c r="A9" s="10">
        <v>2024</v>
      </c>
      <c r="B9" s="1">
        <v>6.5000000000000002E-2</v>
      </c>
      <c r="C9" s="1">
        <v>534</v>
      </c>
      <c r="D9" s="1">
        <v>8887</v>
      </c>
      <c r="E9" s="1">
        <v>2478</v>
      </c>
    </row>
    <row r="10" spans="1:5" x14ac:dyDescent="0.3">
      <c r="A10" s="10">
        <v>2025</v>
      </c>
      <c r="B10" s="1">
        <v>6.5000000000000002E-2</v>
      </c>
      <c r="C10" s="1">
        <v>534</v>
      </c>
      <c r="D10" s="1">
        <v>8887</v>
      </c>
      <c r="E10" s="1">
        <v>2478</v>
      </c>
    </row>
    <row r="11" spans="1:5" x14ac:dyDescent="0.3">
      <c r="A11" s="10">
        <v>2026</v>
      </c>
      <c r="B11" s="1">
        <v>6.5000000000000002E-2</v>
      </c>
      <c r="C11" s="1">
        <v>534</v>
      </c>
      <c r="D11" s="1">
        <v>8887</v>
      </c>
      <c r="E11" s="1">
        <v>2478</v>
      </c>
    </row>
    <row r="12" spans="1:5" x14ac:dyDescent="0.3">
      <c r="A12" s="10">
        <v>2027</v>
      </c>
      <c r="B12" s="1">
        <v>6.5000000000000002E-2</v>
      </c>
      <c r="C12" s="1">
        <v>534</v>
      </c>
      <c r="D12" s="1">
        <v>8887</v>
      </c>
      <c r="E12" s="1">
        <v>2478</v>
      </c>
    </row>
    <row r="13" spans="1:5" x14ac:dyDescent="0.3">
      <c r="A13" s="10">
        <v>2028</v>
      </c>
      <c r="B13" s="1">
        <v>6.5000000000000002E-2</v>
      </c>
      <c r="C13" s="1">
        <v>534</v>
      </c>
      <c r="D13" s="1">
        <v>8887</v>
      </c>
      <c r="E13" s="1">
        <v>2478</v>
      </c>
    </row>
    <row r="14" spans="1:5" x14ac:dyDescent="0.3">
      <c r="A14" s="10">
        <v>2029</v>
      </c>
      <c r="B14" s="1">
        <v>6.5000000000000002E-2</v>
      </c>
      <c r="C14" s="1">
        <v>534</v>
      </c>
      <c r="D14" s="1">
        <v>8887</v>
      </c>
      <c r="E14" s="1">
        <v>2478</v>
      </c>
    </row>
    <row r="15" spans="1:5" x14ac:dyDescent="0.3">
      <c r="A15" s="10">
        <v>2030</v>
      </c>
      <c r="B15" s="1">
        <v>6.5000000000000002E-2</v>
      </c>
      <c r="C15" s="1">
        <v>534</v>
      </c>
      <c r="D15" s="1">
        <v>8887</v>
      </c>
      <c r="E15" s="1">
        <v>2478</v>
      </c>
    </row>
    <row r="16" spans="1:5" x14ac:dyDescent="0.3">
      <c r="A16" s="10">
        <v>2031</v>
      </c>
      <c r="B16" s="1">
        <v>6.5000000000000002E-2</v>
      </c>
      <c r="C16" s="1">
        <v>534</v>
      </c>
      <c r="D16" s="1">
        <v>8887</v>
      </c>
      <c r="E16" s="1">
        <v>2478</v>
      </c>
    </row>
    <row r="17" spans="1:5" x14ac:dyDescent="0.3">
      <c r="A17" s="10">
        <v>2032</v>
      </c>
      <c r="B17" s="1">
        <v>6.5000000000000002E-2</v>
      </c>
      <c r="C17" s="1">
        <v>534</v>
      </c>
      <c r="D17" s="1">
        <v>8887</v>
      </c>
      <c r="E17" s="1">
        <v>2478</v>
      </c>
    </row>
    <row r="18" spans="1:5" x14ac:dyDescent="0.3">
      <c r="A18" s="10">
        <v>2033</v>
      </c>
      <c r="B18" s="1">
        <v>6.5000000000000002E-2</v>
      </c>
      <c r="C18" s="1">
        <v>534</v>
      </c>
      <c r="D18" s="1">
        <v>8887</v>
      </c>
      <c r="E18" s="1">
        <v>2478</v>
      </c>
    </row>
    <row r="19" spans="1:5" x14ac:dyDescent="0.3">
      <c r="A19" s="10">
        <v>2034</v>
      </c>
      <c r="B19" s="1">
        <v>6.5000000000000002E-2</v>
      </c>
      <c r="C19" s="1">
        <v>534</v>
      </c>
      <c r="D19" s="1">
        <v>8887</v>
      </c>
      <c r="E19" s="1">
        <v>2478</v>
      </c>
    </row>
    <row r="20" spans="1:5" x14ac:dyDescent="0.3">
      <c r="A20" s="10">
        <v>2035</v>
      </c>
      <c r="B20" s="1">
        <v>6.5000000000000002E-2</v>
      </c>
      <c r="C20" s="1">
        <v>534</v>
      </c>
      <c r="D20" s="1">
        <v>8887</v>
      </c>
      <c r="E20" s="1">
        <v>2478</v>
      </c>
    </row>
    <row r="21" spans="1:5" x14ac:dyDescent="0.3">
      <c r="A21" s="10">
        <v>2036</v>
      </c>
      <c r="B21" s="1">
        <v>6.5000000000000002E-2</v>
      </c>
      <c r="C21" s="1">
        <v>534</v>
      </c>
      <c r="D21" s="1">
        <v>8887</v>
      </c>
      <c r="E21" s="1">
        <v>2478</v>
      </c>
    </row>
    <row r="22" spans="1:5" x14ac:dyDescent="0.3">
      <c r="A22" s="10">
        <v>2037</v>
      </c>
      <c r="B22" s="1">
        <v>6.5000000000000002E-2</v>
      </c>
      <c r="C22" s="1">
        <v>534</v>
      </c>
      <c r="D22" s="1">
        <v>8887</v>
      </c>
      <c r="E22" s="1">
        <v>2478</v>
      </c>
    </row>
    <row r="23" spans="1:5" x14ac:dyDescent="0.3">
      <c r="A23" s="10">
        <v>2038</v>
      </c>
      <c r="B23" s="1">
        <v>6.5000000000000002E-2</v>
      </c>
      <c r="C23" s="1">
        <v>534</v>
      </c>
      <c r="D23" s="1">
        <v>8887</v>
      </c>
      <c r="E23" s="1">
        <v>2478</v>
      </c>
    </row>
    <row r="24" spans="1:5" x14ac:dyDescent="0.3">
      <c r="A24" s="10">
        <v>2039</v>
      </c>
      <c r="B24" s="1">
        <v>6.5000000000000002E-2</v>
      </c>
      <c r="C24" s="1">
        <v>534</v>
      </c>
      <c r="D24" s="1">
        <v>8887</v>
      </c>
      <c r="E24" s="1">
        <v>2478</v>
      </c>
    </row>
    <row r="25" spans="1:5" x14ac:dyDescent="0.3">
      <c r="A25" s="10">
        <v>2040</v>
      </c>
      <c r="B25" s="1">
        <v>6.5000000000000002E-2</v>
      </c>
      <c r="C25" s="1">
        <v>534</v>
      </c>
      <c r="D25" s="1">
        <v>8887</v>
      </c>
      <c r="E25" s="1">
        <v>2478</v>
      </c>
    </row>
    <row r="26" spans="1:5" x14ac:dyDescent="0.3">
      <c r="A26" s="10">
        <v>2041</v>
      </c>
      <c r="B26" s="1">
        <v>6.5000000000000002E-2</v>
      </c>
      <c r="C26" s="1">
        <v>534</v>
      </c>
      <c r="D26" s="1">
        <v>8887</v>
      </c>
      <c r="E26" s="1">
        <v>2478</v>
      </c>
    </row>
    <row r="27" spans="1:5" x14ac:dyDescent="0.3">
      <c r="A27" s="10">
        <v>2042</v>
      </c>
      <c r="B27" s="1">
        <v>6.5000000000000002E-2</v>
      </c>
      <c r="C27" s="1">
        <v>534</v>
      </c>
      <c r="D27" s="1">
        <v>8887</v>
      </c>
      <c r="E27" s="1">
        <v>2478</v>
      </c>
    </row>
    <row r="28" spans="1:5" x14ac:dyDescent="0.3">
      <c r="A28" s="10">
        <v>2043</v>
      </c>
      <c r="B28" s="1">
        <v>6.5000000000000002E-2</v>
      </c>
      <c r="C28" s="1">
        <v>534</v>
      </c>
      <c r="D28" s="1">
        <v>8887</v>
      </c>
      <c r="E28" s="1">
        <v>2478</v>
      </c>
    </row>
    <row r="29" spans="1:5" x14ac:dyDescent="0.3">
      <c r="A29" s="10">
        <v>2044</v>
      </c>
      <c r="B29" s="1">
        <v>6.5000000000000002E-2</v>
      </c>
      <c r="C29" s="1">
        <v>534</v>
      </c>
      <c r="D29" s="1">
        <v>8887</v>
      </c>
      <c r="E29" s="1">
        <v>2478</v>
      </c>
    </row>
    <row r="30" spans="1:5" x14ac:dyDescent="0.3">
      <c r="A30" s="10">
        <v>2045</v>
      </c>
      <c r="B30" s="1">
        <v>6.5000000000000002E-2</v>
      </c>
      <c r="C30" s="1">
        <v>534</v>
      </c>
      <c r="D30" s="1">
        <v>8887</v>
      </c>
      <c r="E30" s="1">
        <v>2478</v>
      </c>
    </row>
    <row r="31" spans="1:5" x14ac:dyDescent="0.3">
      <c r="A31" s="10">
        <v>2046</v>
      </c>
      <c r="B31" s="1">
        <v>6.5000000000000002E-2</v>
      </c>
      <c r="C31" s="1">
        <v>534</v>
      </c>
      <c r="D31" s="1">
        <v>8887</v>
      </c>
      <c r="E31" s="1">
        <v>2478</v>
      </c>
    </row>
    <row r="32" spans="1:5" x14ac:dyDescent="0.3">
      <c r="A32" s="10">
        <v>2047</v>
      </c>
      <c r="B32" s="1">
        <v>6.5000000000000002E-2</v>
      </c>
      <c r="C32" s="1">
        <v>534</v>
      </c>
      <c r="D32" s="1">
        <v>8887</v>
      </c>
      <c r="E32" s="1">
        <v>2478</v>
      </c>
    </row>
    <row r="33" spans="1:5" x14ac:dyDescent="0.3">
      <c r="A33" s="10">
        <v>2048</v>
      </c>
      <c r="B33" s="1">
        <v>6.5000000000000002E-2</v>
      </c>
      <c r="C33" s="1">
        <v>534</v>
      </c>
      <c r="D33" s="1">
        <v>8887</v>
      </c>
      <c r="E33" s="1">
        <v>2478</v>
      </c>
    </row>
    <row r="34" spans="1:5" x14ac:dyDescent="0.3">
      <c r="A34" s="10">
        <v>2049</v>
      </c>
      <c r="B34" s="1">
        <v>6.5000000000000002E-2</v>
      </c>
      <c r="C34" s="1">
        <v>534</v>
      </c>
      <c r="D34" s="1">
        <v>8887</v>
      </c>
      <c r="E34" s="1">
        <v>2478</v>
      </c>
    </row>
    <row r="35" spans="1:5" x14ac:dyDescent="0.3">
      <c r="A35" s="10">
        <v>2050</v>
      </c>
      <c r="B35" s="1">
        <v>6.5000000000000002E-2</v>
      </c>
      <c r="C35" s="1">
        <v>534</v>
      </c>
      <c r="D35" s="1">
        <v>8887</v>
      </c>
      <c r="E35" s="1">
        <v>2478</v>
      </c>
    </row>
    <row r="36" spans="1:5" x14ac:dyDescent="0.3">
      <c r="A36" s="10"/>
    </row>
    <row r="37" spans="1:5" x14ac:dyDescent="0.3">
      <c r="A37" s="10"/>
    </row>
    <row r="38" spans="1:5" x14ac:dyDescent="0.3">
      <c r="A38" s="10"/>
    </row>
    <row r="39" spans="1:5" x14ac:dyDescent="0.3">
      <c r="A39" s="10"/>
    </row>
    <row r="40" spans="1:5" x14ac:dyDescent="0.3">
      <c r="A40" s="10"/>
    </row>
    <row r="41" spans="1:5" x14ac:dyDescent="0.3">
      <c r="A41" s="1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34BFD-9265-45F1-BE2F-2D62A03D848B}">
  <dimension ref="A1:M32"/>
  <sheetViews>
    <sheetView workbookViewId="0"/>
  </sheetViews>
  <sheetFormatPr defaultRowHeight="14.4" x14ac:dyDescent="0.3"/>
  <cols>
    <col min="2" max="3" width="8.88671875" style="37"/>
  </cols>
  <sheetData>
    <row r="1" spans="1:13" s="32" customFormat="1" x14ac:dyDescent="0.3">
      <c r="A1" s="44" t="s">
        <v>337</v>
      </c>
      <c r="B1" s="37" t="s">
        <v>307</v>
      </c>
      <c r="C1" s="37" t="s">
        <v>308</v>
      </c>
      <c r="D1" s="32" t="s">
        <v>296</v>
      </c>
      <c r="E1" s="32" t="s">
        <v>297</v>
      </c>
      <c r="F1" s="32" t="s">
        <v>298</v>
      </c>
      <c r="G1" s="32" t="s">
        <v>299</v>
      </c>
      <c r="H1" s="34" t="s">
        <v>300</v>
      </c>
      <c r="I1" s="34" t="s">
        <v>301</v>
      </c>
      <c r="J1" s="34" t="s">
        <v>302</v>
      </c>
      <c r="K1" s="34" t="s">
        <v>303</v>
      </c>
      <c r="L1" s="32" t="s">
        <v>309</v>
      </c>
      <c r="M1" s="32" t="s">
        <v>310</v>
      </c>
    </row>
    <row r="2" spans="1:13" x14ac:dyDescent="0.3">
      <c r="A2" s="30">
        <v>2020</v>
      </c>
      <c r="B2" s="30">
        <v>41</v>
      </c>
      <c r="C2" s="30">
        <v>56</v>
      </c>
      <c r="D2" s="31">
        <v>166</v>
      </c>
      <c r="E2" s="31">
        <v>226</v>
      </c>
      <c r="F2" s="35">
        <v>4.01</v>
      </c>
      <c r="G2" s="31">
        <v>1.9</v>
      </c>
      <c r="H2" s="31">
        <v>212</v>
      </c>
      <c r="I2" s="36">
        <v>337</v>
      </c>
      <c r="J2" s="36">
        <v>4.57</v>
      </c>
      <c r="K2" s="36">
        <v>24.6</v>
      </c>
      <c r="L2" s="30">
        <v>41</v>
      </c>
      <c r="M2">
        <v>68.3</v>
      </c>
    </row>
    <row r="3" spans="1:13" x14ac:dyDescent="0.3">
      <c r="A3" s="30">
        <v>2021</v>
      </c>
      <c r="B3" s="30">
        <v>41</v>
      </c>
      <c r="C3" s="30">
        <v>56</v>
      </c>
      <c r="D3" s="33">
        <v>161.80000000000001</v>
      </c>
      <c r="E3" s="33">
        <v>220.9</v>
      </c>
      <c r="F3" s="39">
        <v>3.94</v>
      </c>
      <c r="G3" s="33">
        <v>0.3</v>
      </c>
      <c r="H3" s="33">
        <v>206.6</v>
      </c>
      <c r="I3" s="36">
        <v>329.7</v>
      </c>
      <c r="J3" s="36">
        <v>4.51</v>
      </c>
      <c r="K3" s="36">
        <v>21.7</v>
      </c>
      <c r="L3" s="30">
        <v>41</v>
      </c>
      <c r="M3" s="37">
        <v>68.3</v>
      </c>
    </row>
    <row r="4" spans="1:13" x14ac:dyDescent="0.3">
      <c r="A4" s="30">
        <v>2022</v>
      </c>
      <c r="B4" s="30">
        <v>41</v>
      </c>
      <c r="C4" s="30">
        <v>56</v>
      </c>
      <c r="D4" s="33">
        <v>159.1</v>
      </c>
      <c r="E4" s="33">
        <v>217.3</v>
      </c>
      <c r="F4" s="39">
        <v>3.88</v>
      </c>
      <c r="G4" s="33">
        <v>0</v>
      </c>
      <c r="H4" s="33">
        <v>203.1</v>
      </c>
      <c r="I4" s="36">
        <v>324.39999999999998</v>
      </c>
      <c r="J4" s="36">
        <v>4.4400000000000004</v>
      </c>
      <c r="K4" s="36">
        <v>20.9</v>
      </c>
      <c r="L4" s="30">
        <v>41</v>
      </c>
      <c r="M4" s="37">
        <v>68.3</v>
      </c>
    </row>
    <row r="5" spans="1:13" x14ac:dyDescent="0.3">
      <c r="A5" s="30">
        <v>2023</v>
      </c>
      <c r="B5" s="30">
        <v>41</v>
      </c>
      <c r="C5" s="30">
        <v>56</v>
      </c>
      <c r="D5" s="33">
        <v>156.4</v>
      </c>
      <c r="E5" s="33">
        <v>213.8</v>
      </c>
      <c r="F5" s="39">
        <v>3.83</v>
      </c>
      <c r="G5" s="33">
        <v>-0.5</v>
      </c>
      <c r="H5" s="33">
        <v>199.7</v>
      </c>
      <c r="I5" s="36">
        <v>319.2</v>
      </c>
      <c r="J5" s="36">
        <v>4.38</v>
      </c>
      <c r="K5" s="36">
        <v>20.2</v>
      </c>
      <c r="L5" s="30">
        <v>41</v>
      </c>
      <c r="M5" s="37">
        <v>68.3</v>
      </c>
    </row>
    <row r="6" spans="1:13" x14ac:dyDescent="0.3">
      <c r="A6" s="30">
        <v>2024</v>
      </c>
      <c r="B6" s="30">
        <v>41</v>
      </c>
      <c r="C6" s="30">
        <v>56</v>
      </c>
      <c r="D6" s="33">
        <v>153.80000000000001</v>
      </c>
      <c r="E6" s="33">
        <v>210.3</v>
      </c>
      <c r="F6" s="39">
        <v>3.77</v>
      </c>
      <c r="G6" s="33">
        <v>-0.6</v>
      </c>
      <c r="H6" s="33">
        <v>196.3</v>
      </c>
      <c r="I6" s="36">
        <v>314</v>
      </c>
      <c r="J6" s="36">
        <v>4.3099999999999996</v>
      </c>
      <c r="K6" s="36">
        <v>19.5</v>
      </c>
      <c r="L6" s="30">
        <v>41</v>
      </c>
      <c r="M6" s="37">
        <v>68.3</v>
      </c>
    </row>
    <row r="7" spans="1:13" x14ac:dyDescent="0.3">
      <c r="A7" s="30">
        <v>2025</v>
      </c>
      <c r="B7" s="30">
        <v>41</v>
      </c>
      <c r="C7" s="30">
        <v>56</v>
      </c>
      <c r="D7" s="33">
        <v>151.19999999999999</v>
      </c>
      <c r="E7" s="33">
        <v>206.9</v>
      </c>
      <c r="F7" s="39">
        <v>3.71</v>
      </c>
      <c r="G7" s="33">
        <v>-1</v>
      </c>
      <c r="H7" s="33">
        <v>193</v>
      </c>
      <c r="I7" s="36">
        <v>308.89999999999998</v>
      </c>
      <c r="J7" s="36">
        <v>4.25</v>
      </c>
      <c r="K7" s="36">
        <v>18.899999999999999</v>
      </c>
      <c r="L7" s="30">
        <v>41</v>
      </c>
      <c r="M7" s="37">
        <v>68.3</v>
      </c>
    </row>
    <row r="8" spans="1:13" x14ac:dyDescent="0.3">
      <c r="A8" s="30">
        <v>2026</v>
      </c>
      <c r="B8" s="30">
        <v>41</v>
      </c>
      <c r="C8" s="30">
        <v>56</v>
      </c>
      <c r="D8" s="33">
        <v>148.69999999999999</v>
      </c>
      <c r="E8" s="33">
        <v>203.5</v>
      </c>
      <c r="F8" s="39">
        <v>3.65</v>
      </c>
      <c r="G8" s="33">
        <v>-1.1000000000000001</v>
      </c>
      <c r="H8" s="33">
        <v>189.7</v>
      </c>
      <c r="I8" s="36">
        <v>303.89999999999998</v>
      </c>
      <c r="J8" s="36">
        <v>4.18</v>
      </c>
      <c r="K8" s="36">
        <v>18.2</v>
      </c>
      <c r="L8" s="30">
        <v>41</v>
      </c>
      <c r="M8" s="37">
        <v>68.3</v>
      </c>
    </row>
    <row r="9" spans="1:13" x14ac:dyDescent="0.3">
      <c r="A9" s="30">
        <v>2027</v>
      </c>
      <c r="B9" s="30">
        <v>41</v>
      </c>
      <c r="C9" s="30">
        <v>56</v>
      </c>
      <c r="D9" s="33">
        <v>148.69999999999999</v>
      </c>
      <c r="E9" s="33">
        <v>203.5</v>
      </c>
      <c r="F9" s="39">
        <v>3.65</v>
      </c>
      <c r="G9" s="33">
        <v>-1.1000000000000001</v>
      </c>
      <c r="H9" s="33">
        <v>189.7</v>
      </c>
      <c r="I9" s="36">
        <v>303.89999999999998</v>
      </c>
      <c r="J9" s="36">
        <v>4.18</v>
      </c>
      <c r="K9" s="36">
        <v>18.2</v>
      </c>
      <c r="L9" s="30">
        <v>41</v>
      </c>
      <c r="M9" s="37">
        <v>68.3</v>
      </c>
    </row>
    <row r="10" spans="1:13" x14ac:dyDescent="0.3">
      <c r="A10" s="30">
        <v>2028</v>
      </c>
      <c r="B10" s="30">
        <v>41</v>
      </c>
      <c r="C10" s="30">
        <v>56</v>
      </c>
      <c r="D10" s="33">
        <v>148.69999999999999</v>
      </c>
      <c r="E10" s="33">
        <v>203.5</v>
      </c>
      <c r="F10" s="39">
        <v>3.65</v>
      </c>
      <c r="G10" s="33">
        <v>-1.1000000000000001</v>
      </c>
      <c r="H10" s="33">
        <v>189.7</v>
      </c>
      <c r="I10" s="36">
        <v>303.89999999999998</v>
      </c>
      <c r="J10" s="36">
        <v>4.18</v>
      </c>
      <c r="K10" s="36">
        <v>18.2</v>
      </c>
      <c r="L10" s="30">
        <v>41</v>
      </c>
      <c r="M10" s="37">
        <v>68.3</v>
      </c>
    </row>
    <row r="11" spans="1:13" x14ac:dyDescent="0.3">
      <c r="A11" s="30">
        <v>2029</v>
      </c>
      <c r="B11" s="30">
        <v>41</v>
      </c>
      <c r="C11" s="30">
        <v>56</v>
      </c>
      <c r="D11" s="33">
        <v>148.69999999999999</v>
      </c>
      <c r="E11" s="33">
        <v>203.5</v>
      </c>
      <c r="F11" s="39">
        <v>3.65</v>
      </c>
      <c r="G11" s="33">
        <v>-1.1000000000000001</v>
      </c>
      <c r="H11" s="33">
        <v>189.7</v>
      </c>
      <c r="I11" s="36">
        <v>303.89999999999998</v>
      </c>
      <c r="J11" s="36">
        <v>4.18</v>
      </c>
      <c r="K11" s="36">
        <v>18.2</v>
      </c>
      <c r="L11" s="30">
        <v>41</v>
      </c>
      <c r="M11" s="37">
        <v>68.3</v>
      </c>
    </row>
    <row r="12" spans="1:13" x14ac:dyDescent="0.3">
      <c r="A12" s="30">
        <v>2030</v>
      </c>
      <c r="B12" s="30">
        <v>41</v>
      </c>
      <c r="C12" s="30">
        <v>56</v>
      </c>
      <c r="D12" s="33">
        <v>148.69999999999999</v>
      </c>
      <c r="E12" s="33">
        <v>203.5</v>
      </c>
      <c r="F12" s="39">
        <v>3.65</v>
      </c>
      <c r="G12" s="33">
        <v>-1.1000000000000001</v>
      </c>
      <c r="H12" s="33">
        <v>189.7</v>
      </c>
      <c r="I12" s="36">
        <v>303.89999999999998</v>
      </c>
      <c r="J12" s="36">
        <v>4.18</v>
      </c>
      <c r="K12" s="36">
        <v>18.2</v>
      </c>
      <c r="L12" s="30">
        <v>41</v>
      </c>
      <c r="M12" s="37">
        <v>68.3</v>
      </c>
    </row>
    <row r="13" spans="1:13" x14ac:dyDescent="0.3">
      <c r="A13" s="30">
        <v>2031</v>
      </c>
      <c r="B13" s="30">
        <v>41</v>
      </c>
      <c r="C13" s="30">
        <v>56</v>
      </c>
      <c r="D13" s="33">
        <v>148.69999999999999</v>
      </c>
      <c r="E13" s="33">
        <v>203.5</v>
      </c>
      <c r="F13" s="39">
        <v>3.65</v>
      </c>
      <c r="G13" s="33">
        <v>-1.1000000000000001</v>
      </c>
      <c r="H13" s="33">
        <v>189.7</v>
      </c>
      <c r="I13" s="36">
        <v>303.89999999999998</v>
      </c>
      <c r="J13" s="36">
        <v>4.18</v>
      </c>
      <c r="K13" s="36">
        <v>18.2</v>
      </c>
      <c r="L13" s="30">
        <v>41</v>
      </c>
      <c r="M13" s="37">
        <v>68.3</v>
      </c>
    </row>
    <row r="14" spans="1:13" x14ac:dyDescent="0.3">
      <c r="A14" s="30">
        <v>2032</v>
      </c>
      <c r="B14" s="30">
        <v>41</v>
      </c>
      <c r="C14" s="30">
        <v>56</v>
      </c>
      <c r="D14" s="33">
        <v>148.69999999999999</v>
      </c>
      <c r="E14" s="33">
        <v>203.5</v>
      </c>
      <c r="F14" s="39">
        <v>3.65</v>
      </c>
      <c r="G14" s="33">
        <v>-1.1000000000000001</v>
      </c>
      <c r="H14" s="33">
        <v>189.7</v>
      </c>
      <c r="I14" s="36">
        <v>303.89999999999998</v>
      </c>
      <c r="J14" s="36">
        <v>4.18</v>
      </c>
      <c r="K14" s="36">
        <v>18.2</v>
      </c>
      <c r="L14" s="30">
        <v>41</v>
      </c>
      <c r="M14" s="37">
        <v>68.3</v>
      </c>
    </row>
    <row r="15" spans="1:13" x14ac:dyDescent="0.3">
      <c r="A15" s="30">
        <v>2033</v>
      </c>
      <c r="B15" s="30">
        <v>41</v>
      </c>
      <c r="C15" s="30">
        <v>56</v>
      </c>
      <c r="D15" s="33">
        <v>148.69999999999999</v>
      </c>
      <c r="E15" s="33">
        <v>203.5</v>
      </c>
      <c r="F15" s="39">
        <v>3.65</v>
      </c>
      <c r="G15" s="33">
        <v>-1.1000000000000001</v>
      </c>
      <c r="H15" s="33">
        <v>189.7</v>
      </c>
      <c r="I15" s="36">
        <v>303.89999999999998</v>
      </c>
      <c r="J15" s="36">
        <v>4.18</v>
      </c>
      <c r="K15" s="36">
        <v>18.2</v>
      </c>
      <c r="L15" s="30">
        <v>41</v>
      </c>
      <c r="M15" s="37">
        <v>68.3</v>
      </c>
    </row>
    <row r="16" spans="1:13" x14ac:dyDescent="0.3">
      <c r="A16" s="30">
        <v>2034</v>
      </c>
      <c r="B16" s="30">
        <v>41</v>
      </c>
      <c r="C16" s="30">
        <v>56</v>
      </c>
      <c r="D16" s="33">
        <v>148.69999999999999</v>
      </c>
      <c r="E16" s="33">
        <v>203.5</v>
      </c>
      <c r="F16" s="39">
        <v>3.65</v>
      </c>
      <c r="G16" s="33">
        <v>-1.1000000000000001</v>
      </c>
      <c r="H16" s="33">
        <v>189.7</v>
      </c>
      <c r="I16" s="36">
        <v>303.89999999999998</v>
      </c>
      <c r="J16" s="36">
        <v>4.18</v>
      </c>
      <c r="K16" s="36">
        <v>18.2</v>
      </c>
      <c r="L16" s="30">
        <v>41</v>
      </c>
      <c r="M16" s="37">
        <v>68.3</v>
      </c>
    </row>
    <row r="17" spans="1:13" x14ac:dyDescent="0.3">
      <c r="A17" s="30">
        <v>2035</v>
      </c>
      <c r="B17" s="30">
        <v>41</v>
      </c>
      <c r="C17" s="30">
        <v>56</v>
      </c>
      <c r="D17" s="33">
        <v>148.69999999999999</v>
      </c>
      <c r="E17" s="33">
        <v>203.5</v>
      </c>
      <c r="F17" s="39">
        <v>3.65</v>
      </c>
      <c r="G17" s="33">
        <v>-1.1000000000000001</v>
      </c>
      <c r="H17" s="33">
        <v>189.7</v>
      </c>
      <c r="I17" s="36">
        <v>303.89999999999998</v>
      </c>
      <c r="J17" s="36">
        <v>4.18</v>
      </c>
      <c r="K17" s="36">
        <v>18.2</v>
      </c>
      <c r="L17" s="30">
        <v>41</v>
      </c>
      <c r="M17" s="37">
        <v>68.3</v>
      </c>
    </row>
    <row r="18" spans="1:13" x14ac:dyDescent="0.3">
      <c r="A18" s="30">
        <v>2036</v>
      </c>
      <c r="B18" s="30">
        <v>41</v>
      </c>
      <c r="C18" s="30">
        <v>56</v>
      </c>
      <c r="D18" s="33">
        <v>148.69999999999999</v>
      </c>
      <c r="E18" s="33">
        <v>203.5</v>
      </c>
      <c r="F18" s="39">
        <v>3.65</v>
      </c>
      <c r="G18" s="33">
        <v>-1.1000000000000001</v>
      </c>
      <c r="H18" s="33">
        <v>189.7</v>
      </c>
      <c r="I18" s="36">
        <v>303.89999999999998</v>
      </c>
      <c r="J18" s="36">
        <v>4.18</v>
      </c>
      <c r="K18" s="36">
        <v>18.2</v>
      </c>
      <c r="L18" s="30">
        <v>41</v>
      </c>
      <c r="M18" s="37">
        <v>68.3</v>
      </c>
    </row>
    <row r="19" spans="1:13" x14ac:dyDescent="0.3">
      <c r="A19" s="30">
        <v>2037</v>
      </c>
      <c r="B19" s="30">
        <v>41</v>
      </c>
      <c r="C19" s="30">
        <v>56</v>
      </c>
      <c r="D19" s="33">
        <v>148.69999999999999</v>
      </c>
      <c r="E19" s="33">
        <v>203.5</v>
      </c>
      <c r="F19" s="39">
        <v>3.65</v>
      </c>
      <c r="G19" s="33">
        <v>-1.1000000000000001</v>
      </c>
      <c r="H19" s="33">
        <v>189.7</v>
      </c>
      <c r="I19" s="36">
        <v>303.89999999999998</v>
      </c>
      <c r="J19" s="36">
        <v>4.18</v>
      </c>
      <c r="K19" s="36">
        <v>18.2</v>
      </c>
      <c r="L19" s="30">
        <v>41</v>
      </c>
      <c r="M19" s="37">
        <v>68.3</v>
      </c>
    </row>
    <row r="20" spans="1:13" x14ac:dyDescent="0.3">
      <c r="A20" s="30">
        <v>2038</v>
      </c>
      <c r="B20" s="30">
        <v>41</v>
      </c>
      <c r="C20" s="30">
        <v>56</v>
      </c>
      <c r="D20" s="33">
        <v>148.69999999999999</v>
      </c>
      <c r="E20" s="33">
        <v>203.5</v>
      </c>
      <c r="F20" s="39">
        <v>3.65</v>
      </c>
      <c r="G20" s="33">
        <v>-1.1000000000000001</v>
      </c>
      <c r="H20" s="33">
        <v>189.7</v>
      </c>
      <c r="I20" s="36">
        <v>303.89999999999998</v>
      </c>
      <c r="J20" s="36">
        <v>4.18</v>
      </c>
      <c r="K20" s="36">
        <v>18.2</v>
      </c>
      <c r="L20" s="30">
        <v>41</v>
      </c>
      <c r="M20" s="37">
        <v>68.3</v>
      </c>
    </row>
    <row r="21" spans="1:13" x14ac:dyDescent="0.3">
      <c r="A21" s="30">
        <v>2039</v>
      </c>
      <c r="B21" s="30">
        <v>41</v>
      </c>
      <c r="C21" s="30">
        <v>56</v>
      </c>
      <c r="D21" s="33">
        <v>148.69999999999999</v>
      </c>
      <c r="E21" s="33">
        <v>203.5</v>
      </c>
      <c r="F21" s="39">
        <v>3.65</v>
      </c>
      <c r="G21" s="33">
        <v>-1.1000000000000001</v>
      </c>
      <c r="H21" s="33">
        <v>189.7</v>
      </c>
      <c r="I21" s="36">
        <v>303.89999999999998</v>
      </c>
      <c r="J21" s="36">
        <v>4.18</v>
      </c>
      <c r="K21" s="36">
        <v>18.2</v>
      </c>
      <c r="L21" s="30">
        <v>41</v>
      </c>
      <c r="M21" s="37">
        <v>68.3</v>
      </c>
    </row>
    <row r="22" spans="1:13" x14ac:dyDescent="0.3">
      <c r="A22" s="30">
        <v>2040</v>
      </c>
      <c r="B22" s="30">
        <v>41</v>
      </c>
      <c r="C22" s="30">
        <v>56</v>
      </c>
      <c r="D22" s="33">
        <v>148.69999999999999</v>
      </c>
      <c r="E22" s="33">
        <v>203.5</v>
      </c>
      <c r="F22" s="39">
        <v>3.65</v>
      </c>
      <c r="G22" s="33">
        <v>-1.1000000000000001</v>
      </c>
      <c r="H22" s="33">
        <v>189.7</v>
      </c>
      <c r="I22" s="36">
        <v>303.89999999999998</v>
      </c>
      <c r="J22" s="36">
        <v>4.18</v>
      </c>
      <c r="K22" s="36">
        <v>18.2</v>
      </c>
      <c r="L22" s="30">
        <v>41</v>
      </c>
      <c r="M22" s="37">
        <v>68.3</v>
      </c>
    </row>
    <row r="23" spans="1:13" x14ac:dyDescent="0.3">
      <c r="A23" s="30">
        <v>2041</v>
      </c>
      <c r="B23" s="30">
        <v>41</v>
      </c>
      <c r="C23" s="30">
        <v>56</v>
      </c>
      <c r="D23" s="33">
        <v>148.69999999999999</v>
      </c>
      <c r="E23" s="33">
        <v>203.5</v>
      </c>
      <c r="F23" s="39">
        <v>3.65</v>
      </c>
      <c r="G23" s="33">
        <v>-1.1000000000000001</v>
      </c>
      <c r="H23" s="33">
        <v>189.7</v>
      </c>
      <c r="I23" s="36">
        <v>303.89999999999998</v>
      </c>
      <c r="J23" s="36">
        <v>4.18</v>
      </c>
      <c r="K23" s="36">
        <v>18.2</v>
      </c>
      <c r="L23" s="30">
        <v>41</v>
      </c>
      <c r="M23" s="37">
        <v>68.3</v>
      </c>
    </row>
    <row r="24" spans="1:13" x14ac:dyDescent="0.3">
      <c r="A24" s="30">
        <v>2042</v>
      </c>
      <c r="B24" s="30">
        <v>41</v>
      </c>
      <c r="C24" s="30">
        <v>56</v>
      </c>
      <c r="D24" s="33">
        <v>148.69999999999999</v>
      </c>
      <c r="E24" s="33">
        <v>203.5</v>
      </c>
      <c r="F24" s="39">
        <v>3.65</v>
      </c>
      <c r="G24" s="33">
        <v>-1.1000000000000001</v>
      </c>
      <c r="H24" s="33">
        <v>189.7</v>
      </c>
      <c r="I24" s="36">
        <v>303.89999999999998</v>
      </c>
      <c r="J24" s="36">
        <v>4.18</v>
      </c>
      <c r="K24" s="36">
        <v>18.2</v>
      </c>
      <c r="L24" s="30">
        <v>41</v>
      </c>
      <c r="M24" s="37">
        <v>68.3</v>
      </c>
    </row>
    <row r="25" spans="1:13" x14ac:dyDescent="0.3">
      <c r="A25" s="30">
        <v>2043</v>
      </c>
      <c r="B25" s="30">
        <v>41</v>
      </c>
      <c r="C25" s="30">
        <v>56</v>
      </c>
      <c r="D25" s="33">
        <v>148.69999999999999</v>
      </c>
      <c r="E25" s="33">
        <v>203.5</v>
      </c>
      <c r="F25" s="39">
        <v>3.65</v>
      </c>
      <c r="G25" s="33">
        <v>-1.1000000000000001</v>
      </c>
      <c r="H25" s="33">
        <v>189.7</v>
      </c>
      <c r="I25" s="36">
        <v>303.89999999999998</v>
      </c>
      <c r="J25" s="36">
        <v>4.18</v>
      </c>
      <c r="K25" s="36">
        <v>18.2</v>
      </c>
      <c r="L25" s="30">
        <v>41</v>
      </c>
      <c r="M25" s="37">
        <v>68.3</v>
      </c>
    </row>
    <row r="26" spans="1:13" x14ac:dyDescent="0.3">
      <c r="A26" s="30">
        <v>2044</v>
      </c>
      <c r="B26" s="30">
        <v>41</v>
      </c>
      <c r="C26" s="30">
        <v>56</v>
      </c>
      <c r="D26" s="33">
        <v>148.69999999999999</v>
      </c>
      <c r="E26" s="33">
        <v>203.5</v>
      </c>
      <c r="F26" s="39">
        <v>3.65</v>
      </c>
      <c r="G26" s="33">
        <v>-1.1000000000000001</v>
      </c>
      <c r="H26" s="33">
        <v>189.7</v>
      </c>
      <c r="I26" s="36">
        <v>303.89999999999998</v>
      </c>
      <c r="J26" s="36">
        <v>4.18</v>
      </c>
      <c r="K26" s="36">
        <v>18.2</v>
      </c>
      <c r="L26" s="30">
        <v>41</v>
      </c>
      <c r="M26" s="37">
        <v>68.3</v>
      </c>
    </row>
    <row r="27" spans="1:13" x14ac:dyDescent="0.3">
      <c r="A27" s="30">
        <v>2045</v>
      </c>
      <c r="B27" s="30">
        <v>41</v>
      </c>
      <c r="C27" s="30">
        <v>56</v>
      </c>
      <c r="D27" s="33">
        <v>148.69999999999999</v>
      </c>
      <c r="E27" s="33">
        <v>203.5</v>
      </c>
      <c r="F27" s="39">
        <v>3.65</v>
      </c>
      <c r="G27" s="33">
        <v>-1.1000000000000001</v>
      </c>
      <c r="H27" s="33">
        <v>189.7</v>
      </c>
      <c r="I27" s="36">
        <v>303.89999999999998</v>
      </c>
      <c r="J27" s="36">
        <v>4.18</v>
      </c>
      <c r="K27" s="36">
        <v>18.2</v>
      </c>
      <c r="L27" s="30">
        <v>41</v>
      </c>
      <c r="M27" s="37">
        <v>68.3</v>
      </c>
    </row>
    <row r="28" spans="1:13" x14ac:dyDescent="0.3">
      <c r="A28" s="30">
        <v>2046</v>
      </c>
      <c r="B28" s="30">
        <v>41</v>
      </c>
      <c r="C28" s="30">
        <v>56</v>
      </c>
      <c r="D28" s="33">
        <v>148.69999999999999</v>
      </c>
      <c r="E28" s="33">
        <v>203.5</v>
      </c>
      <c r="F28" s="39">
        <v>3.65</v>
      </c>
      <c r="G28" s="33">
        <v>-1.1000000000000001</v>
      </c>
      <c r="H28" s="33">
        <v>189.7</v>
      </c>
      <c r="I28" s="36">
        <v>303.89999999999998</v>
      </c>
      <c r="J28" s="36">
        <v>4.18</v>
      </c>
      <c r="K28" s="36">
        <v>18.2</v>
      </c>
      <c r="L28" s="30">
        <v>41</v>
      </c>
      <c r="M28" s="37">
        <v>68.3</v>
      </c>
    </row>
    <row r="29" spans="1:13" x14ac:dyDescent="0.3">
      <c r="A29" s="30">
        <v>2047</v>
      </c>
      <c r="B29" s="30">
        <v>41</v>
      </c>
      <c r="C29" s="30">
        <v>56</v>
      </c>
      <c r="D29" s="33">
        <v>148.69999999999999</v>
      </c>
      <c r="E29" s="33">
        <v>203.5</v>
      </c>
      <c r="F29" s="39">
        <v>3.65</v>
      </c>
      <c r="G29" s="33">
        <v>-1.1000000000000001</v>
      </c>
      <c r="H29" s="33">
        <v>189.7</v>
      </c>
      <c r="I29" s="36">
        <v>303.89999999999998</v>
      </c>
      <c r="J29" s="36">
        <v>4.18</v>
      </c>
      <c r="K29" s="36">
        <v>18.2</v>
      </c>
      <c r="L29" s="30">
        <v>41</v>
      </c>
      <c r="M29" s="37">
        <v>68.3</v>
      </c>
    </row>
    <row r="30" spans="1:13" x14ac:dyDescent="0.3">
      <c r="A30" s="30">
        <v>2048</v>
      </c>
      <c r="B30" s="30">
        <v>41</v>
      </c>
      <c r="C30" s="30">
        <v>56</v>
      </c>
      <c r="D30" s="33">
        <v>148.69999999999999</v>
      </c>
      <c r="E30" s="33">
        <v>203.5</v>
      </c>
      <c r="F30" s="39">
        <v>3.65</v>
      </c>
      <c r="G30" s="33">
        <v>-1.1000000000000001</v>
      </c>
      <c r="H30" s="33">
        <v>189.7</v>
      </c>
      <c r="I30" s="36">
        <v>303.89999999999998</v>
      </c>
      <c r="J30" s="36">
        <v>4.18</v>
      </c>
      <c r="K30" s="36">
        <v>18.2</v>
      </c>
      <c r="L30" s="30">
        <v>41</v>
      </c>
      <c r="M30" s="37">
        <v>68.3</v>
      </c>
    </row>
    <row r="31" spans="1:13" x14ac:dyDescent="0.3">
      <c r="A31" s="30">
        <v>2049</v>
      </c>
      <c r="B31" s="30">
        <v>41</v>
      </c>
      <c r="C31" s="30">
        <v>56</v>
      </c>
      <c r="D31" s="33">
        <v>148.69999999999999</v>
      </c>
      <c r="E31" s="33">
        <v>203.5</v>
      </c>
      <c r="F31" s="39">
        <v>3.65</v>
      </c>
      <c r="G31" s="33">
        <v>-1.1000000000000001</v>
      </c>
      <c r="H31" s="33">
        <v>189.7</v>
      </c>
      <c r="I31" s="36">
        <v>303.89999999999998</v>
      </c>
      <c r="J31" s="36">
        <v>4.18</v>
      </c>
      <c r="K31" s="36">
        <v>18.2</v>
      </c>
      <c r="L31" s="30">
        <v>41</v>
      </c>
      <c r="M31" s="37">
        <v>68.3</v>
      </c>
    </row>
    <row r="32" spans="1:13" x14ac:dyDescent="0.3">
      <c r="A32" s="30">
        <v>2050</v>
      </c>
      <c r="B32" s="30">
        <v>41</v>
      </c>
      <c r="C32" s="30">
        <v>56</v>
      </c>
      <c r="D32" s="33">
        <v>148.69999999999999</v>
      </c>
      <c r="E32" s="33">
        <v>203.5</v>
      </c>
      <c r="F32" s="39">
        <v>3.65</v>
      </c>
      <c r="G32" s="33">
        <v>-1.1000000000000001</v>
      </c>
      <c r="H32" s="33">
        <v>189.7</v>
      </c>
      <c r="I32" s="36">
        <v>303.89999999999998</v>
      </c>
      <c r="J32" s="36">
        <v>4.18</v>
      </c>
      <c r="K32" s="36">
        <v>18.2</v>
      </c>
      <c r="L32" s="30">
        <v>41</v>
      </c>
      <c r="M32" s="37">
        <v>68.3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01427-E0F5-4F9E-AF35-E5B072DEE02C}">
  <dimension ref="A1:B15"/>
  <sheetViews>
    <sheetView workbookViewId="0">
      <selection activeCell="B2" sqref="B2:B15"/>
    </sheetView>
  </sheetViews>
  <sheetFormatPr defaultRowHeight="14.4" x14ac:dyDescent="0.3"/>
  <sheetData>
    <row r="1" spans="1:2" x14ac:dyDescent="0.3">
      <c r="A1" t="s">
        <v>322</v>
      </c>
      <c r="B1" t="s">
        <v>323</v>
      </c>
    </row>
    <row r="2" spans="1:2" x14ac:dyDescent="0.3">
      <c r="A2">
        <v>2006</v>
      </c>
      <c r="B2" s="1">
        <v>90.073999999999998</v>
      </c>
    </row>
    <row r="3" spans="1:2" x14ac:dyDescent="0.3">
      <c r="A3">
        <v>2007</v>
      </c>
      <c r="B3" s="1">
        <v>92.498000000000005</v>
      </c>
    </row>
    <row r="4" spans="1:2" x14ac:dyDescent="0.3">
      <c r="A4">
        <v>2008</v>
      </c>
      <c r="B4" s="1">
        <v>94.263999999999996</v>
      </c>
    </row>
    <row r="5" spans="1:2" x14ac:dyDescent="0.3">
      <c r="A5">
        <v>2009</v>
      </c>
      <c r="B5" s="1">
        <v>94.998999999999995</v>
      </c>
    </row>
    <row r="6" spans="1:2" x14ac:dyDescent="0.3">
      <c r="A6">
        <v>2010</v>
      </c>
      <c r="B6" s="1">
        <v>96.108999999999995</v>
      </c>
    </row>
    <row r="7" spans="1:2" x14ac:dyDescent="0.3">
      <c r="A7">
        <v>2011</v>
      </c>
      <c r="B7" s="1">
        <v>98.111999999999995</v>
      </c>
    </row>
    <row r="8" spans="1:2" x14ac:dyDescent="0.3">
      <c r="A8">
        <v>2012</v>
      </c>
      <c r="B8" s="1">
        <v>100</v>
      </c>
    </row>
    <row r="9" spans="1:2" x14ac:dyDescent="0.3">
      <c r="A9">
        <v>2013</v>
      </c>
      <c r="B9" s="1">
        <v>101.773</v>
      </c>
    </row>
    <row r="10" spans="1:2" x14ac:dyDescent="0.3">
      <c r="A10">
        <v>2014</v>
      </c>
      <c r="B10" s="1">
        <v>103.64700000000001</v>
      </c>
    </row>
    <row r="11" spans="1:2" x14ac:dyDescent="0.3">
      <c r="A11">
        <v>2015</v>
      </c>
      <c r="B11" s="1">
        <v>104.688</v>
      </c>
    </row>
    <row r="12" spans="1:2" x14ac:dyDescent="0.3">
      <c r="A12">
        <v>2016</v>
      </c>
      <c r="B12" s="1">
        <v>105.77</v>
      </c>
    </row>
    <row r="13" spans="1:2" x14ac:dyDescent="0.3">
      <c r="A13">
        <v>2017</v>
      </c>
      <c r="B13" s="1">
        <v>107.795</v>
      </c>
    </row>
    <row r="14" spans="1:2" x14ac:dyDescent="0.3">
      <c r="A14">
        <v>2018</v>
      </c>
      <c r="B14" s="1">
        <v>110.38200000000001</v>
      </c>
    </row>
    <row r="15" spans="1:2" x14ac:dyDescent="0.3">
      <c r="A15">
        <v>2019</v>
      </c>
      <c r="B15" s="1">
        <v>112.348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61237-AECC-44ED-A2C5-2BB79F456807}">
  <dimension ref="A1:C6"/>
  <sheetViews>
    <sheetView workbookViewId="0">
      <selection activeCell="C2" sqref="C2:C5"/>
    </sheetView>
  </sheetViews>
  <sheetFormatPr defaultRowHeight="14.4" x14ac:dyDescent="0.3"/>
  <cols>
    <col min="1" max="1" width="13.5546875" bestFit="1" customWidth="1"/>
  </cols>
  <sheetData>
    <row r="1" spans="1:3" x14ac:dyDescent="0.3">
      <c r="A1" s="2" t="s">
        <v>5</v>
      </c>
      <c r="B1" s="3">
        <v>1.5</v>
      </c>
      <c r="C1" t="s">
        <v>321</v>
      </c>
    </row>
    <row r="2" spans="1:3" x14ac:dyDescent="0.3">
      <c r="A2" t="s">
        <v>201</v>
      </c>
      <c r="B2" s="1">
        <v>5000</v>
      </c>
      <c r="C2" s="1">
        <v>2019</v>
      </c>
    </row>
    <row r="3" spans="1:3" x14ac:dyDescent="0.3">
      <c r="A3" t="s">
        <v>202</v>
      </c>
      <c r="B3" s="1">
        <v>4500</v>
      </c>
      <c r="C3" s="1">
        <v>2019</v>
      </c>
    </row>
    <row r="4" spans="1:3" x14ac:dyDescent="0.3">
      <c r="A4" t="s">
        <v>203</v>
      </c>
      <c r="B4" s="1">
        <v>4000</v>
      </c>
      <c r="C4" s="1">
        <v>2019</v>
      </c>
    </row>
    <row r="5" spans="1:3" x14ac:dyDescent="0.3">
      <c r="A5" t="s">
        <v>25</v>
      </c>
      <c r="B5" s="1">
        <v>1000</v>
      </c>
      <c r="C5" s="1">
        <v>2019</v>
      </c>
    </row>
    <row r="6" spans="1:3" x14ac:dyDescent="0.3">
      <c r="A6" t="s">
        <v>327</v>
      </c>
      <c r="B6" s="40">
        <v>2016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B2318-32F9-4ECB-8F5A-79536977FADD}">
  <dimension ref="A1:AI31"/>
  <sheetViews>
    <sheetView zoomScale="80" zoomScaleNormal="80" workbookViewId="0">
      <selection activeCell="K1" sqref="K1"/>
    </sheetView>
  </sheetViews>
  <sheetFormatPr defaultRowHeight="14.4" x14ac:dyDescent="0.3"/>
  <cols>
    <col min="8" max="8" width="32.109375" bestFit="1" customWidth="1"/>
    <col min="9" max="9" width="55.5546875" bestFit="1" customWidth="1"/>
    <col min="10" max="10" width="10.109375" bestFit="1" customWidth="1"/>
    <col min="11" max="11" width="10.109375" style="37" customWidth="1"/>
  </cols>
  <sheetData>
    <row r="1" spans="1:35" s="2" customFormat="1" ht="37.5" customHeight="1" x14ac:dyDescent="0.3">
      <c r="A1" s="2" t="s">
        <v>6</v>
      </c>
      <c r="B1" s="2" t="s">
        <v>49</v>
      </c>
      <c r="C1" s="2" t="s">
        <v>48</v>
      </c>
      <c r="D1" s="2" t="s">
        <v>7</v>
      </c>
      <c r="E1" s="2" t="s">
        <v>8</v>
      </c>
      <c r="F1" s="2" t="s">
        <v>9</v>
      </c>
      <c r="G1" s="2" t="s">
        <v>218</v>
      </c>
      <c r="H1" s="2" t="s">
        <v>47</v>
      </c>
      <c r="I1" s="2" t="s">
        <v>12</v>
      </c>
      <c r="J1" s="2" t="s">
        <v>221</v>
      </c>
      <c r="K1" s="2" t="s">
        <v>328</v>
      </c>
      <c r="L1" s="2" t="s">
        <v>204</v>
      </c>
      <c r="M1" s="2" t="s">
        <v>205</v>
      </c>
      <c r="N1" s="2" t="s">
        <v>206</v>
      </c>
      <c r="O1" s="2" t="s">
        <v>9</v>
      </c>
      <c r="P1" s="2" t="s">
        <v>207</v>
      </c>
      <c r="Q1" s="2" t="s">
        <v>208</v>
      </c>
      <c r="R1" s="2" t="s">
        <v>209</v>
      </c>
      <c r="S1" s="2" t="s">
        <v>210</v>
      </c>
      <c r="T1" s="2" t="s">
        <v>211</v>
      </c>
      <c r="U1" s="2" t="s">
        <v>212</v>
      </c>
      <c r="X1" s="2" t="s">
        <v>204</v>
      </c>
      <c r="Y1" s="2" t="s">
        <v>205</v>
      </c>
      <c r="Z1" s="2" t="s">
        <v>206</v>
      </c>
      <c r="AA1" s="2" t="s">
        <v>9</v>
      </c>
      <c r="AB1" s="2" t="s">
        <v>207</v>
      </c>
      <c r="AC1" s="2" t="s">
        <v>208</v>
      </c>
      <c r="AD1" s="2" t="s">
        <v>209</v>
      </c>
      <c r="AE1" s="2" t="s">
        <v>210</v>
      </c>
      <c r="AF1" s="2" t="s">
        <v>211</v>
      </c>
      <c r="AG1" s="2" t="s">
        <v>212</v>
      </c>
    </row>
    <row r="2" spans="1:35" x14ac:dyDescent="0.3">
      <c r="A2">
        <v>1</v>
      </c>
      <c r="B2">
        <v>8</v>
      </c>
      <c r="C2">
        <v>8</v>
      </c>
      <c r="D2" t="s">
        <v>2</v>
      </c>
      <c r="E2" t="s">
        <v>3</v>
      </c>
      <c r="F2" t="s">
        <v>21</v>
      </c>
      <c r="G2" t="s">
        <v>219</v>
      </c>
      <c r="H2" t="str">
        <f>CONCATENATE("E",B2,"_","A",C2,"_",D2,"_",E2,"_",F2,"_",G2)</f>
        <v>E8_A8_OHV_PFI_NatAsp_NoCEGR</v>
      </c>
      <c r="I2" t="s">
        <v>16</v>
      </c>
      <c r="J2" s="5">
        <f t="shared" ref="J2:J31" si="0">(IF(B2=8,Null_8cyl_DMC,IF(B2=6,Null_6cyl_DMC,Null_4cyl_DMC))+SUM(L2:W2))*Markup</f>
        <v>7816.6797754480431</v>
      </c>
      <c r="K2" s="8">
        <f t="shared" ref="K2:K31" si="1">workbook_dollar_basis</f>
        <v>2016</v>
      </c>
      <c r="L2" s="5">
        <f>IF(X2="",0,INDEX(et_dmc[dmc_base],MATCH(X2,et_dmc[Tech],0),)*INDEX(gdp_deflators!$B$2:$B$15,MATCH(engine!$K2,gdp_deflators!$A$2:$A$15,0),)/INDEX(gdp_deflators!$B$2:$B$15,MATCH(INDEX(et_dmc[dmc_basis],MATCH(X2,et_dmc[Tech],0),),gdp_deflators!$A$2:$A$15,0),))</f>
        <v>0</v>
      </c>
      <c r="M2" s="5">
        <f>IF(Y2="",0,INDEX(et_dmc[dmc_base],MATCH(Y2,et_dmc[Tech],0),)*INDEX(gdp_deflators!$B$2:$B$15,MATCH(engine!$K2,gdp_deflators!$A$2:$A$15,0),)/INDEX(gdp_deflators!$B$2:$B$15,MATCH(INDEX(et_dmc[dmc_basis],MATCH(Y2,et_dmc[Tech],0),),gdp_deflators!$A$2:$A$15,0),))</f>
        <v>0</v>
      </c>
      <c r="N2" s="5">
        <f>IF(Z2="",0,INDEX(et_dmc[dmc_base],MATCH(Z2,et_dmc[Tech],0),)*INDEX(gdp_deflators!$B$2:$B$15,MATCH(engine!$K2,gdp_deflators!$A$2:$A$15,0),)/INDEX(gdp_deflators!$B$2:$B$15,MATCH(INDEX(et_dmc[dmc_basis],MATCH(Z2,et_dmc[Tech],0),),gdp_deflators!$A$2:$A$15,0),))</f>
        <v>0</v>
      </c>
      <c r="O2" s="5">
        <f>IF(AA2="",0,INDEX(et_dmc[dmc_base],MATCH(AA2,et_dmc[Tech],0),)*INDEX(gdp_deflators!$B$2:$B$15,MATCH(engine!$K2,gdp_deflators!$A$2:$A$15,0),)/INDEX(gdp_deflators!$B$2:$B$15,MATCH(INDEX(et_dmc[dmc_basis],MATCH(AA2,et_dmc[Tech],0),),gdp_deflators!$A$2:$A$15,0),))</f>
        <v>0</v>
      </c>
      <c r="P2" s="5">
        <f>IF(AB2="",0,INDEX(et_dmc[dmc_base],MATCH(AB2,et_dmc[Tech],0),)*INDEX(gdp_deflators!$B$2:$B$15,MATCH(engine!$K2,gdp_deflators!$A$2:$A$15,0),)/INDEX(gdp_deflators!$B$2:$B$15,MATCH(INDEX(et_dmc[dmc_basis],MATCH(AB2,et_dmc[Tech],0),),gdp_deflators!$A$2:$A$15,0),))</f>
        <v>0</v>
      </c>
      <c r="Q2" s="5">
        <f>IF(AC2="",0,INDEX(et_dmc[dmc_base],MATCH(AC2,et_dmc[Tech],0),)*INDEX(gdp_deflators!$B$2:$B$15,MATCH(engine!$K2,gdp_deflators!$A$2:$A$15,0),)/INDEX(gdp_deflators!$B$2:$B$15,MATCH(INDEX(et_dmc[dmc_basis],MATCH(AC2,et_dmc[Tech],0),),gdp_deflators!$A$2:$A$15,0),))</f>
        <v>85.474381017881697</v>
      </c>
      <c r="R2" s="5">
        <f>IF(AD2="",0,INDEX(et_dmc[dmc_base],MATCH(AD2,et_dmc[Tech],0),)*INDEX(gdp_deflators!$B$2:$B$15,MATCH(engine!$K2,gdp_deflators!$A$2:$A$15,0),)/INDEX(gdp_deflators!$B$2:$B$15,MATCH(INDEX(et_dmc[dmc_basis],MATCH(AD2,et_dmc[Tech],0),),gdp_deflators!$A$2:$A$15,0),))</f>
        <v>0</v>
      </c>
      <c r="S2" s="5">
        <f>IF(AE2="",0,INDEX(et_dmc[dmc_base],MATCH(AE2,et_dmc[Tech],0),)*INDEX(gdp_deflators!$B$2:$B$15,MATCH(engine!$K2,gdp_deflators!$A$2:$A$15,0),)/INDEX(gdp_deflators!$B$2:$B$15,MATCH(INDEX(et_dmc[dmc_basis],MATCH(AE2,et_dmc[Tech],0),),gdp_deflators!$A$2:$A$15,0),))</f>
        <v>3.5227701667517821</v>
      </c>
      <c r="T2" s="5">
        <f>IF(AF2="",0,INDEX(et_dmc[dmc_base],MATCH(LEFT(AF2,3),et_dmc[Tech],0),)*RIGHT(AF2,1)*C2*INDEX(gdp_deflators!$B$2:$B$15,MATCH(engine!$K2,gdp_deflators!$A$2:$A$15,0),)/INDEX(gdp_deflators!$B$2:$B$15,MATCH(INDEX(et_dmc[dmc_basis],MATCH(LEFT(AF2,3),et_dmc[Tech],0),),gdp_deflators!$A$2:$A$15,0),))</f>
        <v>122.12269911406177</v>
      </c>
      <c r="U2" s="5">
        <f>IF(AG2="",0,INDEX(et_dmc[dmc_base],MATCH(AG2,et_dmc[Tech],0),)*INDEX(gdp_deflators!$B$2:$B$15,MATCH(engine!$K2,gdp_deflators!$A$2:$A$15,0),)/INDEX(gdp_deflators!$B$2:$B$15,MATCH(INDEX(et_dmc[dmc_basis],MATCH(AG2,et_dmc[Tech],0),),gdp_deflators!$A$2:$A$15,0),))</f>
        <v>0</v>
      </c>
      <c r="V2" s="5">
        <f>IF(AH2="",0,INDEX(et_dmc[dmc_base],MATCH(AH2,et_dmc[Tech],0),))</f>
        <v>0</v>
      </c>
      <c r="W2" s="5">
        <f>IF(AI2="",0,INDEX(et_dmc[dmc_base],MATCH(AI2,et_dmc[Tech],0),))</f>
        <v>0</v>
      </c>
      <c r="X2" s="1"/>
      <c r="Y2" s="1"/>
      <c r="Z2" s="1"/>
      <c r="AA2" s="1"/>
      <c r="AB2" s="1"/>
      <c r="AC2" s="1" t="s">
        <v>172</v>
      </c>
      <c r="AD2" s="1"/>
      <c r="AE2" s="1" t="s">
        <v>103</v>
      </c>
      <c r="AF2" s="1" t="s">
        <v>324</v>
      </c>
      <c r="AG2" s="1"/>
      <c r="AH2" s="1"/>
      <c r="AI2" s="1"/>
    </row>
    <row r="3" spans="1:35" x14ac:dyDescent="0.3">
      <c r="A3">
        <v>1</v>
      </c>
      <c r="B3">
        <v>8</v>
      </c>
      <c r="C3">
        <v>8</v>
      </c>
      <c r="D3" t="s">
        <v>2</v>
      </c>
      <c r="E3" t="s">
        <v>4</v>
      </c>
      <c r="F3" t="s">
        <v>21</v>
      </c>
      <c r="G3" t="s">
        <v>219</v>
      </c>
      <c r="H3" t="str">
        <f t="shared" ref="H3:H31" si="2">CONCATENATE("E",B3,"_","A",C3,"_",D3,"_",E3,"_",F3,"_",G3)</f>
        <v>E8_A8_OHV_GDI_NatAsp_NoCEGR</v>
      </c>
      <c r="I3" t="s">
        <v>15</v>
      </c>
      <c r="J3" s="5">
        <f t="shared" si="0"/>
        <v>8518.0435740559733</v>
      </c>
      <c r="K3" s="8">
        <f t="shared" si="1"/>
        <v>2016</v>
      </c>
      <c r="L3" s="5">
        <f>IF(X3="",0,INDEX(et_dmc[dmc_base],MATCH(X3,et_dmc[Tech],0),)*INDEX(gdp_deflators!$B$2:$B$15,MATCH(engine!$K3,gdp_deflators!$A$2:$A$15,0),)/INDEX(gdp_deflators!$B$2:$B$15,MATCH(INDEX(et_dmc[dmc_basis],MATCH(X3,et_dmc[Tech],0),),gdp_deflators!$A$2:$A$15,0),))</f>
        <v>0</v>
      </c>
      <c r="M3" s="5">
        <f>IF(Y3="",0,INDEX(et_dmc[dmc_base],MATCH(Y3,et_dmc[Tech],0),)*INDEX(gdp_deflators!$B$2:$B$15,MATCH(engine!$K3,gdp_deflators!$A$2:$A$15,0),)/INDEX(gdp_deflators!$B$2:$B$15,MATCH(INDEX(et_dmc[dmc_basis],MATCH(Y3,et_dmc[Tech],0),),gdp_deflators!$A$2:$A$15,0),))</f>
        <v>0</v>
      </c>
      <c r="N3" s="5">
        <f>IF(Z3="",0,INDEX(et_dmc[dmc_base],MATCH(Z3,et_dmc[Tech],0),)*INDEX(gdp_deflators!$B$2:$B$15,MATCH(engine!$K3,gdp_deflators!$A$2:$A$15,0),)/INDEX(gdp_deflators!$B$2:$B$15,MATCH(INDEX(et_dmc[dmc_basis],MATCH(Z3,et_dmc[Tech],0),),gdp_deflators!$A$2:$A$15,0),))</f>
        <v>467.57586573862051</v>
      </c>
      <c r="O3" s="5">
        <f>IF(AA3="",0,INDEX(et_dmc[dmc_base],MATCH(AA3,et_dmc[Tech],0),)*INDEX(gdp_deflators!$B$2:$B$15,MATCH(engine!$K3,gdp_deflators!$A$2:$A$15,0),)/INDEX(gdp_deflators!$B$2:$B$15,MATCH(INDEX(et_dmc[dmc_basis],MATCH(AA3,et_dmc[Tech],0),),gdp_deflators!$A$2:$A$15,0),))</f>
        <v>0</v>
      </c>
      <c r="P3" s="5">
        <f>IF(AB3="",0,INDEX(et_dmc[dmc_base],MATCH(AB3,et_dmc[Tech],0),)*INDEX(gdp_deflators!$B$2:$B$15,MATCH(engine!$K3,gdp_deflators!$A$2:$A$15,0),)/INDEX(gdp_deflators!$B$2:$B$15,MATCH(INDEX(et_dmc[dmc_basis],MATCH(AB3,et_dmc[Tech],0),),gdp_deflators!$A$2:$A$15,0),))</f>
        <v>0</v>
      </c>
      <c r="Q3" s="5">
        <f>IF(AC3="",0,INDEX(et_dmc[dmc_base],MATCH(AC3,et_dmc[Tech],0),)*INDEX(gdp_deflators!$B$2:$B$15,MATCH(engine!$K3,gdp_deflators!$A$2:$A$15,0),)/INDEX(gdp_deflators!$B$2:$B$15,MATCH(INDEX(et_dmc[dmc_basis],MATCH(AC3,et_dmc[Tech],0),),gdp_deflators!$A$2:$A$15,0),))</f>
        <v>85.474381017881697</v>
      </c>
      <c r="R3" s="5">
        <f>IF(AD3="",0,INDEX(et_dmc[dmc_base],MATCH(AD3,et_dmc[Tech],0),)*INDEX(gdp_deflators!$B$2:$B$15,MATCH(engine!$K3,gdp_deflators!$A$2:$A$15,0),)/INDEX(gdp_deflators!$B$2:$B$15,MATCH(INDEX(et_dmc[dmc_basis],MATCH(AD3,et_dmc[Tech],0),),gdp_deflators!$A$2:$A$15,0),))</f>
        <v>0</v>
      </c>
      <c r="S3" s="5">
        <f>IF(AE3="",0,INDEX(et_dmc[dmc_base],MATCH(AE3,et_dmc[Tech],0),)*INDEX(gdp_deflators!$B$2:$B$15,MATCH(engine!$K3,gdp_deflators!$A$2:$A$15,0),)/INDEX(gdp_deflators!$B$2:$B$15,MATCH(INDEX(et_dmc[dmc_basis],MATCH(AE3,et_dmc[Tech],0),),gdp_deflators!$A$2:$A$15,0),))</f>
        <v>3.5227701667517821</v>
      </c>
      <c r="T3" s="5">
        <f>IF(AF3="",0,INDEX(et_dmc[dmc_base],MATCH(LEFT(AF3,3),et_dmc[Tech],0),)*RIGHT(AF3,1)*C3*INDEX(gdp_deflators!$B$2:$B$15,MATCH(engine!$K3,gdp_deflators!$A$2:$A$15,0),)/INDEX(gdp_deflators!$B$2:$B$15,MATCH(INDEX(et_dmc[dmc_basis],MATCH(LEFT(AF3,3),et_dmc[Tech],0),),gdp_deflators!$A$2:$A$15,0),))</f>
        <v>122.12269911406177</v>
      </c>
      <c r="U3" s="5">
        <f>IF(AG3="",0,INDEX(et_dmc[dmc_base],MATCH(AG3,et_dmc[Tech],0),)*INDEX(gdp_deflators!$B$2:$B$15,MATCH(engine!$K3,gdp_deflators!$A$2:$A$15,0),)/INDEX(gdp_deflators!$B$2:$B$15,MATCH(INDEX(et_dmc[dmc_basis],MATCH(AG3,et_dmc[Tech],0),),gdp_deflators!$A$2:$A$15,0),))</f>
        <v>0</v>
      </c>
      <c r="V3" s="5">
        <f>IF(AH3="",0,INDEX(et_dmc[dmc_base],MATCH(AH3,et_dmc[Tech],0),))</f>
        <v>0</v>
      </c>
      <c r="W3" s="5">
        <f>IF(AI3="",0,INDEX(et_dmc[dmc_base],MATCH(AI3,et_dmc[Tech],0),))</f>
        <v>0</v>
      </c>
      <c r="X3" s="1"/>
      <c r="Y3" s="1"/>
      <c r="Z3" s="1" t="s">
        <v>88</v>
      </c>
      <c r="AA3" s="1"/>
      <c r="AB3" s="1"/>
      <c r="AC3" s="1" t="s">
        <v>172</v>
      </c>
      <c r="AD3" s="1"/>
      <c r="AE3" s="1" t="s">
        <v>103</v>
      </c>
      <c r="AF3" s="1" t="s">
        <v>324</v>
      </c>
      <c r="AG3" s="1"/>
      <c r="AH3" s="1"/>
      <c r="AI3" s="1"/>
    </row>
    <row r="4" spans="1:35" x14ac:dyDescent="0.3">
      <c r="A4">
        <v>1</v>
      </c>
      <c r="B4">
        <v>8</v>
      </c>
      <c r="C4">
        <v>8</v>
      </c>
      <c r="D4" t="s">
        <v>1</v>
      </c>
      <c r="E4" t="s">
        <v>4</v>
      </c>
      <c r="F4" t="s">
        <v>21</v>
      </c>
      <c r="G4" t="s">
        <v>219</v>
      </c>
      <c r="H4" t="str">
        <f t="shared" si="2"/>
        <v>E8_A8_DOHC_GDI_NatAsp_NoCEGR</v>
      </c>
      <c r="I4" t="s">
        <v>15</v>
      </c>
      <c r="J4" s="5">
        <f t="shared" si="0"/>
        <v>9530.9895808065103</v>
      </c>
      <c r="K4" s="8">
        <f t="shared" si="1"/>
        <v>2016</v>
      </c>
      <c r="L4" s="5">
        <f>IF(X4="",0,INDEX(et_dmc[dmc_base],MATCH(X4,et_dmc[Tech],0),)*INDEX(gdp_deflators!$B$2:$B$15,MATCH(engine!$K4,gdp_deflators!$A$2:$A$15,0),)/INDEX(gdp_deflators!$B$2:$B$15,MATCH(INDEX(et_dmc[dmc_basis],MATCH(X4,et_dmc[Tech],0),),gdp_deflators!$A$2:$A$15,0),))</f>
        <v>592.64179278554764</v>
      </c>
      <c r="M4" s="5">
        <f>IF(Y4="",0,INDEX(et_dmc[dmc_base],MATCH(Y4,et_dmc[Tech],0),)*INDEX(gdp_deflators!$B$2:$B$15,MATCH(engine!$K4,gdp_deflators!$A$2:$A$15,0),)/INDEX(gdp_deflators!$B$2:$B$15,MATCH(INDEX(et_dmc[dmc_basis],MATCH(Y4,et_dmc[Tech],0),),gdp_deflators!$A$2:$A$15,0),))</f>
        <v>0</v>
      </c>
      <c r="N4" s="5">
        <f>IF(Z4="",0,INDEX(et_dmc[dmc_base],MATCH(Z4,et_dmc[Tech],0),)*INDEX(gdp_deflators!$B$2:$B$15,MATCH(engine!$K4,gdp_deflators!$A$2:$A$15,0),)/INDEX(gdp_deflators!$B$2:$B$15,MATCH(INDEX(et_dmc[dmc_basis],MATCH(Z4,et_dmc[Tech],0),),gdp_deflators!$A$2:$A$15,0),))</f>
        <v>467.57586573862051</v>
      </c>
      <c r="O4" s="5">
        <f>IF(AA4="",0,INDEX(et_dmc[dmc_base],MATCH(AA4,et_dmc[Tech],0),)*INDEX(gdp_deflators!$B$2:$B$15,MATCH(engine!$K4,gdp_deflators!$A$2:$A$15,0),)/INDEX(gdp_deflators!$B$2:$B$15,MATCH(INDEX(et_dmc[dmc_basis],MATCH(AA4,et_dmc[Tech],0),),gdp_deflators!$A$2:$A$15,0),))</f>
        <v>0</v>
      </c>
      <c r="P4" s="5">
        <f>IF(AB4="",0,INDEX(et_dmc[dmc_base],MATCH(AB4,et_dmc[Tech],0),)*INDEX(gdp_deflators!$B$2:$B$15,MATCH(engine!$K4,gdp_deflators!$A$2:$A$15,0),)/INDEX(gdp_deflators!$B$2:$B$15,MATCH(INDEX(et_dmc[dmc_basis],MATCH(AB4,et_dmc[Tech],0),),gdp_deflators!$A$2:$A$15,0),))</f>
        <v>0</v>
      </c>
      <c r="Q4" s="5">
        <f>IF(AC4="",0,INDEX(et_dmc[dmc_base],MATCH(AC4,et_dmc[Tech],0),)*INDEX(gdp_deflators!$B$2:$B$15,MATCH(engine!$K4,gdp_deflators!$A$2:$A$15,0),)/INDEX(gdp_deflators!$B$2:$B$15,MATCH(INDEX(et_dmc[dmc_basis],MATCH(AC4,et_dmc[Tech],0),),gdp_deflators!$A$2:$A$15,0),))</f>
        <v>168.12992606602478</v>
      </c>
      <c r="R4" s="5">
        <f>IF(AD4="",0,INDEX(et_dmc[dmc_base],MATCH(AD4,et_dmc[Tech],0),)*INDEX(gdp_deflators!$B$2:$B$15,MATCH(engine!$K4,gdp_deflators!$A$2:$A$15,0),)/INDEX(gdp_deflators!$B$2:$B$15,MATCH(INDEX(et_dmc[dmc_basis],MATCH(AD4,et_dmc[Tech],0),),gdp_deflators!$A$2:$A$15,0),))</f>
        <v>0</v>
      </c>
      <c r="S4" s="5">
        <f>IF(AE4="",0,INDEX(et_dmc[dmc_base],MATCH(AE4,et_dmc[Tech],0),)*INDEX(gdp_deflators!$B$2:$B$15,MATCH(engine!$K4,gdp_deflators!$A$2:$A$15,0),)/INDEX(gdp_deflators!$B$2:$B$15,MATCH(INDEX(et_dmc[dmc_basis],MATCH(AE4,et_dmc[Tech],0),),gdp_deflators!$A$2:$A$15,0),))</f>
        <v>3.5227701667517821</v>
      </c>
      <c r="T4" s="5">
        <f>IF(AF4="",0,INDEX(et_dmc[dmc_base],MATCH(LEFT(AF4,3),et_dmc[Tech],0),)*RIGHT(AF4,1)*C4*INDEX(gdp_deflators!$B$2:$B$15,MATCH(engine!$K4,gdp_deflators!$A$2:$A$15,0),)/INDEX(gdp_deflators!$B$2:$B$15,MATCH(INDEX(et_dmc[dmc_basis],MATCH(LEFT(AF4,3),et_dmc[Tech],0),),gdp_deflators!$A$2:$A$15,0),))</f>
        <v>122.12269911406177</v>
      </c>
      <c r="U4" s="5">
        <f>IF(AG4="",0,INDEX(et_dmc[dmc_base],MATCH(AG4,et_dmc[Tech],0),)*INDEX(gdp_deflators!$B$2:$B$15,MATCH(engine!$K4,gdp_deflators!$A$2:$A$15,0),)/INDEX(gdp_deflators!$B$2:$B$15,MATCH(INDEX(et_dmc[dmc_basis],MATCH(AG4,et_dmc[Tech],0),),gdp_deflators!$A$2:$A$15,0),))</f>
        <v>0</v>
      </c>
      <c r="V4" s="5">
        <f>IF(AH4="",0,INDEX(et_dmc[dmc_base],MATCH(AH4,et_dmc[Tech],0),))</f>
        <v>0</v>
      </c>
      <c r="W4" s="5">
        <f>IF(AI4="",0,INDEX(et_dmc[dmc_base],MATCH(AI4,et_dmc[Tech],0),))</f>
        <v>0</v>
      </c>
      <c r="X4" s="1" t="s">
        <v>141</v>
      </c>
      <c r="Y4" s="1"/>
      <c r="Z4" s="1" t="s">
        <v>88</v>
      </c>
      <c r="AA4" s="1"/>
      <c r="AB4" s="1"/>
      <c r="AC4" s="1" t="s">
        <v>169</v>
      </c>
      <c r="AD4" s="1"/>
      <c r="AE4" s="1" t="s">
        <v>103</v>
      </c>
      <c r="AF4" s="1" t="s">
        <v>324</v>
      </c>
      <c r="AG4" s="1"/>
      <c r="AH4" s="1"/>
      <c r="AI4" s="1"/>
    </row>
    <row r="5" spans="1:35" x14ac:dyDescent="0.3">
      <c r="A5">
        <v>1</v>
      </c>
      <c r="B5">
        <v>8</v>
      </c>
      <c r="C5">
        <v>6</v>
      </c>
      <c r="D5" t="s">
        <v>1</v>
      </c>
      <c r="E5" t="s">
        <v>4</v>
      </c>
      <c r="F5" t="s">
        <v>20</v>
      </c>
      <c r="G5" t="s">
        <v>219</v>
      </c>
      <c r="H5" t="str">
        <f t="shared" si="2"/>
        <v>E8_A6_DOHC_GDI_TURB11_NoCEGR</v>
      </c>
      <c r="I5" t="s">
        <v>19</v>
      </c>
      <c r="J5" s="5">
        <f t="shared" si="0"/>
        <v>10256.112530352484</v>
      </c>
      <c r="K5" s="8">
        <f t="shared" si="1"/>
        <v>2016</v>
      </c>
      <c r="L5" s="5">
        <f>IF(X5="",0,INDEX(et_dmc[dmc_base],MATCH(X5,et_dmc[Tech],0),)*INDEX(gdp_deflators!$B$2:$B$15,MATCH(engine!$K5,gdp_deflators!$A$2:$A$15,0),)/INDEX(gdp_deflators!$B$2:$B$15,MATCH(INDEX(et_dmc[dmc_basis],MATCH(X5,et_dmc[Tech],0),),gdp_deflators!$A$2:$A$15,0),))</f>
        <v>0</v>
      </c>
      <c r="M5" s="5">
        <f>IF(Y5="",0,INDEX(et_dmc[dmc_base],MATCH(Y5,et_dmc[Tech],0),)*INDEX(gdp_deflators!$B$2:$B$15,MATCH(engine!$K5,gdp_deflators!$A$2:$A$15,0),)/INDEX(gdp_deflators!$B$2:$B$15,MATCH(INDEX(et_dmc[dmc_basis],MATCH(Y5,et_dmc[Tech],0),),gdp_deflators!$A$2:$A$15,0),))</f>
        <v>360.67499999999995</v>
      </c>
      <c r="N5" s="5">
        <f>IF(Z5="",0,INDEX(et_dmc[dmc_base],MATCH(Z5,et_dmc[Tech],0),)*INDEX(gdp_deflators!$B$2:$B$15,MATCH(engine!$K5,gdp_deflators!$A$2:$A$15,0),)/INDEX(gdp_deflators!$B$2:$B$15,MATCH(INDEX(et_dmc[dmc_basis],MATCH(Z5,et_dmc[Tech],0),),gdp_deflators!$A$2:$A$15,0),))</f>
        <v>388.75234649999999</v>
      </c>
      <c r="O5" s="5">
        <f>IF(AA5="",0,INDEX(et_dmc[dmc_base],MATCH(AA5,et_dmc[Tech],0),)*INDEX(gdp_deflators!$B$2:$B$15,MATCH(engine!$K5,gdp_deflators!$A$2:$A$15,0),)/INDEX(gdp_deflators!$B$2:$B$15,MATCH(INDEX(et_dmc[dmc_basis],MATCH(AA5,et_dmc[Tech],0),),gdp_deflators!$A$2:$A$15,0),))</f>
        <v>824.73628650000001</v>
      </c>
      <c r="P5" s="5">
        <f>IF(AB5="",0,INDEX(et_dmc[dmc_base],MATCH(AB5,et_dmc[Tech],0),)*INDEX(gdp_deflators!$B$2:$B$15,MATCH(engine!$K5,gdp_deflators!$A$2:$A$15,0),)/INDEX(gdp_deflators!$B$2:$B$15,MATCH(INDEX(et_dmc[dmc_basis],MATCH(AB5,et_dmc[Tech],0),),gdp_deflators!$A$2:$A$15,0),))</f>
        <v>0</v>
      </c>
      <c r="Q5" s="5">
        <f>IF(AC5="",0,INDEX(et_dmc[dmc_base],MATCH(AC5,et_dmc[Tech],0),)*INDEX(gdp_deflators!$B$2:$B$15,MATCH(engine!$K5,gdp_deflators!$A$2:$A$15,0),)/INDEX(gdp_deflators!$B$2:$B$15,MATCH(INDEX(et_dmc[dmc_basis],MATCH(AC5,et_dmc[Tech],0),),gdp_deflators!$A$2:$A$15,0),))</f>
        <v>168.12992606602478</v>
      </c>
      <c r="R5" s="5">
        <f>IF(AD5="",0,INDEX(et_dmc[dmc_base],MATCH(AD5,et_dmc[Tech],0),)*INDEX(gdp_deflators!$B$2:$B$15,MATCH(engine!$K5,gdp_deflators!$A$2:$A$15,0),)/INDEX(gdp_deflators!$B$2:$B$15,MATCH(INDEX(et_dmc[dmc_basis],MATCH(AD5,et_dmc[Tech],0),),gdp_deflators!$A$2:$A$15,0),))</f>
        <v>0</v>
      </c>
      <c r="S5" s="5">
        <f>IF(AE5="",0,INDEX(et_dmc[dmc_base],MATCH(AE5,et_dmc[Tech],0),)*INDEX(gdp_deflators!$B$2:$B$15,MATCH(engine!$K5,gdp_deflators!$A$2:$A$15,0),)/INDEX(gdp_deflators!$B$2:$B$15,MATCH(INDEX(et_dmc[dmc_basis],MATCH(AE5,et_dmc[Tech],0),),gdp_deflators!$A$2:$A$15,0),))</f>
        <v>3.5227701667517821</v>
      </c>
      <c r="T5" s="5">
        <f>IF(AF5="",0,INDEX(et_dmc[dmc_base],MATCH(LEFT(AF5,3),et_dmc[Tech],0),)*RIGHT(AF5,1)*C5*INDEX(gdp_deflators!$B$2:$B$15,MATCH(engine!$K5,gdp_deflators!$A$2:$A$15,0),)/INDEX(gdp_deflators!$B$2:$B$15,MATCH(INDEX(et_dmc[dmc_basis],MATCH(LEFT(AF5,3),et_dmc[Tech],0),),gdp_deflators!$A$2:$A$15,0),))</f>
        <v>91.592024335546327</v>
      </c>
      <c r="U5" s="5">
        <f>IF(AG5="",0,INDEX(et_dmc[dmc_base],MATCH(AG5,et_dmc[Tech],0),)*INDEX(gdp_deflators!$B$2:$B$15,MATCH(engine!$K5,gdp_deflators!$A$2:$A$15,0),)/INDEX(gdp_deflators!$B$2:$B$15,MATCH(INDEX(et_dmc[dmc_basis],MATCH(AG5,et_dmc[Tech],0),),gdp_deflators!$A$2:$A$15,0),))</f>
        <v>0</v>
      </c>
      <c r="V5" s="5">
        <f>IF(AH5="",0,INDEX(et_dmc[dmc_base],MATCH(AH5,et_dmc[Tech],0),))</f>
        <v>0</v>
      </c>
      <c r="W5" s="5">
        <f>IF(AI5="",0,INDEX(et_dmc[dmc_base],MATCH(AI5,et_dmc[Tech],0),))</f>
        <v>0</v>
      </c>
      <c r="X5" s="1"/>
      <c r="Y5" s="1" t="s">
        <v>139</v>
      </c>
      <c r="Z5" s="1" t="s">
        <v>86</v>
      </c>
      <c r="AA5" s="1" t="s">
        <v>107</v>
      </c>
      <c r="AB5" s="1"/>
      <c r="AC5" s="1" t="s">
        <v>169</v>
      </c>
      <c r="AD5" s="1"/>
      <c r="AE5" s="1" t="s">
        <v>103</v>
      </c>
      <c r="AF5" s="1" t="s">
        <v>324</v>
      </c>
      <c r="AG5" s="1"/>
      <c r="AH5" s="1"/>
      <c r="AI5" s="1"/>
    </row>
    <row r="6" spans="1:35" x14ac:dyDescent="0.3">
      <c r="A6">
        <v>1</v>
      </c>
      <c r="B6">
        <v>8</v>
      </c>
      <c r="C6">
        <v>6</v>
      </c>
      <c r="D6" t="s">
        <v>1</v>
      </c>
      <c r="E6" t="s">
        <v>4</v>
      </c>
      <c r="F6" t="s">
        <v>20</v>
      </c>
      <c r="G6" t="s">
        <v>219</v>
      </c>
      <c r="H6" t="str">
        <f t="shared" si="2"/>
        <v>E8_A6_DOHC_GDI_TURB11_NoCEGR</v>
      </c>
      <c r="I6" t="s">
        <v>11</v>
      </c>
      <c r="J6" s="5">
        <f t="shared" si="0"/>
        <v>10256.112530352484</v>
      </c>
      <c r="K6" s="8">
        <f t="shared" si="1"/>
        <v>2016</v>
      </c>
      <c r="L6" s="5">
        <f>IF(X6="",0,INDEX(et_dmc[dmc_base],MATCH(X6,et_dmc[Tech],0),)*INDEX(gdp_deflators!$B$2:$B$15,MATCH(engine!$K6,gdp_deflators!$A$2:$A$15,0),)/INDEX(gdp_deflators!$B$2:$B$15,MATCH(INDEX(et_dmc[dmc_basis],MATCH(X6,et_dmc[Tech],0),),gdp_deflators!$A$2:$A$15,0),))</f>
        <v>0</v>
      </c>
      <c r="M6" s="5">
        <f>IF(Y6="",0,INDEX(et_dmc[dmc_base],MATCH(Y6,et_dmc[Tech],0),)*INDEX(gdp_deflators!$B$2:$B$15,MATCH(engine!$K6,gdp_deflators!$A$2:$A$15,0),)/INDEX(gdp_deflators!$B$2:$B$15,MATCH(INDEX(et_dmc[dmc_basis],MATCH(Y6,et_dmc[Tech],0),),gdp_deflators!$A$2:$A$15,0),))</f>
        <v>360.67499999999995</v>
      </c>
      <c r="N6" s="5">
        <f>IF(Z6="",0,INDEX(et_dmc[dmc_base],MATCH(Z6,et_dmc[Tech],0),)*INDEX(gdp_deflators!$B$2:$B$15,MATCH(engine!$K6,gdp_deflators!$A$2:$A$15,0),)/INDEX(gdp_deflators!$B$2:$B$15,MATCH(INDEX(et_dmc[dmc_basis],MATCH(Z6,et_dmc[Tech],0),),gdp_deflators!$A$2:$A$15,0),))</f>
        <v>388.75234649999999</v>
      </c>
      <c r="O6" s="5">
        <f>IF(AA6="",0,INDEX(et_dmc[dmc_base],MATCH(AA6,et_dmc[Tech],0),)*INDEX(gdp_deflators!$B$2:$B$15,MATCH(engine!$K6,gdp_deflators!$A$2:$A$15,0),)/INDEX(gdp_deflators!$B$2:$B$15,MATCH(INDEX(et_dmc[dmc_basis],MATCH(AA6,et_dmc[Tech],0),),gdp_deflators!$A$2:$A$15,0),))</f>
        <v>824.73628650000001</v>
      </c>
      <c r="P6" s="5">
        <f>IF(AB6="",0,INDEX(et_dmc[dmc_base],MATCH(AB6,et_dmc[Tech],0),)*INDEX(gdp_deflators!$B$2:$B$15,MATCH(engine!$K6,gdp_deflators!$A$2:$A$15,0),)/INDEX(gdp_deflators!$B$2:$B$15,MATCH(INDEX(et_dmc[dmc_basis],MATCH(AB6,et_dmc[Tech],0),),gdp_deflators!$A$2:$A$15,0),))</f>
        <v>0</v>
      </c>
      <c r="Q6" s="5">
        <f>IF(AC6="",0,INDEX(et_dmc[dmc_base],MATCH(AC6,et_dmc[Tech],0),)*INDEX(gdp_deflators!$B$2:$B$15,MATCH(engine!$K6,gdp_deflators!$A$2:$A$15,0),)/INDEX(gdp_deflators!$B$2:$B$15,MATCH(INDEX(et_dmc[dmc_basis],MATCH(AC6,et_dmc[Tech],0),),gdp_deflators!$A$2:$A$15,0),))</f>
        <v>168.12992606602478</v>
      </c>
      <c r="R6" s="5">
        <f>IF(AD6="",0,INDEX(et_dmc[dmc_base],MATCH(AD6,et_dmc[Tech],0),)*INDEX(gdp_deflators!$B$2:$B$15,MATCH(engine!$K6,gdp_deflators!$A$2:$A$15,0),)/INDEX(gdp_deflators!$B$2:$B$15,MATCH(INDEX(et_dmc[dmc_basis],MATCH(AD6,et_dmc[Tech],0),),gdp_deflators!$A$2:$A$15,0),))</f>
        <v>0</v>
      </c>
      <c r="S6" s="5">
        <f>IF(AE6="",0,INDEX(et_dmc[dmc_base],MATCH(AE6,et_dmc[Tech],0),)*INDEX(gdp_deflators!$B$2:$B$15,MATCH(engine!$K6,gdp_deflators!$A$2:$A$15,0),)/INDEX(gdp_deflators!$B$2:$B$15,MATCH(INDEX(et_dmc[dmc_basis],MATCH(AE6,et_dmc[Tech],0),),gdp_deflators!$A$2:$A$15,0),))</f>
        <v>3.5227701667517821</v>
      </c>
      <c r="T6" s="5">
        <f>IF(AF6="",0,INDEX(et_dmc[dmc_base],MATCH(LEFT(AF6,3),et_dmc[Tech],0),)*RIGHT(AF6,1)*C6*INDEX(gdp_deflators!$B$2:$B$15,MATCH(engine!$K6,gdp_deflators!$A$2:$A$15,0),)/INDEX(gdp_deflators!$B$2:$B$15,MATCH(INDEX(et_dmc[dmc_basis],MATCH(LEFT(AF6,3),et_dmc[Tech],0),),gdp_deflators!$A$2:$A$15,0),))</f>
        <v>91.592024335546327</v>
      </c>
      <c r="U6" s="5">
        <f>IF(AG6="",0,INDEX(et_dmc[dmc_base],MATCH(AG6,et_dmc[Tech],0),)*INDEX(gdp_deflators!$B$2:$B$15,MATCH(engine!$K6,gdp_deflators!$A$2:$A$15,0),)/INDEX(gdp_deflators!$B$2:$B$15,MATCH(INDEX(et_dmc[dmc_basis],MATCH(AG6,et_dmc[Tech],0),),gdp_deflators!$A$2:$A$15,0),))</f>
        <v>0</v>
      </c>
      <c r="V6" s="5">
        <f>IF(AH6="",0,INDEX(et_dmc[dmc_base],MATCH(AH6,et_dmc[Tech],0),))</f>
        <v>0</v>
      </c>
      <c r="W6" s="5">
        <f>IF(AI6="",0,INDEX(et_dmc[dmc_base],MATCH(AI6,et_dmc[Tech],0),))</f>
        <v>0</v>
      </c>
      <c r="X6" s="1"/>
      <c r="Y6" s="1" t="s">
        <v>139</v>
      </c>
      <c r="Z6" s="1" t="s">
        <v>86</v>
      </c>
      <c r="AA6" s="1" t="s">
        <v>107</v>
      </c>
      <c r="AB6" s="1"/>
      <c r="AC6" s="1" t="s">
        <v>169</v>
      </c>
      <c r="AD6" s="1"/>
      <c r="AE6" s="1" t="s">
        <v>103</v>
      </c>
      <c r="AF6" s="1" t="s">
        <v>324</v>
      </c>
      <c r="AG6" s="1"/>
      <c r="AH6" s="1"/>
      <c r="AI6" s="1"/>
    </row>
    <row r="7" spans="1:35" x14ac:dyDescent="0.3">
      <c r="A7">
        <v>2</v>
      </c>
      <c r="B7">
        <v>8</v>
      </c>
      <c r="C7">
        <v>6</v>
      </c>
      <c r="D7" t="s">
        <v>1</v>
      </c>
      <c r="E7" t="s">
        <v>4</v>
      </c>
      <c r="F7" t="s">
        <v>22</v>
      </c>
      <c r="G7" t="s">
        <v>219</v>
      </c>
      <c r="H7" t="str">
        <f t="shared" ref="H7" si="3">CONCATENATE("E",B7,"_","A",C7,"_",D7,"_",E7,"_",F7,"_",G7)</f>
        <v>E8_A6_DOHC_GDI_TURB12_NoCEGR</v>
      </c>
      <c r="I7" t="s">
        <v>23</v>
      </c>
      <c r="J7" s="5">
        <f t="shared" si="0"/>
        <v>9360.1873845834307</v>
      </c>
      <c r="K7" s="8">
        <f t="shared" si="1"/>
        <v>2016</v>
      </c>
      <c r="L7" s="5">
        <f>IF(X7="",0,INDEX(et_dmc[dmc_base],MATCH(X7,et_dmc[Tech],0),)*INDEX(gdp_deflators!$B$2:$B$15,MATCH(engine!$K7,gdp_deflators!$A$2:$A$15,0),)/INDEX(gdp_deflators!$B$2:$B$15,MATCH(INDEX(et_dmc[dmc_basis],MATCH(X7,et_dmc[Tech],0),),gdp_deflators!$A$2:$A$15,0),))</f>
        <v>0</v>
      </c>
      <c r="M7" s="5">
        <f>IF(Y7="",0,INDEX(et_dmc[dmc_base],MATCH(Y7,et_dmc[Tech],0),)*INDEX(gdp_deflators!$B$2:$B$15,MATCH(engine!$K7,gdp_deflators!$A$2:$A$15,0),)/INDEX(gdp_deflators!$B$2:$B$15,MATCH(INDEX(et_dmc[dmc_basis],MATCH(Y7,et_dmc[Tech],0),),gdp_deflators!$A$2:$A$15,0),))</f>
        <v>-331.72322501499997</v>
      </c>
      <c r="N7" s="5">
        <f>IF(Z7="",0,INDEX(et_dmc[dmc_base],MATCH(Z7,et_dmc[Tech],0),)*INDEX(gdp_deflators!$B$2:$B$15,MATCH(engine!$K7,gdp_deflators!$A$2:$A$15,0),)/INDEX(gdp_deflators!$B$2:$B$15,MATCH(INDEX(et_dmc[dmc_basis],MATCH(Z7,et_dmc[Tech],0),),gdp_deflators!$A$2:$A$15,0),))</f>
        <v>388.75234649999999</v>
      </c>
      <c r="O7" s="5">
        <f>IF(AA7="",0,INDEX(et_dmc[dmc_base],MATCH(AA7,et_dmc[Tech],0),)*INDEX(gdp_deflators!$B$2:$B$15,MATCH(engine!$K7,gdp_deflators!$A$2:$A$15,0),)/INDEX(gdp_deflators!$B$2:$B$15,MATCH(INDEX(et_dmc[dmc_basis],MATCH(AA7,et_dmc[Tech],0),),gdp_deflators!$A$2:$A$15,0),))</f>
        <v>824.73628650000001</v>
      </c>
      <c r="P7" s="5">
        <f>IF(AB7="",0,INDEX(et_dmc[dmc_base],MATCH(AB7,et_dmc[Tech],0),)*INDEX(gdp_deflators!$B$2:$B$15,MATCH(engine!$K7,gdp_deflators!$A$2:$A$15,0),)/INDEX(gdp_deflators!$B$2:$B$15,MATCH(INDEX(et_dmc[dmc_basis],MATCH(AB7,et_dmc[Tech],0),),gdp_deflators!$A$2:$A$15,0),))</f>
        <v>0</v>
      </c>
      <c r="Q7" s="5">
        <f>IF(AC7="",0,INDEX(et_dmc[dmc_base],MATCH(AC7,et_dmc[Tech],0),)*INDEX(gdp_deflators!$B$2:$B$15,MATCH(engine!$K7,gdp_deflators!$A$2:$A$15,0),)/INDEX(gdp_deflators!$B$2:$B$15,MATCH(INDEX(et_dmc[dmc_basis],MATCH(AC7,et_dmc[Tech],0),),gdp_deflators!$A$2:$A$15,0),))</f>
        <v>168.12992606602478</v>
      </c>
      <c r="R7" s="5">
        <f>IF(AD7="",0,INDEX(et_dmc[dmc_base],MATCH(AD7,et_dmc[Tech],0),)*INDEX(gdp_deflators!$B$2:$B$15,MATCH(engine!$K7,gdp_deflators!$A$2:$A$15,0),)/INDEX(gdp_deflators!$B$2:$B$15,MATCH(INDEX(et_dmc[dmc_basis],MATCH(AD7,et_dmc[Tech],0),),gdp_deflators!$A$2:$A$15,0),))</f>
        <v>0</v>
      </c>
      <c r="S7" s="5">
        <f>IF(AE7="",0,INDEX(et_dmc[dmc_base],MATCH(AE7,et_dmc[Tech],0),)*INDEX(gdp_deflators!$B$2:$B$15,MATCH(engine!$K7,gdp_deflators!$A$2:$A$15,0),)/INDEX(gdp_deflators!$B$2:$B$15,MATCH(INDEX(et_dmc[dmc_basis],MATCH(AE7,et_dmc[Tech],0),),gdp_deflators!$A$2:$A$15,0),))</f>
        <v>7.0455403335035642</v>
      </c>
      <c r="T7" s="5">
        <f>IF(AF7="",0,INDEX(et_dmc[dmc_base],MATCH(LEFT(AF7,3),et_dmc[Tech],0),)*RIGHT(AF7,1)*C7*INDEX(gdp_deflators!$B$2:$B$15,MATCH(engine!$K7,gdp_deflators!$A$2:$A$15,0),)/INDEX(gdp_deflators!$B$2:$B$15,MATCH(INDEX(et_dmc[dmc_basis],MATCH(LEFT(AF7,3),et_dmc[Tech],0),),gdp_deflators!$A$2:$A$15,0),))</f>
        <v>183.18404867109265</v>
      </c>
      <c r="U7" s="5">
        <f>IF(AG7="",0,INDEX(et_dmc[dmc_base],MATCH(AG7,et_dmc[Tech],0),)*INDEX(gdp_deflators!$B$2:$B$15,MATCH(engine!$K7,gdp_deflators!$A$2:$A$15,0),)/INDEX(gdp_deflators!$B$2:$B$15,MATCH(INDEX(et_dmc[dmc_basis],MATCH(AG7,et_dmc[Tech],0),),gdp_deflators!$A$2:$A$15,0),))</f>
        <v>0</v>
      </c>
      <c r="V7" s="5">
        <f>IF(AH7="",0,INDEX(et_dmc[dmc_base],MATCH(AH7,et_dmc[Tech],0),))</f>
        <v>0</v>
      </c>
      <c r="W7" s="5">
        <f>IF(AI7="",0,INDEX(et_dmc[dmc_base],MATCH(AI7,et_dmc[Tech],0),))</f>
        <v>0</v>
      </c>
      <c r="X7" s="1"/>
      <c r="Y7" s="1" t="s">
        <v>135</v>
      </c>
      <c r="Z7" s="1" t="s">
        <v>86</v>
      </c>
      <c r="AA7" s="1" t="s">
        <v>191</v>
      </c>
      <c r="AB7" s="1"/>
      <c r="AC7" s="1" t="s">
        <v>169</v>
      </c>
      <c r="AD7" s="1"/>
      <c r="AE7" s="1" t="s">
        <v>24</v>
      </c>
      <c r="AF7" s="1" t="s">
        <v>329</v>
      </c>
      <c r="AG7" s="1"/>
      <c r="AH7" s="1"/>
      <c r="AI7" s="1"/>
    </row>
    <row r="8" spans="1:35" x14ac:dyDescent="0.3">
      <c r="A8">
        <v>2</v>
      </c>
      <c r="B8">
        <v>6</v>
      </c>
      <c r="C8">
        <v>6</v>
      </c>
      <c r="D8" t="s">
        <v>0</v>
      </c>
      <c r="E8" t="s">
        <v>3</v>
      </c>
      <c r="F8" t="s">
        <v>21</v>
      </c>
      <c r="G8" t="s">
        <v>219</v>
      </c>
      <c r="H8" t="str">
        <f t="shared" si="2"/>
        <v>E6_A6_SOHC_PFI_NatAsp_NoCEGR</v>
      </c>
      <c r="I8" t="s">
        <v>16</v>
      </c>
      <c r="J8" s="5">
        <f t="shared" si="0"/>
        <v>7144.8670808524839</v>
      </c>
      <c r="K8" s="8">
        <f t="shared" si="1"/>
        <v>2016</v>
      </c>
      <c r="L8" s="5">
        <f>IF(X8="",0,INDEX(et_dmc[dmc_base],MATCH(X8,et_dmc[Tech],0),)*INDEX(gdp_deflators!$B$2:$B$15,MATCH(engine!$K8,gdp_deflators!$A$2:$A$15,0),)/INDEX(gdp_deflators!$B$2:$B$15,MATCH(INDEX(et_dmc[dmc_basis],MATCH(X8,et_dmc[Tech],0),),gdp_deflators!$A$2:$A$15,0),))</f>
        <v>0</v>
      </c>
      <c r="M8" s="5">
        <f>IF(Y8="",0,INDEX(et_dmc[dmc_base],MATCH(Y8,et_dmc[Tech],0),)*INDEX(gdp_deflators!$B$2:$B$15,MATCH(engine!$K8,gdp_deflators!$A$2:$A$15,0),)/INDEX(gdp_deflators!$B$2:$B$15,MATCH(INDEX(et_dmc[dmc_basis],MATCH(Y8,et_dmc[Tech],0),),gdp_deflators!$A$2:$A$15,0),))</f>
        <v>0</v>
      </c>
      <c r="N8" s="5">
        <f>IF(Z8="",0,INDEX(et_dmc[dmc_base],MATCH(Z8,et_dmc[Tech],0),)*INDEX(gdp_deflators!$B$2:$B$15,MATCH(engine!$K8,gdp_deflators!$A$2:$A$15,0),)/INDEX(gdp_deflators!$B$2:$B$15,MATCH(INDEX(et_dmc[dmc_basis],MATCH(Z8,et_dmc[Tech],0),),gdp_deflators!$A$2:$A$15,0),))</f>
        <v>0</v>
      </c>
      <c r="O8" s="5">
        <f>IF(AA8="",0,INDEX(et_dmc[dmc_base],MATCH(AA8,et_dmc[Tech],0),)*INDEX(gdp_deflators!$B$2:$B$15,MATCH(engine!$K8,gdp_deflators!$A$2:$A$15,0),)/INDEX(gdp_deflators!$B$2:$B$15,MATCH(INDEX(et_dmc[dmc_basis],MATCH(AA8,et_dmc[Tech],0),),gdp_deflators!$A$2:$A$15,0),))</f>
        <v>0</v>
      </c>
      <c r="P8" s="5">
        <f>IF(AB8="",0,INDEX(et_dmc[dmc_base],MATCH(AB8,et_dmc[Tech],0),)*INDEX(gdp_deflators!$B$2:$B$15,MATCH(engine!$K8,gdp_deflators!$A$2:$A$15,0),)/INDEX(gdp_deflators!$B$2:$B$15,MATCH(INDEX(et_dmc[dmc_basis],MATCH(AB8,et_dmc[Tech],0),),gdp_deflators!$A$2:$A$15,0),))</f>
        <v>0</v>
      </c>
      <c r="Q8" s="5">
        <f>IF(AC8="",0,INDEX(et_dmc[dmc_base],MATCH(AC8,et_dmc[Tech],0),)*INDEX(gdp_deflators!$B$2:$B$15,MATCH(engine!$K8,gdp_deflators!$A$2:$A$15,0),)/INDEX(gdp_deflators!$B$2:$B$15,MATCH(INDEX(et_dmc[dmc_basis],MATCH(AC8,et_dmc[Tech],0),),gdp_deflators!$A$2:$A$15,0),))</f>
        <v>168.12992606602478</v>
      </c>
      <c r="R8" s="5">
        <f>IF(AD8="",0,INDEX(et_dmc[dmc_base],MATCH(AD8,et_dmc[Tech],0),)*INDEX(gdp_deflators!$B$2:$B$15,MATCH(engine!$K8,gdp_deflators!$A$2:$A$15,0),)/INDEX(gdp_deflators!$B$2:$B$15,MATCH(INDEX(et_dmc[dmc_basis],MATCH(AD8,et_dmc[Tech],0),),gdp_deflators!$A$2:$A$15,0),))</f>
        <v>0</v>
      </c>
      <c r="S8" s="5">
        <f>IF(AE8="",0,INDEX(et_dmc[dmc_base],MATCH(AE8,et_dmc[Tech],0),)*INDEX(gdp_deflators!$B$2:$B$15,MATCH(engine!$K8,gdp_deflators!$A$2:$A$15,0),)/INDEX(gdp_deflators!$B$2:$B$15,MATCH(INDEX(et_dmc[dmc_basis],MATCH(AE8,et_dmc[Tech],0),),gdp_deflators!$A$2:$A$15,0),))</f>
        <v>3.5227701667517821</v>
      </c>
      <c r="T8" s="5">
        <f>IF(AF8="",0,INDEX(et_dmc[dmc_base],MATCH(LEFT(AF8,3),et_dmc[Tech],0),)*RIGHT(AF8,1)*C8*INDEX(gdp_deflators!$B$2:$B$15,MATCH(engine!$K8,gdp_deflators!$A$2:$A$15,0),)/INDEX(gdp_deflators!$B$2:$B$15,MATCH(INDEX(et_dmc[dmc_basis],MATCH(LEFT(AF8,3),et_dmc[Tech],0),),gdp_deflators!$A$2:$A$15,0),))</f>
        <v>91.592024335546327</v>
      </c>
      <c r="U8" s="5">
        <f>IF(AG8="",0,INDEX(et_dmc[dmc_base],MATCH(AG8,et_dmc[Tech],0),)*INDEX(gdp_deflators!$B$2:$B$15,MATCH(engine!$K8,gdp_deflators!$A$2:$A$15,0),)/INDEX(gdp_deflators!$B$2:$B$15,MATCH(INDEX(et_dmc[dmc_basis],MATCH(AG8,et_dmc[Tech],0),),gdp_deflators!$A$2:$A$15,0),))</f>
        <v>0</v>
      </c>
      <c r="V8" s="5">
        <f>IF(AH8="",0,INDEX(et_dmc[dmc_base],MATCH(AH8,et_dmc[Tech],0),))</f>
        <v>0</v>
      </c>
      <c r="W8" s="5">
        <f>IF(AI8="",0,INDEX(et_dmc[dmc_base],MATCH(AI8,et_dmc[Tech],0),))</f>
        <v>0</v>
      </c>
      <c r="X8" s="1"/>
      <c r="Y8" s="1"/>
      <c r="Z8" s="1"/>
      <c r="AA8" s="1"/>
      <c r="AB8" s="1"/>
      <c r="AC8" s="1" t="s">
        <v>169</v>
      </c>
      <c r="AD8" s="1"/>
      <c r="AE8" s="1" t="s">
        <v>103</v>
      </c>
      <c r="AF8" s="1" t="s">
        <v>324</v>
      </c>
      <c r="AG8" s="1"/>
      <c r="AH8" s="1"/>
      <c r="AI8" s="1"/>
    </row>
    <row r="9" spans="1:35" x14ac:dyDescent="0.3">
      <c r="A9">
        <v>2</v>
      </c>
      <c r="B9">
        <v>6</v>
      </c>
      <c r="C9">
        <v>6</v>
      </c>
      <c r="D9" t="s">
        <v>0</v>
      </c>
      <c r="E9" t="s">
        <v>4</v>
      </c>
      <c r="F9" t="s">
        <v>21</v>
      </c>
      <c r="G9" t="s">
        <v>219</v>
      </c>
      <c r="H9" t="str">
        <f t="shared" si="2"/>
        <v>E6_A6_SOHC_GDI_NatAsp_NoCEGR</v>
      </c>
      <c r="I9" t="s">
        <v>15</v>
      </c>
      <c r="J9" s="5">
        <f t="shared" si="0"/>
        <v>7727.995600602485</v>
      </c>
      <c r="K9" s="8">
        <f t="shared" si="1"/>
        <v>2016</v>
      </c>
      <c r="L9" s="5">
        <f>IF(X9="",0,INDEX(et_dmc[dmc_base],MATCH(X9,et_dmc[Tech],0),)*INDEX(gdp_deflators!$B$2:$B$15,MATCH(engine!$K9,gdp_deflators!$A$2:$A$15,0),)/INDEX(gdp_deflators!$B$2:$B$15,MATCH(INDEX(et_dmc[dmc_basis],MATCH(X9,et_dmc[Tech],0),),gdp_deflators!$A$2:$A$15,0),))</f>
        <v>0</v>
      </c>
      <c r="M9" s="5">
        <f>IF(Y9="",0,INDEX(et_dmc[dmc_base],MATCH(Y9,et_dmc[Tech],0),)*INDEX(gdp_deflators!$B$2:$B$15,MATCH(engine!$K9,gdp_deflators!$A$2:$A$15,0),)/INDEX(gdp_deflators!$B$2:$B$15,MATCH(INDEX(et_dmc[dmc_basis],MATCH(Y9,et_dmc[Tech],0),),gdp_deflators!$A$2:$A$15,0),))</f>
        <v>0</v>
      </c>
      <c r="N9" s="5">
        <f>IF(Z9="",0,INDEX(et_dmc[dmc_base],MATCH(Z9,et_dmc[Tech],0),)*INDEX(gdp_deflators!$B$2:$B$15,MATCH(engine!$K9,gdp_deflators!$A$2:$A$15,0),)/INDEX(gdp_deflators!$B$2:$B$15,MATCH(INDEX(et_dmc[dmc_basis],MATCH(Z9,et_dmc[Tech],0),),gdp_deflators!$A$2:$A$15,0),))</f>
        <v>388.75234649999999</v>
      </c>
      <c r="O9" s="5">
        <f>IF(AA9="",0,INDEX(et_dmc[dmc_base],MATCH(AA9,et_dmc[Tech],0),)*INDEX(gdp_deflators!$B$2:$B$15,MATCH(engine!$K9,gdp_deflators!$A$2:$A$15,0),)/INDEX(gdp_deflators!$B$2:$B$15,MATCH(INDEX(et_dmc[dmc_basis],MATCH(AA9,et_dmc[Tech],0),),gdp_deflators!$A$2:$A$15,0),))</f>
        <v>0</v>
      </c>
      <c r="P9" s="5">
        <f>IF(AB9="",0,INDEX(et_dmc[dmc_base],MATCH(AB9,et_dmc[Tech],0),)*INDEX(gdp_deflators!$B$2:$B$15,MATCH(engine!$K9,gdp_deflators!$A$2:$A$15,0),)/INDEX(gdp_deflators!$B$2:$B$15,MATCH(INDEX(et_dmc[dmc_basis],MATCH(AB9,et_dmc[Tech],0),),gdp_deflators!$A$2:$A$15,0),))</f>
        <v>0</v>
      </c>
      <c r="Q9" s="5">
        <f>IF(AC9="",0,INDEX(et_dmc[dmc_base],MATCH(AC9,et_dmc[Tech],0),)*INDEX(gdp_deflators!$B$2:$B$15,MATCH(engine!$K9,gdp_deflators!$A$2:$A$15,0),)/INDEX(gdp_deflators!$B$2:$B$15,MATCH(INDEX(et_dmc[dmc_basis],MATCH(AC9,et_dmc[Tech],0),),gdp_deflators!$A$2:$A$15,0),))</f>
        <v>168.12992606602478</v>
      </c>
      <c r="R9" s="5">
        <f>IF(AD9="",0,INDEX(et_dmc[dmc_base],MATCH(AD9,et_dmc[Tech],0),)*INDEX(gdp_deflators!$B$2:$B$15,MATCH(engine!$K9,gdp_deflators!$A$2:$A$15,0),)/INDEX(gdp_deflators!$B$2:$B$15,MATCH(INDEX(et_dmc[dmc_basis],MATCH(AD9,et_dmc[Tech],0),),gdp_deflators!$A$2:$A$15,0),))</f>
        <v>0</v>
      </c>
      <c r="S9" s="5">
        <f>IF(AE9="",0,INDEX(et_dmc[dmc_base],MATCH(AE9,et_dmc[Tech],0),)*INDEX(gdp_deflators!$B$2:$B$15,MATCH(engine!$K9,gdp_deflators!$A$2:$A$15,0),)/INDEX(gdp_deflators!$B$2:$B$15,MATCH(INDEX(et_dmc[dmc_basis],MATCH(AE9,et_dmc[Tech],0),),gdp_deflators!$A$2:$A$15,0),))</f>
        <v>3.5227701667517821</v>
      </c>
      <c r="T9" s="5">
        <f>IF(AF9="",0,INDEX(et_dmc[dmc_base],MATCH(LEFT(AF9,3),et_dmc[Tech],0),)*RIGHT(AF9,1)*C9*INDEX(gdp_deflators!$B$2:$B$15,MATCH(engine!$K9,gdp_deflators!$A$2:$A$15,0),)/INDEX(gdp_deflators!$B$2:$B$15,MATCH(INDEX(et_dmc[dmc_basis],MATCH(LEFT(AF9,3),et_dmc[Tech],0),),gdp_deflators!$A$2:$A$15,0),))</f>
        <v>91.592024335546327</v>
      </c>
      <c r="U9" s="5">
        <f>IF(AG9="",0,INDEX(et_dmc[dmc_base],MATCH(AG9,et_dmc[Tech],0),)*INDEX(gdp_deflators!$B$2:$B$15,MATCH(engine!$K9,gdp_deflators!$A$2:$A$15,0),)/INDEX(gdp_deflators!$B$2:$B$15,MATCH(INDEX(et_dmc[dmc_basis],MATCH(AG9,et_dmc[Tech],0),),gdp_deflators!$A$2:$A$15,0),))</f>
        <v>0</v>
      </c>
      <c r="V9" s="5">
        <f>IF(AH9="",0,INDEX(et_dmc[dmc_base],MATCH(AH9,et_dmc[Tech],0),))</f>
        <v>0</v>
      </c>
      <c r="W9" s="5">
        <f>IF(AI9="",0,INDEX(et_dmc[dmc_base],MATCH(AI9,et_dmc[Tech],0),))</f>
        <v>0</v>
      </c>
      <c r="X9" s="1"/>
      <c r="Y9" s="1"/>
      <c r="Z9" s="1" t="s">
        <v>86</v>
      </c>
      <c r="AA9" s="1"/>
      <c r="AB9" s="1"/>
      <c r="AC9" s="1" t="s">
        <v>169</v>
      </c>
      <c r="AD9" s="1"/>
      <c r="AE9" s="1" t="s">
        <v>103</v>
      </c>
      <c r="AF9" s="1" t="s">
        <v>324</v>
      </c>
      <c r="AG9" s="1"/>
      <c r="AH9" s="1"/>
      <c r="AI9" s="1"/>
    </row>
    <row r="10" spans="1:35" x14ac:dyDescent="0.3">
      <c r="A10">
        <v>2</v>
      </c>
      <c r="B10">
        <v>6</v>
      </c>
      <c r="C10">
        <v>6</v>
      </c>
      <c r="D10" t="s">
        <v>1</v>
      </c>
      <c r="E10" t="s">
        <v>3</v>
      </c>
      <c r="F10" t="s">
        <v>21</v>
      </c>
      <c r="G10" t="s">
        <v>219</v>
      </c>
      <c r="H10" t="str">
        <f t="shared" si="2"/>
        <v>E6_A6_DOHC_PFI_NatAsp_NoCEGR</v>
      </c>
      <c r="I10" t="s">
        <v>16</v>
      </c>
      <c r="J10" s="5">
        <f t="shared" si="0"/>
        <v>7444.4071823037157</v>
      </c>
      <c r="K10" s="8">
        <f t="shared" si="1"/>
        <v>2016</v>
      </c>
      <c r="L10" s="5">
        <f>IF(X10="",0,INDEX(et_dmc[dmc_base],MATCH(X10,et_dmc[Tech],0),)*INDEX(gdp_deflators!$B$2:$B$15,MATCH(engine!$K10,gdp_deflators!$A$2:$A$15,0),)/INDEX(gdp_deflators!$B$2:$B$15,MATCH(INDEX(et_dmc[dmc_basis],MATCH(X10,et_dmc[Tech],0),),gdp_deflators!$A$2:$A$15,0),))</f>
        <v>199.693400967488</v>
      </c>
      <c r="M10" s="5">
        <f>IF(Y10="",0,INDEX(et_dmc[dmc_base],MATCH(Y10,et_dmc[Tech],0),)*INDEX(gdp_deflators!$B$2:$B$15,MATCH(engine!$K10,gdp_deflators!$A$2:$A$15,0),)/INDEX(gdp_deflators!$B$2:$B$15,MATCH(INDEX(et_dmc[dmc_basis],MATCH(Y10,et_dmc[Tech],0),),gdp_deflators!$A$2:$A$15,0),))</f>
        <v>0</v>
      </c>
      <c r="N10" s="5">
        <f>IF(Z10="",0,INDEX(et_dmc[dmc_base],MATCH(Z10,et_dmc[Tech],0),)*INDEX(gdp_deflators!$B$2:$B$15,MATCH(engine!$K10,gdp_deflators!$A$2:$A$15,0),)/INDEX(gdp_deflators!$B$2:$B$15,MATCH(INDEX(et_dmc[dmc_basis],MATCH(Z10,et_dmc[Tech],0),),gdp_deflators!$A$2:$A$15,0),))</f>
        <v>0</v>
      </c>
      <c r="O10" s="5">
        <f>IF(AA10="",0,INDEX(et_dmc[dmc_base],MATCH(AA10,et_dmc[Tech],0),)*INDEX(gdp_deflators!$B$2:$B$15,MATCH(engine!$K10,gdp_deflators!$A$2:$A$15,0),)/INDEX(gdp_deflators!$B$2:$B$15,MATCH(INDEX(et_dmc[dmc_basis],MATCH(AA10,et_dmc[Tech],0),),gdp_deflators!$A$2:$A$15,0),))</f>
        <v>0</v>
      </c>
      <c r="P10" s="5">
        <f>IF(AB10="",0,INDEX(et_dmc[dmc_base],MATCH(AB10,et_dmc[Tech],0),)*INDEX(gdp_deflators!$B$2:$B$15,MATCH(engine!$K10,gdp_deflators!$A$2:$A$15,0),)/INDEX(gdp_deflators!$B$2:$B$15,MATCH(INDEX(et_dmc[dmc_basis],MATCH(AB10,et_dmc[Tech],0),),gdp_deflators!$A$2:$A$15,0),))</f>
        <v>0</v>
      </c>
      <c r="Q10" s="5">
        <f>IF(AC10="",0,INDEX(et_dmc[dmc_base],MATCH(AC10,et_dmc[Tech],0),)*INDEX(gdp_deflators!$B$2:$B$15,MATCH(engine!$K10,gdp_deflators!$A$2:$A$15,0),)/INDEX(gdp_deflators!$B$2:$B$15,MATCH(INDEX(et_dmc[dmc_basis],MATCH(AC10,et_dmc[Tech],0),),gdp_deflators!$A$2:$A$15,0),))</f>
        <v>168.12992606602478</v>
      </c>
      <c r="R10" s="5">
        <f>IF(AD10="",0,INDEX(et_dmc[dmc_base],MATCH(AD10,et_dmc[Tech],0),)*INDEX(gdp_deflators!$B$2:$B$15,MATCH(engine!$K10,gdp_deflators!$A$2:$A$15,0),)/INDEX(gdp_deflators!$B$2:$B$15,MATCH(INDEX(et_dmc[dmc_basis],MATCH(AD10,et_dmc[Tech],0),),gdp_deflators!$A$2:$A$15,0),))</f>
        <v>0</v>
      </c>
      <c r="S10" s="5">
        <f>IF(AE10="",0,INDEX(et_dmc[dmc_base],MATCH(AE10,et_dmc[Tech],0),)*INDEX(gdp_deflators!$B$2:$B$15,MATCH(engine!$K10,gdp_deflators!$A$2:$A$15,0),)/INDEX(gdp_deflators!$B$2:$B$15,MATCH(INDEX(et_dmc[dmc_basis],MATCH(AE10,et_dmc[Tech],0),),gdp_deflators!$A$2:$A$15,0),))</f>
        <v>3.5227701667517821</v>
      </c>
      <c r="T10" s="5">
        <f>IF(AF10="",0,INDEX(et_dmc[dmc_base],MATCH(LEFT(AF10,3),et_dmc[Tech],0),)*RIGHT(AF10,1)*C10*INDEX(gdp_deflators!$B$2:$B$15,MATCH(engine!$K10,gdp_deflators!$A$2:$A$15,0),)/INDEX(gdp_deflators!$B$2:$B$15,MATCH(INDEX(et_dmc[dmc_basis],MATCH(LEFT(AF10,3),et_dmc[Tech],0),),gdp_deflators!$A$2:$A$15,0),))</f>
        <v>91.592024335546327</v>
      </c>
      <c r="U10" s="5">
        <f>IF(AG10="",0,INDEX(et_dmc[dmc_base],MATCH(AG10,et_dmc[Tech],0),)*INDEX(gdp_deflators!$B$2:$B$15,MATCH(engine!$K10,gdp_deflators!$A$2:$A$15,0),)/INDEX(gdp_deflators!$B$2:$B$15,MATCH(INDEX(et_dmc[dmc_basis],MATCH(AG10,et_dmc[Tech],0),),gdp_deflators!$A$2:$A$15,0),))</f>
        <v>0</v>
      </c>
      <c r="V10" s="5">
        <f>IF(AH10="",0,INDEX(et_dmc[dmc_base],MATCH(AH10,et_dmc[Tech],0),))</f>
        <v>0</v>
      </c>
      <c r="W10" s="5">
        <f>IF(AI10="",0,INDEX(et_dmc[dmc_base],MATCH(AI10,et_dmc[Tech],0),))</f>
        <v>0</v>
      </c>
      <c r="X10" s="1" t="s">
        <v>131</v>
      </c>
      <c r="Y10" s="1"/>
      <c r="Z10" s="1"/>
      <c r="AA10" s="1"/>
      <c r="AB10" s="1"/>
      <c r="AC10" s="1" t="s">
        <v>169</v>
      </c>
      <c r="AD10" s="1"/>
      <c r="AE10" s="1" t="s">
        <v>103</v>
      </c>
      <c r="AF10" s="1" t="s">
        <v>324</v>
      </c>
      <c r="AG10" s="1"/>
      <c r="AH10" s="1"/>
      <c r="AI10" s="1"/>
    </row>
    <row r="11" spans="1:35" x14ac:dyDescent="0.3">
      <c r="A11">
        <v>2</v>
      </c>
      <c r="B11">
        <v>6</v>
      </c>
      <c r="C11">
        <v>6</v>
      </c>
      <c r="D11" t="s">
        <v>1</v>
      </c>
      <c r="E11" t="s">
        <v>4</v>
      </c>
      <c r="F11" t="s">
        <v>21</v>
      </c>
      <c r="G11" t="s">
        <v>219</v>
      </c>
      <c r="H11" t="str">
        <f t="shared" si="2"/>
        <v>E6_A6_DOHC_GDI_NatAsp_NoCEGR</v>
      </c>
      <c r="I11" t="s">
        <v>15</v>
      </c>
      <c r="J11" s="5">
        <f t="shared" si="0"/>
        <v>8027.5357020537167</v>
      </c>
      <c r="K11" s="8">
        <f t="shared" si="1"/>
        <v>2016</v>
      </c>
      <c r="L11" s="5">
        <f>IF(X11="",0,INDEX(et_dmc[dmc_base],MATCH(X11,et_dmc[Tech],0),)*INDEX(gdp_deflators!$B$2:$B$15,MATCH(engine!$K11,gdp_deflators!$A$2:$A$15,0),)/INDEX(gdp_deflators!$B$2:$B$15,MATCH(INDEX(et_dmc[dmc_basis],MATCH(X11,et_dmc[Tech],0),),gdp_deflators!$A$2:$A$15,0),))</f>
        <v>199.693400967488</v>
      </c>
      <c r="M11" s="5">
        <f>IF(Y11="",0,INDEX(et_dmc[dmc_base],MATCH(Y11,et_dmc[Tech],0),)*INDEX(gdp_deflators!$B$2:$B$15,MATCH(engine!$K11,gdp_deflators!$A$2:$A$15,0),)/INDEX(gdp_deflators!$B$2:$B$15,MATCH(INDEX(et_dmc[dmc_basis],MATCH(Y11,et_dmc[Tech],0),),gdp_deflators!$A$2:$A$15,0),))</f>
        <v>0</v>
      </c>
      <c r="N11" s="5">
        <f>IF(Z11="",0,INDEX(et_dmc[dmc_base],MATCH(Z11,et_dmc[Tech],0),)*INDEX(gdp_deflators!$B$2:$B$15,MATCH(engine!$K11,gdp_deflators!$A$2:$A$15,0),)/INDEX(gdp_deflators!$B$2:$B$15,MATCH(INDEX(et_dmc[dmc_basis],MATCH(Z11,et_dmc[Tech],0),),gdp_deflators!$A$2:$A$15,0),))</f>
        <v>388.75234649999999</v>
      </c>
      <c r="O11" s="5">
        <f>IF(AA11="",0,INDEX(et_dmc[dmc_base],MATCH(AA11,et_dmc[Tech],0),)*INDEX(gdp_deflators!$B$2:$B$15,MATCH(engine!$K11,gdp_deflators!$A$2:$A$15,0),)/INDEX(gdp_deflators!$B$2:$B$15,MATCH(INDEX(et_dmc[dmc_basis],MATCH(AA11,et_dmc[Tech],0),),gdp_deflators!$A$2:$A$15,0),))</f>
        <v>0</v>
      </c>
      <c r="P11" s="5">
        <f>IF(AB11="",0,INDEX(et_dmc[dmc_base],MATCH(AB11,et_dmc[Tech],0),)*INDEX(gdp_deflators!$B$2:$B$15,MATCH(engine!$K11,gdp_deflators!$A$2:$A$15,0),)/INDEX(gdp_deflators!$B$2:$B$15,MATCH(INDEX(et_dmc[dmc_basis],MATCH(AB11,et_dmc[Tech],0),),gdp_deflators!$A$2:$A$15,0),))</f>
        <v>0</v>
      </c>
      <c r="Q11" s="5">
        <f>IF(AC11="",0,INDEX(et_dmc[dmc_base],MATCH(AC11,et_dmc[Tech],0),)*INDEX(gdp_deflators!$B$2:$B$15,MATCH(engine!$K11,gdp_deflators!$A$2:$A$15,0),)/INDEX(gdp_deflators!$B$2:$B$15,MATCH(INDEX(et_dmc[dmc_basis],MATCH(AC11,et_dmc[Tech],0),),gdp_deflators!$A$2:$A$15,0),))</f>
        <v>168.12992606602478</v>
      </c>
      <c r="R11" s="5">
        <f>IF(AD11="",0,INDEX(et_dmc[dmc_base],MATCH(AD11,et_dmc[Tech],0),)*INDEX(gdp_deflators!$B$2:$B$15,MATCH(engine!$K11,gdp_deflators!$A$2:$A$15,0),)/INDEX(gdp_deflators!$B$2:$B$15,MATCH(INDEX(et_dmc[dmc_basis],MATCH(AD11,et_dmc[Tech],0),),gdp_deflators!$A$2:$A$15,0),))</f>
        <v>0</v>
      </c>
      <c r="S11" s="5">
        <f>IF(AE11="",0,INDEX(et_dmc[dmc_base],MATCH(AE11,et_dmc[Tech],0),)*INDEX(gdp_deflators!$B$2:$B$15,MATCH(engine!$K11,gdp_deflators!$A$2:$A$15,0),)/INDEX(gdp_deflators!$B$2:$B$15,MATCH(INDEX(et_dmc[dmc_basis],MATCH(AE11,et_dmc[Tech],0),),gdp_deflators!$A$2:$A$15,0),))</f>
        <v>3.5227701667517821</v>
      </c>
      <c r="T11" s="5">
        <f>IF(AF11="",0,INDEX(et_dmc[dmc_base],MATCH(LEFT(AF11,3),et_dmc[Tech],0),)*RIGHT(AF11,1)*C11*INDEX(gdp_deflators!$B$2:$B$15,MATCH(engine!$K11,gdp_deflators!$A$2:$A$15,0),)/INDEX(gdp_deflators!$B$2:$B$15,MATCH(INDEX(et_dmc[dmc_basis],MATCH(LEFT(AF11,3),et_dmc[Tech],0),),gdp_deflators!$A$2:$A$15,0),))</f>
        <v>91.592024335546327</v>
      </c>
      <c r="U11" s="5">
        <f>IF(AG11="",0,INDEX(et_dmc[dmc_base],MATCH(AG11,et_dmc[Tech],0),)*INDEX(gdp_deflators!$B$2:$B$15,MATCH(engine!$K11,gdp_deflators!$A$2:$A$15,0),)/INDEX(gdp_deflators!$B$2:$B$15,MATCH(INDEX(et_dmc[dmc_basis],MATCH(AG11,et_dmc[Tech],0),),gdp_deflators!$A$2:$A$15,0),))</f>
        <v>0</v>
      </c>
      <c r="V11" s="5">
        <f>IF(AH11="",0,INDEX(et_dmc[dmc_base],MATCH(AH11,et_dmc[Tech],0),))</f>
        <v>0</v>
      </c>
      <c r="W11" s="5">
        <f>IF(AI11="",0,INDEX(et_dmc[dmc_base],MATCH(AI11,et_dmc[Tech],0),))</f>
        <v>0</v>
      </c>
      <c r="X11" s="1" t="s">
        <v>131</v>
      </c>
      <c r="Y11" s="1"/>
      <c r="Z11" s="1" t="s">
        <v>86</v>
      </c>
      <c r="AA11" s="1"/>
      <c r="AB11" s="1"/>
      <c r="AC11" s="1" t="s">
        <v>169</v>
      </c>
      <c r="AD11" s="1"/>
      <c r="AE11" s="1" t="s">
        <v>103</v>
      </c>
      <c r="AF11" s="1" t="s">
        <v>324</v>
      </c>
      <c r="AG11" s="1"/>
      <c r="AH11" s="1"/>
      <c r="AI11" s="1"/>
    </row>
    <row r="12" spans="1:35" x14ac:dyDescent="0.3">
      <c r="A12">
        <v>2</v>
      </c>
      <c r="B12">
        <v>6</v>
      </c>
      <c r="C12">
        <v>4</v>
      </c>
      <c r="D12" t="s">
        <v>1</v>
      </c>
      <c r="E12" t="s">
        <v>4</v>
      </c>
      <c r="F12" t="s">
        <v>20</v>
      </c>
      <c r="G12" t="s">
        <v>219</v>
      </c>
      <c r="H12" t="str">
        <f t="shared" si="2"/>
        <v>E6_A4_DOHC_GDI_TURB11_NoCEGR</v>
      </c>
      <c r="I12" t="s">
        <v>19</v>
      </c>
      <c r="J12" s="5">
        <f t="shared" si="0"/>
        <v>7390.6322528277615</v>
      </c>
      <c r="K12" s="8">
        <f t="shared" si="1"/>
        <v>2016</v>
      </c>
      <c r="L12" s="5">
        <f>IF(X12="",0,INDEX(et_dmc[dmc_base],MATCH(X12,et_dmc[Tech],0),)*INDEX(gdp_deflators!$B$2:$B$15,MATCH(engine!$K12,gdp_deflators!$A$2:$A$15,0),)/INDEX(gdp_deflators!$B$2:$B$15,MATCH(INDEX(et_dmc[dmc_basis],MATCH(X12,et_dmc[Tech],0),),gdp_deflators!$A$2:$A$15,0),))</f>
        <v>0</v>
      </c>
      <c r="M12" s="5">
        <f>IF(Y12="",0,INDEX(et_dmc[dmc_base],MATCH(Y12,et_dmc[Tech],0),)*INDEX(gdp_deflators!$B$2:$B$15,MATCH(engine!$K12,gdp_deflators!$A$2:$A$15,0),)/INDEX(gdp_deflators!$B$2:$B$15,MATCH(INDEX(et_dmc[dmc_basis],MATCH(Y12,et_dmc[Tech],0),),gdp_deflators!$A$2:$A$15,0),))</f>
        <v>-463.07549760500001</v>
      </c>
      <c r="N12" s="5">
        <f>IF(Z12="",0,INDEX(et_dmc[dmc_base],MATCH(Z12,et_dmc[Tech],0),)*INDEX(gdp_deflators!$B$2:$B$15,MATCH(engine!$K12,gdp_deflators!$A$2:$A$15,0),)/INDEX(gdp_deflators!$B$2:$B$15,MATCH(INDEX(et_dmc[dmc_basis],MATCH(Z12,et_dmc[Tech],0),),gdp_deflators!$A$2:$A$15,0),))</f>
        <v>257.95716449999998</v>
      </c>
      <c r="O12" s="5">
        <f>IF(AA12="",0,INDEX(et_dmc[dmc_base],MATCH(AA12,et_dmc[Tech],0),)*INDEX(gdp_deflators!$B$2:$B$15,MATCH(engine!$K12,gdp_deflators!$A$2:$A$15,0),)/INDEX(gdp_deflators!$B$2:$B$15,MATCH(INDEX(et_dmc[dmc_basis],MATCH(AA12,et_dmc[Tech],0),),gdp_deflators!$A$2:$A$15,0),))</f>
        <v>489.27086599999996</v>
      </c>
      <c r="P12" s="5">
        <f>IF(AB12="",0,INDEX(et_dmc[dmc_base],MATCH(AB12,et_dmc[Tech],0),)*INDEX(gdp_deflators!$B$2:$B$15,MATCH(engine!$K12,gdp_deflators!$A$2:$A$15,0),)/INDEX(gdp_deflators!$B$2:$B$15,MATCH(INDEX(et_dmc[dmc_basis],MATCH(AB12,et_dmc[Tech],0),),gdp_deflators!$A$2:$A$15,0),))</f>
        <v>0</v>
      </c>
      <c r="Q12" s="5">
        <f>IF(AC12="",0,INDEX(et_dmc[dmc_base],MATCH(AC12,et_dmc[Tech],0),)*INDEX(gdp_deflators!$B$2:$B$15,MATCH(engine!$K12,gdp_deflators!$A$2:$A$15,0),)/INDEX(gdp_deflators!$B$2:$B$15,MATCH(INDEX(et_dmc[dmc_basis],MATCH(AC12,et_dmc[Tech],0),),gdp_deflators!$A$2:$A$15,0),))</f>
        <v>78.351515933058238</v>
      </c>
      <c r="R12" s="5">
        <f>IF(AD12="",0,INDEX(et_dmc[dmc_base],MATCH(AD12,et_dmc[Tech],0),)*INDEX(gdp_deflators!$B$2:$B$15,MATCH(engine!$K12,gdp_deflators!$A$2:$A$15,0),)/INDEX(gdp_deflators!$B$2:$B$15,MATCH(INDEX(et_dmc[dmc_basis],MATCH(AD12,et_dmc[Tech],0),),gdp_deflators!$A$2:$A$15,0),))</f>
        <v>0</v>
      </c>
      <c r="S12" s="5">
        <f>IF(AE12="",0,INDEX(et_dmc[dmc_base],MATCH(AE12,et_dmc[Tech],0),)*INDEX(gdp_deflators!$B$2:$B$15,MATCH(engine!$K12,gdp_deflators!$A$2:$A$15,0),)/INDEX(gdp_deflators!$B$2:$B$15,MATCH(INDEX(et_dmc[dmc_basis],MATCH(AE12,et_dmc[Tech],0),),gdp_deflators!$A$2:$A$15,0),))</f>
        <v>3.5227701667517821</v>
      </c>
      <c r="T12" s="5">
        <f>IF(AF12="",0,INDEX(et_dmc[dmc_base],MATCH(LEFT(AF12,3),et_dmc[Tech],0),)*RIGHT(AF12,1)*C12*INDEX(gdp_deflators!$B$2:$B$15,MATCH(engine!$K12,gdp_deflators!$A$2:$A$15,0),)/INDEX(gdp_deflators!$B$2:$B$15,MATCH(INDEX(et_dmc[dmc_basis],MATCH(LEFT(AF12,3),et_dmc[Tech],0),),gdp_deflators!$A$2:$A$15,0),))</f>
        <v>61.061349557030887</v>
      </c>
      <c r="U12" s="5">
        <f>IF(AG12="",0,INDEX(et_dmc[dmc_base],MATCH(AG12,et_dmc[Tech],0),)*INDEX(gdp_deflators!$B$2:$B$15,MATCH(engine!$K12,gdp_deflators!$A$2:$A$15,0),)/INDEX(gdp_deflators!$B$2:$B$15,MATCH(INDEX(et_dmc[dmc_basis],MATCH(AG12,et_dmc[Tech],0),),gdp_deflators!$A$2:$A$15,0),))</f>
        <v>0</v>
      </c>
      <c r="V12" s="5">
        <f>IF(AH12="",0,INDEX(et_dmc[dmc_base],MATCH(AH12,et_dmc[Tech],0),))</f>
        <v>0</v>
      </c>
      <c r="W12" s="5">
        <f>IF(AI12="",0,INDEX(et_dmc[dmc_base],MATCH(AI12,et_dmc[Tech],0),))</f>
        <v>0</v>
      </c>
      <c r="X12" s="1"/>
      <c r="Y12" s="1" t="s">
        <v>127</v>
      </c>
      <c r="Z12" s="1" t="s">
        <v>81</v>
      </c>
      <c r="AA12" s="1" t="s">
        <v>105</v>
      </c>
      <c r="AB12" s="1"/>
      <c r="AC12" s="1" t="s">
        <v>166</v>
      </c>
      <c r="AD12" s="1"/>
      <c r="AE12" s="1" t="s">
        <v>103</v>
      </c>
      <c r="AF12" s="1" t="s">
        <v>324</v>
      </c>
      <c r="AG12" s="1"/>
      <c r="AH12" s="1"/>
      <c r="AI12" s="1"/>
    </row>
    <row r="13" spans="1:35" x14ac:dyDescent="0.3">
      <c r="A13">
        <v>2</v>
      </c>
      <c r="B13">
        <v>6</v>
      </c>
      <c r="C13">
        <v>3</v>
      </c>
      <c r="D13" t="s">
        <v>1</v>
      </c>
      <c r="E13" t="s">
        <v>4</v>
      </c>
      <c r="F13" t="s">
        <v>20</v>
      </c>
      <c r="G13" t="s">
        <v>219</v>
      </c>
      <c r="H13" t="str">
        <f t="shared" si="2"/>
        <v>E6_A3_DOHC_GDI_TURB11_NoCEGR</v>
      </c>
      <c r="I13" t="s">
        <v>19</v>
      </c>
      <c r="J13" s="5">
        <f t="shared" si="0"/>
        <v>7074.1495181513747</v>
      </c>
      <c r="K13" s="8">
        <f t="shared" si="1"/>
        <v>2016</v>
      </c>
      <c r="L13" s="5">
        <f>IF(X13="",0,INDEX(et_dmc[dmc_base],MATCH(X13,et_dmc[Tech],0),)*INDEX(gdp_deflators!$B$2:$B$15,MATCH(engine!$K13,gdp_deflators!$A$2:$A$15,0),)/INDEX(gdp_deflators!$B$2:$B$15,MATCH(INDEX(et_dmc[dmc_basis],MATCH(X13,et_dmc[Tech],0),),gdp_deflators!$A$2:$A$15,0),))</f>
        <v>0</v>
      </c>
      <c r="M13" s="5">
        <f>IF(Y13="",0,INDEX(et_dmc[dmc_base],MATCH(Y13,et_dmc[Tech],0),)*INDEX(gdp_deflators!$B$2:$B$15,MATCH(engine!$K13,gdp_deflators!$A$2:$A$15,0),)/INDEX(gdp_deflators!$B$2:$B$15,MATCH(INDEX(et_dmc[dmc_basis],MATCH(Y13,et_dmc[Tech],0),),gdp_deflators!$A$2:$A$15,0),))</f>
        <v>-658.79864999999995</v>
      </c>
      <c r="N13" s="5">
        <f>IF(Z13="",0,INDEX(et_dmc[dmc_base],MATCH(Z13,et_dmc[Tech],0),)*INDEX(gdp_deflators!$B$2:$B$15,MATCH(engine!$K13,gdp_deflators!$A$2:$A$15,0),)/INDEX(gdp_deflators!$B$2:$B$15,MATCH(INDEX(et_dmc[dmc_basis],MATCH(Z13,et_dmc[Tech],0),),gdp_deflators!$A$2:$A$15,0),))</f>
        <v>257.95716449999998</v>
      </c>
      <c r="O13" s="5">
        <f>IF(AA13="",0,INDEX(et_dmc[dmc_base],MATCH(AA13,et_dmc[Tech],0),)*INDEX(gdp_deflators!$B$2:$B$15,MATCH(engine!$K13,gdp_deflators!$A$2:$A$15,0),)/INDEX(gdp_deflators!$B$2:$B$15,MATCH(INDEX(et_dmc[dmc_basis],MATCH(AA13,et_dmc[Tech],0),),gdp_deflators!$A$2:$A$15,0),))</f>
        <v>489.27086599999996</v>
      </c>
      <c r="P13" s="5">
        <f>IF(AB13="",0,INDEX(et_dmc[dmc_base],MATCH(AB13,et_dmc[Tech],0),)*INDEX(gdp_deflators!$B$2:$B$15,MATCH(engine!$K13,gdp_deflators!$A$2:$A$15,0),)/INDEX(gdp_deflators!$B$2:$B$15,MATCH(INDEX(et_dmc[dmc_basis],MATCH(AB13,et_dmc[Tech],0),),gdp_deflators!$A$2:$A$15,0),))</f>
        <v>0</v>
      </c>
      <c r="Q13" s="5">
        <f>IF(AC13="",0,INDEX(et_dmc[dmc_base],MATCH(AC13,et_dmc[Tech],0),)*INDEX(gdp_deflators!$B$2:$B$15,MATCH(engine!$K13,gdp_deflators!$A$2:$A$15,0),)/INDEX(gdp_deflators!$B$2:$B$15,MATCH(INDEX(et_dmc[dmc_basis],MATCH(AC13,et_dmc[Tech],0),),gdp_deflators!$A$2:$A$15,0),))</f>
        <v>78.351515933058238</v>
      </c>
      <c r="R13" s="5">
        <f>IF(AD13="",0,INDEX(et_dmc[dmc_base],MATCH(AD13,et_dmc[Tech],0),)*INDEX(gdp_deflators!$B$2:$B$15,MATCH(engine!$K13,gdp_deflators!$A$2:$A$15,0),)/INDEX(gdp_deflators!$B$2:$B$15,MATCH(INDEX(et_dmc[dmc_basis],MATCH(AD13,et_dmc[Tech],0),),gdp_deflators!$A$2:$A$15,0),))</f>
        <v>0</v>
      </c>
      <c r="S13" s="5">
        <f>IF(AE13="",0,INDEX(et_dmc[dmc_base],MATCH(AE13,et_dmc[Tech],0),)*INDEX(gdp_deflators!$B$2:$B$15,MATCH(engine!$K13,gdp_deflators!$A$2:$A$15,0),)/INDEX(gdp_deflators!$B$2:$B$15,MATCH(INDEX(et_dmc[dmc_basis],MATCH(AE13,et_dmc[Tech],0),),gdp_deflators!$A$2:$A$15,0),))</f>
        <v>3.5227701667517821</v>
      </c>
      <c r="T13" s="5">
        <f>IF(AF13="",0,INDEX(et_dmc[dmc_base],MATCH(LEFT(AF13,3),et_dmc[Tech],0),)*RIGHT(AF13,1)*C13*INDEX(gdp_deflators!$B$2:$B$15,MATCH(engine!$K13,gdp_deflators!$A$2:$A$15,0),)/INDEX(gdp_deflators!$B$2:$B$15,MATCH(INDEX(et_dmc[dmc_basis],MATCH(LEFT(AF13,3),et_dmc[Tech],0),),gdp_deflators!$A$2:$A$15,0),))</f>
        <v>45.796012167773164</v>
      </c>
      <c r="U13" s="5">
        <f>IF(AG13="",0,INDEX(et_dmc[dmc_base],MATCH(AG13,et_dmc[Tech],0),)*INDEX(gdp_deflators!$B$2:$B$15,MATCH(engine!$K13,gdp_deflators!$A$2:$A$15,0),)/INDEX(gdp_deflators!$B$2:$B$15,MATCH(INDEX(et_dmc[dmc_basis],MATCH(AG13,et_dmc[Tech],0),),gdp_deflators!$A$2:$A$15,0),))</f>
        <v>0</v>
      </c>
      <c r="V13" s="5">
        <f>IF(AH13="",0,INDEX(et_dmc[dmc_base],MATCH(AH13,et_dmc[Tech],0),))</f>
        <v>0</v>
      </c>
      <c r="W13" s="5">
        <f>IF(AI13="",0,INDEX(et_dmc[dmc_base],MATCH(AI13,et_dmc[Tech],0),))</f>
        <v>0</v>
      </c>
      <c r="X13" s="1"/>
      <c r="Y13" s="1" t="s">
        <v>125</v>
      </c>
      <c r="Z13" s="1" t="s">
        <v>84</v>
      </c>
      <c r="AA13" s="1" t="s">
        <v>105</v>
      </c>
      <c r="AB13" s="1"/>
      <c r="AC13" s="1" t="s">
        <v>166</v>
      </c>
      <c r="AD13" s="1"/>
      <c r="AE13" s="1" t="s">
        <v>103</v>
      </c>
      <c r="AF13" s="1" t="s">
        <v>324</v>
      </c>
      <c r="AG13" s="1"/>
      <c r="AH13" s="1"/>
      <c r="AI13" s="1"/>
    </row>
    <row r="14" spans="1:35" x14ac:dyDescent="0.3">
      <c r="A14">
        <v>2</v>
      </c>
      <c r="B14">
        <v>6</v>
      </c>
      <c r="C14">
        <v>6</v>
      </c>
      <c r="D14" t="s">
        <v>1</v>
      </c>
      <c r="E14" t="s">
        <v>4</v>
      </c>
      <c r="F14" t="s">
        <v>17</v>
      </c>
      <c r="G14" t="s">
        <v>219</v>
      </c>
      <c r="H14" t="str">
        <f t="shared" si="2"/>
        <v>E6_A6_DOHC_GDI_ATK_NoCEGR</v>
      </c>
      <c r="I14" t="s">
        <v>18</v>
      </c>
      <c r="J14" s="5">
        <f t="shared" si="0"/>
        <v>8027.5357020537167</v>
      </c>
      <c r="K14" s="8">
        <f t="shared" si="1"/>
        <v>2016</v>
      </c>
      <c r="L14" s="5">
        <f>IF(X14="",0,INDEX(et_dmc[dmc_base],MATCH(X14,et_dmc[Tech],0),)*INDEX(gdp_deflators!$B$2:$B$15,MATCH(engine!$K14,gdp_deflators!$A$2:$A$15,0),)/INDEX(gdp_deflators!$B$2:$B$15,MATCH(INDEX(et_dmc[dmc_basis],MATCH(X14,et_dmc[Tech],0),),gdp_deflators!$A$2:$A$15,0),))</f>
        <v>199.693400967488</v>
      </c>
      <c r="M14" s="5">
        <f>IF(Y14="",0,INDEX(et_dmc[dmc_base],MATCH(Y14,et_dmc[Tech],0),)*INDEX(gdp_deflators!$B$2:$B$15,MATCH(engine!$K14,gdp_deflators!$A$2:$A$15,0),)/INDEX(gdp_deflators!$B$2:$B$15,MATCH(INDEX(et_dmc[dmc_basis],MATCH(Y14,et_dmc[Tech],0),),gdp_deflators!$A$2:$A$15,0),))</f>
        <v>0</v>
      </c>
      <c r="N14" s="5">
        <f>IF(Z14="",0,INDEX(et_dmc[dmc_base],MATCH(Z14,et_dmc[Tech],0),)*INDEX(gdp_deflators!$B$2:$B$15,MATCH(engine!$K14,gdp_deflators!$A$2:$A$15,0),)/INDEX(gdp_deflators!$B$2:$B$15,MATCH(INDEX(et_dmc[dmc_basis],MATCH(Z14,et_dmc[Tech],0),),gdp_deflators!$A$2:$A$15,0),))</f>
        <v>388.75234649999999</v>
      </c>
      <c r="O14" s="5">
        <f>IF(AA14="",0,INDEX(et_dmc[dmc_base],MATCH(AA14,et_dmc[Tech],0),)*INDEX(gdp_deflators!$B$2:$B$15,MATCH(engine!$K14,gdp_deflators!$A$2:$A$15,0),)/INDEX(gdp_deflators!$B$2:$B$15,MATCH(INDEX(et_dmc[dmc_basis],MATCH(AA14,et_dmc[Tech],0),),gdp_deflators!$A$2:$A$15,0),))</f>
        <v>0</v>
      </c>
      <c r="P14" s="5">
        <f>IF(AB14="",0,INDEX(et_dmc[dmc_base],MATCH(AB14,et_dmc[Tech],0),)*INDEX(gdp_deflators!$B$2:$B$15,MATCH(engine!$K14,gdp_deflators!$A$2:$A$15,0),)/INDEX(gdp_deflators!$B$2:$B$15,MATCH(INDEX(et_dmc[dmc_basis],MATCH(AB14,et_dmc[Tech],0),),gdp_deflators!$A$2:$A$15,0),))</f>
        <v>0</v>
      </c>
      <c r="Q14" s="5">
        <f>IF(AC14="",0,INDEX(et_dmc[dmc_base],MATCH(AC14,et_dmc[Tech],0),)*INDEX(gdp_deflators!$B$2:$B$15,MATCH(engine!$K14,gdp_deflators!$A$2:$A$15,0),)/INDEX(gdp_deflators!$B$2:$B$15,MATCH(INDEX(et_dmc[dmc_basis],MATCH(AC14,et_dmc[Tech],0),),gdp_deflators!$A$2:$A$15,0),))</f>
        <v>168.12992606602478</v>
      </c>
      <c r="R14" s="5">
        <f>IF(AD14="",0,INDEX(et_dmc[dmc_base],MATCH(AD14,et_dmc[Tech],0),)*INDEX(gdp_deflators!$B$2:$B$15,MATCH(engine!$K14,gdp_deflators!$A$2:$A$15,0),)/INDEX(gdp_deflators!$B$2:$B$15,MATCH(INDEX(et_dmc[dmc_basis],MATCH(AD14,et_dmc[Tech],0),),gdp_deflators!$A$2:$A$15,0),))</f>
        <v>0</v>
      </c>
      <c r="S14" s="5">
        <f>IF(AE14="",0,INDEX(et_dmc[dmc_base],MATCH(AE14,et_dmc[Tech],0),)*INDEX(gdp_deflators!$B$2:$B$15,MATCH(engine!$K14,gdp_deflators!$A$2:$A$15,0),)/INDEX(gdp_deflators!$B$2:$B$15,MATCH(INDEX(et_dmc[dmc_basis],MATCH(AE14,et_dmc[Tech],0),),gdp_deflators!$A$2:$A$15,0),))</f>
        <v>3.5227701667517821</v>
      </c>
      <c r="T14" s="5">
        <f>IF(AF14="",0,INDEX(et_dmc[dmc_base],MATCH(LEFT(AF14,3),et_dmc[Tech],0),)*RIGHT(AF14,1)*C14*INDEX(gdp_deflators!$B$2:$B$15,MATCH(engine!$K14,gdp_deflators!$A$2:$A$15,0),)/INDEX(gdp_deflators!$B$2:$B$15,MATCH(INDEX(et_dmc[dmc_basis],MATCH(LEFT(AF14,3),et_dmc[Tech],0),),gdp_deflators!$A$2:$A$15,0),))</f>
        <v>91.592024335546327</v>
      </c>
      <c r="U14" s="5">
        <f>IF(AG14="",0,INDEX(et_dmc[dmc_base],MATCH(AG14,et_dmc[Tech],0),)*INDEX(gdp_deflators!$B$2:$B$15,MATCH(engine!$K14,gdp_deflators!$A$2:$A$15,0),)/INDEX(gdp_deflators!$B$2:$B$15,MATCH(INDEX(et_dmc[dmc_basis],MATCH(AG14,et_dmc[Tech],0),),gdp_deflators!$A$2:$A$15,0),))</f>
        <v>0</v>
      </c>
      <c r="V14" s="5">
        <f>IF(AH14="",0,INDEX(et_dmc[dmc_base],MATCH(AH14,et_dmc[Tech],0),))</f>
        <v>0</v>
      </c>
      <c r="W14" s="5">
        <f>IF(AI14="",0,INDEX(et_dmc[dmc_base],MATCH(AI14,et_dmc[Tech],0),))</f>
        <v>0</v>
      </c>
      <c r="X14" s="1" t="s">
        <v>131</v>
      </c>
      <c r="Y14" s="1"/>
      <c r="Z14" s="1" t="s">
        <v>86</v>
      </c>
      <c r="AA14" s="1"/>
      <c r="AB14" s="1" t="s">
        <v>68</v>
      </c>
      <c r="AC14" s="1" t="s">
        <v>169</v>
      </c>
      <c r="AD14" s="1"/>
      <c r="AE14" s="1" t="s">
        <v>103</v>
      </c>
      <c r="AF14" s="1" t="s">
        <v>324</v>
      </c>
      <c r="AG14" s="1"/>
      <c r="AH14" s="1"/>
      <c r="AI14" s="1"/>
    </row>
    <row r="15" spans="1:35" x14ac:dyDescent="0.3">
      <c r="A15">
        <v>2</v>
      </c>
      <c r="B15">
        <v>6</v>
      </c>
      <c r="C15">
        <v>6</v>
      </c>
      <c r="D15" t="s">
        <v>1</v>
      </c>
      <c r="E15" t="s">
        <v>3</v>
      </c>
      <c r="F15" t="s">
        <v>21</v>
      </c>
      <c r="G15" t="s">
        <v>219</v>
      </c>
      <c r="H15" t="str">
        <f t="shared" si="2"/>
        <v>E6_A6_DOHC_PFI_NatAsp_NoCEGR</v>
      </c>
      <c r="I15" t="s">
        <v>13</v>
      </c>
      <c r="J15" s="5">
        <f t="shared" si="0"/>
        <v>7444.4071823037157</v>
      </c>
      <c r="K15" s="8">
        <f t="shared" si="1"/>
        <v>2016</v>
      </c>
      <c r="L15" s="5">
        <f>IF(X15="",0,INDEX(et_dmc[dmc_base],MATCH(X15,et_dmc[Tech],0),)*INDEX(gdp_deflators!$B$2:$B$15,MATCH(engine!$K15,gdp_deflators!$A$2:$A$15,0),)/INDEX(gdp_deflators!$B$2:$B$15,MATCH(INDEX(et_dmc[dmc_basis],MATCH(X15,et_dmc[Tech],0),),gdp_deflators!$A$2:$A$15,0),))</f>
        <v>199.693400967488</v>
      </c>
      <c r="M15" s="5">
        <f>IF(Y15="",0,INDEX(et_dmc[dmc_base],MATCH(Y15,et_dmc[Tech],0),)*INDEX(gdp_deflators!$B$2:$B$15,MATCH(engine!$K15,gdp_deflators!$A$2:$A$15,0),)/INDEX(gdp_deflators!$B$2:$B$15,MATCH(INDEX(et_dmc[dmc_basis],MATCH(Y15,et_dmc[Tech],0),),gdp_deflators!$A$2:$A$15,0),))</f>
        <v>0</v>
      </c>
      <c r="N15" s="5">
        <f>IF(Z15="",0,INDEX(et_dmc[dmc_base],MATCH(Z15,et_dmc[Tech],0),)*INDEX(gdp_deflators!$B$2:$B$15,MATCH(engine!$K15,gdp_deflators!$A$2:$A$15,0),)/INDEX(gdp_deflators!$B$2:$B$15,MATCH(INDEX(et_dmc[dmc_basis],MATCH(Z15,et_dmc[Tech],0),),gdp_deflators!$A$2:$A$15,0),))</f>
        <v>0</v>
      </c>
      <c r="O15" s="5">
        <f>IF(AA15="",0,INDEX(et_dmc[dmc_base],MATCH(AA15,et_dmc[Tech],0),)*INDEX(gdp_deflators!$B$2:$B$15,MATCH(engine!$K15,gdp_deflators!$A$2:$A$15,0),)/INDEX(gdp_deflators!$B$2:$B$15,MATCH(INDEX(et_dmc[dmc_basis],MATCH(AA15,et_dmc[Tech],0),),gdp_deflators!$A$2:$A$15,0),))</f>
        <v>0</v>
      </c>
      <c r="P15" s="5">
        <f>IF(AB15="",0,INDEX(et_dmc[dmc_base],MATCH(AB15,et_dmc[Tech],0),)*INDEX(gdp_deflators!$B$2:$B$15,MATCH(engine!$K15,gdp_deflators!$A$2:$A$15,0),)/INDEX(gdp_deflators!$B$2:$B$15,MATCH(INDEX(et_dmc[dmc_basis],MATCH(AB15,et_dmc[Tech],0),),gdp_deflators!$A$2:$A$15,0),))</f>
        <v>0</v>
      </c>
      <c r="Q15" s="5">
        <f>IF(AC15="",0,INDEX(et_dmc[dmc_base],MATCH(AC15,et_dmc[Tech],0),)*INDEX(gdp_deflators!$B$2:$B$15,MATCH(engine!$K15,gdp_deflators!$A$2:$A$15,0),)/INDEX(gdp_deflators!$B$2:$B$15,MATCH(INDEX(et_dmc[dmc_basis],MATCH(AC15,et_dmc[Tech],0),),gdp_deflators!$A$2:$A$15,0),))</f>
        <v>168.12992606602478</v>
      </c>
      <c r="R15" s="5">
        <f>IF(AD15="",0,INDEX(et_dmc[dmc_base],MATCH(AD15,et_dmc[Tech],0),)*INDEX(gdp_deflators!$B$2:$B$15,MATCH(engine!$K15,gdp_deflators!$A$2:$A$15,0),)/INDEX(gdp_deflators!$B$2:$B$15,MATCH(INDEX(et_dmc[dmc_basis],MATCH(AD15,et_dmc[Tech],0),),gdp_deflators!$A$2:$A$15,0),))</f>
        <v>0</v>
      </c>
      <c r="S15" s="5">
        <f>IF(AE15="",0,INDEX(et_dmc[dmc_base],MATCH(AE15,et_dmc[Tech],0),)*INDEX(gdp_deflators!$B$2:$B$15,MATCH(engine!$K15,gdp_deflators!$A$2:$A$15,0),)/INDEX(gdp_deflators!$B$2:$B$15,MATCH(INDEX(et_dmc[dmc_basis],MATCH(AE15,et_dmc[Tech],0),),gdp_deflators!$A$2:$A$15,0),))</f>
        <v>3.5227701667517821</v>
      </c>
      <c r="T15" s="5">
        <f>IF(AF15="",0,INDEX(et_dmc[dmc_base],MATCH(LEFT(AF15,3),et_dmc[Tech],0),)*RIGHT(AF15,1)*C15*INDEX(gdp_deflators!$B$2:$B$15,MATCH(engine!$K15,gdp_deflators!$A$2:$A$15,0),)/INDEX(gdp_deflators!$B$2:$B$15,MATCH(INDEX(et_dmc[dmc_basis],MATCH(LEFT(AF15,3),et_dmc[Tech],0),),gdp_deflators!$A$2:$A$15,0),))</f>
        <v>91.592024335546327</v>
      </c>
      <c r="U15" s="5">
        <f>IF(AG15="",0,INDEX(et_dmc[dmc_base],MATCH(AG15,et_dmc[Tech],0),)*INDEX(gdp_deflators!$B$2:$B$15,MATCH(engine!$K15,gdp_deflators!$A$2:$A$15,0),)/INDEX(gdp_deflators!$B$2:$B$15,MATCH(INDEX(et_dmc[dmc_basis],MATCH(AG15,et_dmc[Tech],0),),gdp_deflators!$A$2:$A$15,0),))</f>
        <v>0</v>
      </c>
      <c r="V15" s="5">
        <f>IF(AH15="",0,INDEX(et_dmc[dmc_base],MATCH(AH15,et_dmc[Tech],0),))</f>
        <v>0</v>
      </c>
      <c r="W15" s="5">
        <f>IF(AI15="",0,INDEX(et_dmc[dmc_base],MATCH(AI15,et_dmc[Tech],0),))</f>
        <v>0</v>
      </c>
      <c r="X15" s="1" t="s">
        <v>131</v>
      </c>
      <c r="Y15" s="1"/>
      <c r="Z15" s="1"/>
      <c r="AA15" s="1"/>
      <c r="AB15" s="1"/>
      <c r="AC15" s="1" t="s">
        <v>169</v>
      </c>
      <c r="AD15" s="1"/>
      <c r="AE15" s="1" t="s">
        <v>103</v>
      </c>
      <c r="AF15" s="1" t="s">
        <v>324</v>
      </c>
      <c r="AG15" s="1"/>
      <c r="AH15" s="1"/>
      <c r="AI15" s="1"/>
    </row>
    <row r="16" spans="1:35" x14ac:dyDescent="0.3">
      <c r="A16">
        <v>2</v>
      </c>
      <c r="B16">
        <v>6</v>
      </c>
      <c r="C16">
        <v>6</v>
      </c>
      <c r="D16" t="s">
        <v>1</v>
      </c>
      <c r="E16" t="s">
        <v>4</v>
      </c>
      <c r="F16" t="s">
        <v>21</v>
      </c>
      <c r="G16" t="s">
        <v>219</v>
      </c>
      <c r="H16" t="str">
        <f t="shared" si="2"/>
        <v>E6_A6_DOHC_GDI_NatAsp_NoCEGR</v>
      </c>
      <c r="I16" t="s">
        <v>14</v>
      </c>
      <c r="J16" s="5">
        <f t="shared" si="0"/>
        <v>7727.995600602485</v>
      </c>
      <c r="K16" s="8">
        <f t="shared" si="1"/>
        <v>2016</v>
      </c>
      <c r="L16" s="5">
        <f>IF(X16="",0,INDEX(et_dmc[dmc_base],MATCH(X16,et_dmc[Tech],0),)*INDEX(gdp_deflators!$B$2:$B$15,MATCH(engine!$K16,gdp_deflators!$A$2:$A$15,0),)/INDEX(gdp_deflators!$B$2:$B$15,MATCH(INDEX(et_dmc[dmc_basis],MATCH(X16,et_dmc[Tech],0),),gdp_deflators!$A$2:$A$15,0),))</f>
        <v>0</v>
      </c>
      <c r="M16" s="5">
        <f>IF(Y16="",0,INDEX(et_dmc[dmc_base],MATCH(Y16,et_dmc[Tech],0),)*INDEX(gdp_deflators!$B$2:$B$15,MATCH(engine!$K16,gdp_deflators!$A$2:$A$15,0),)/INDEX(gdp_deflators!$B$2:$B$15,MATCH(INDEX(et_dmc[dmc_basis],MATCH(Y16,et_dmc[Tech],0),),gdp_deflators!$A$2:$A$15,0),))</f>
        <v>0</v>
      </c>
      <c r="N16" s="5">
        <f>IF(Z16="",0,INDEX(et_dmc[dmc_base],MATCH(Z16,et_dmc[Tech],0),)*INDEX(gdp_deflators!$B$2:$B$15,MATCH(engine!$K16,gdp_deflators!$A$2:$A$15,0),)/INDEX(gdp_deflators!$B$2:$B$15,MATCH(INDEX(et_dmc[dmc_basis],MATCH(Z16,et_dmc[Tech],0),),gdp_deflators!$A$2:$A$15,0),))</f>
        <v>388.75234649999999</v>
      </c>
      <c r="O16" s="5">
        <f>IF(AA16="",0,INDEX(et_dmc[dmc_base],MATCH(AA16,et_dmc[Tech],0),)*INDEX(gdp_deflators!$B$2:$B$15,MATCH(engine!$K16,gdp_deflators!$A$2:$A$15,0),)/INDEX(gdp_deflators!$B$2:$B$15,MATCH(INDEX(et_dmc[dmc_basis],MATCH(AA16,et_dmc[Tech],0),),gdp_deflators!$A$2:$A$15,0),))</f>
        <v>0</v>
      </c>
      <c r="P16" s="5">
        <f>IF(AB16="",0,INDEX(et_dmc[dmc_base],MATCH(AB16,et_dmc[Tech],0),)*INDEX(gdp_deflators!$B$2:$B$15,MATCH(engine!$K16,gdp_deflators!$A$2:$A$15,0),)/INDEX(gdp_deflators!$B$2:$B$15,MATCH(INDEX(et_dmc[dmc_basis],MATCH(AB16,et_dmc[Tech],0),),gdp_deflators!$A$2:$A$15,0),))</f>
        <v>0</v>
      </c>
      <c r="Q16" s="5">
        <f>IF(AC16="",0,INDEX(et_dmc[dmc_base],MATCH(AC16,et_dmc[Tech],0),)*INDEX(gdp_deflators!$B$2:$B$15,MATCH(engine!$K16,gdp_deflators!$A$2:$A$15,0),)/INDEX(gdp_deflators!$B$2:$B$15,MATCH(INDEX(et_dmc[dmc_basis],MATCH(AC16,et_dmc[Tech],0),),gdp_deflators!$A$2:$A$15,0),))</f>
        <v>168.12992606602478</v>
      </c>
      <c r="R16" s="5">
        <f>IF(AD16="",0,INDEX(et_dmc[dmc_base],MATCH(AD16,et_dmc[Tech],0),)*INDEX(gdp_deflators!$B$2:$B$15,MATCH(engine!$K16,gdp_deflators!$A$2:$A$15,0),)/INDEX(gdp_deflators!$B$2:$B$15,MATCH(INDEX(et_dmc[dmc_basis],MATCH(AD16,et_dmc[Tech],0),),gdp_deflators!$A$2:$A$15,0),))</f>
        <v>0</v>
      </c>
      <c r="S16" s="5">
        <f>IF(AE16="",0,INDEX(et_dmc[dmc_base],MATCH(AE16,et_dmc[Tech],0),)*INDEX(gdp_deflators!$B$2:$B$15,MATCH(engine!$K16,gdp_deflators!$A$2:$A$15,0),)/INDEX(gdp_deflators!$B$2:$B$15,MATCH(INDEX(et_dmc[dmc_basis],MATCH(AE16,et_dmc[Tech],0),),gdp_deflators!$A$2:$A$15,0),))</f>
        <v>3.5227701667517821</v>
      </c>
      <c r="T16" s="5">
        <f>IF(AF16="",0,INDEX(et_dmc[dmc_base],MATCH(LEFT(AF16,3),et_dmc[Tech],0),)*RIGHT(AF16,1)*C16*INDEX(gdp_deflators!$B$2:$B$15,MATCH(engine!$K16,gdp_deflators!$A$2:$A$15,0),)/INDEX(gdp_deflators!$B$2:$B$15,MATCH(INDEX(et_dmc[dmc_basis],MATCH(LEFT(AF16,3),et_dmc[Tech],0),),gdp_deflators!$A$2:$A$15,0),))</f>
        <v>91.592024335546327</v>
      </c>
      <c r="U16" s="5">
        <f>IF(AG16="",0,INDEX(et_dmc[dmc_base],MATCH(AG16,et_dmc[Tech],0),)*INDEX(gdp_deflators!$B$2:$B$15,MATCH(engine!$K16,gdp_deflators!$A$2:$A$15,0),)/INDEX(gdp_deflators!$B$2:$B$15,MATCH(INDEX(et_dmc[dmc_basis],MATCH(AG16,et_dmc[Tech],0),),gdp_deflators!$A$2:$A$15,0),))</f>
        <v>0</v>
      </c>
      <c r="V16" s="5">
        <f>IF(AH16="",0,INDEX(et_dmc[dmc_base],MATCH(AH16,et_dmc[Tech],0),))</f>
        <v>0</v>
      </c>
      <c r="W16" s="5">
        <f>IF(AI16="",0,INDEX(et_dmc[dmc_base],MATCH(AI16,et_dmc[Tech],0),))</f>
        <v>0</v>
      </c>
      <c r="X16" s="1"/>
      <c r="Y16" s="1"/>
      <c r="Z16" s="1" t="s">
        <v>86</v>
      </c>
      <c r="AA16" s="1"/>
      <c r="AB16" s="1"/>
      <c r="AC16" s="1" t="s">
        <v>169</v>
      </c>
      <c r="AD16" s="1"/>
      <c r="AE16" s="1" t="s">
        <v>103</v>
      </c>
      <c r="AF16" s="1" t="s">
        <v>324</v>
      </c>
      <c r="AG16" s="1"/>
      <c r="AH16" s="1"/>
      <c r="AI16" s="1"/>
    </row>
    <row r="17" spans="1:35" x14ac:dyDescent="0.3">
      <c r="A17">
        <v>2</v>
      </c>
      <c r="B17">
        <v>6</v>
      </c>
      <c r="C17">
        <v>6</v>
      </c>
      <c r="D17" t="s">
        <v>1</v>
      </c>
      <c r="E17" t="s">
        <v>4</v>
      </c>
      <c r="F17" t="s">
        <v>217</v>
      </c>
      <c r="G17" t="s">
        <v>220</v>
      </c>
      <c r="H17" t="str">
        <f t="shared" si="2"/>
        <v>E6_A6_DOHC_GDI_ATK2_CEGR</v>
      </c>
      <c r="I17" t="s">
        <v>216</v>
      </c>
      <c r="J17" s="5">
        <f t="shared" si="0"/>
        <v>8563.3552399101318</v>
      </c>
      <c r="K17" s="8">
        <f t="shared" si="1"/>
        <v>2016</v>
      </c>
      <c r="L17" s="5">
        <f>IF(X17="",0,INDEX(et_dmc[dmc_base],MATCH(X17,et_dmc[Tech],0),)*INDEX(gdp_deflators!$B$2:$B$15,MATCH(engine!$K17,gdp_deflators!$A$2:$A$15,0),)/INDEX(gdp_deflators!$B$2:$B$15,MATCH(INDEX(et_dmc[dmc_basis],MATCH(X17,et_dmc[Tech],0),),gdp_deflators!$A$2:$A$15,0),))</f>
        <v>199.693400967488</v>
      </c>
      <c r="M17" s="5">
        <f>IF(Y17="",0,INDEX(et_dmc[dmc_base],MATCH(Y17,et_dmc[Tech],0),)*INDEX(gdp_deflators!$B$2:$B$15,MATCH(engine!$K17,gdp_deflators!$A$2:$A$15,0),)/INDEX(gdp_deflators!$B$2:$B$15,MATCH(INDEX(et_dmc[dmc_basis],MATCH(Y17,et_dmc[Tech],0),),gdp_deflators!$A$2:$A$15,0),))</f>
        <v>0</v>
      </c>
      <c r="N17" s="5">
        <f>IF(Z17="",0,INDEX(et_dmc[dmc_base],MATCH(Z17,et_dmc[Tech],0),)*INDEX(gdp_deflators!$B$2:$B$15,MATCH(engine!$K17,gdp_deflators!$A$2:$A$15,0),)/INDEX(gdp_deflators!$B$2:$B$15,MATCH(INDEX(et_dmc[dmc_basis],MATCH(Z17,et_dmc[Tech],0),),gdp_deflators!$A$2:$A$15,0),))</f>
        <v>388.75234649999999</v>
      </c>
      <c r="O17" s="5">
        <f>IF(AA17="",0,INDEX(et_dmc[dmc_base],MATCH(AA17,et_dmc[Tech],0),)*INDEX(gdp_deflators!$B$2:$B$15,MATCH(engine!$K17,gdp_deflators!$A$2:$A$15,0),)/INDEX(gdp_deflators!$B$2:$B$15,MATCH(INDEX(et_dmc[dmc_basis],MATCH(AA17,et_dmc[Tech],0),),gdp_deflators!$A$2:$A$15,0),))</f>
        <v>0</v>
      </c>
      <c r="P17" s="5">
        <f>IF(AB17="",0,INDEX(et_dmc[dmc_base],MATCH(AB17,et_dmc[Tech],0),)*INDEX(gdp_deflators!$B$2:$B$15,MATCH(engine!$K17,gdp_deflators!$A$2:$A$15,0),)/INDEX(gdp_deflators!$B$2:$B$15,MATCH(INDEX(et_dmc[dmc_basis],MATCH(AB17,et_dmc[Tech],0),),gdp_deflators!$A$2:$A$15,0),))</f>
        <v>141.96724552331207</v>
      </c>
      <c r="Q17" s="5">
        <f>IF(AC17="",0,INDEX(et_dmc[dmc_base],MATCH(AC17,et_dmc[Tech],0),)*INDEX(gdp_deflators!$B$2:$B$15,MATCH(engine!$K17,gdp_deflators!$A$2:$A$15,0),)/INDEX(gdp_deflators!$B$2:$B$15,MATCH(INDEX(et_dmc[dmc_basis],MATCH(AC17,et_dmc[Tech],0),),gdp_deflators!$A$2:$A$15,0),))</f>
        <v>168.12992606602478</v>
      </c>
      <c r="R17" s="5">
        <f>IF(AD17="",0,INDEX(et_dmc[dmc_base],MATCH(AD17,et_dmc[Tech],0),)*INDEX(gdp_deflators!$B$2:$B$15,MATCH(engine!$K17,gdp_deflators!$A$2:$A$15,0),)/INDEX(gdp_deflators!$B$2:$B$15,MATCH(INDEX(et_dmc[dmc_basis],MATCH(AD17,et_dmc[Tech],0),),gdp_deflators!$A$2:$A$15,0),))</f>
        <v>0</v>
      </c>
      <c r="S17" s="5">
        <f>IF(AE17="",0,INDEX(et_dmc[dmc_base],MATCH(AE17,et_dmc[Tech],0),)*INDEX(gdp_deflators!$B$2:$B$15,MATCH(engine!$K17,gdp_deflators!$A$2:$A$15,0),)/INDEX(gdp_deflators!$B$2:$B$15,MATCH(INDEX(et_dmc[dmc_basis],MATCH(AE17,et_dmc[Tech],0),),gdp_deflators!$A$2:$A$15,0),))</f>
        <v>7.0455403335035642</v>
      </c>
      <c r="T17" s="5">
        <f>IF(AF17="",0,INDEX(et_dmc[dmc_base],MATCH(LEFT(AF17,3),et_dmc[Tech],0),)*RIGHT(AF17,1)*C17*INDEX(gdp_deflators!$B$2:$B$15,MATCH(engine!$K17,gdp_deflators!$A$2:$A$15,0),)/INDEX(gdp_deflators!$B$2:$B$15,MATCH(INDEX(et_dmc[dmc_basis],MATCH(LEFT(AF17,3),et_dmc[Tech],0),),gdp_deflators!$A$2:$A$15,0),))</f>
        <v>183.18404867109265</v>
      </c>
      <c r="U17" s="5">
        <f>IF(AG17="",0,INDEX(et_dmc[dmc_base],MATCH(AG17,et_dmc[Tech],0),)*INDEX(gdp_deflators!$B$2:$B$15,MATCH(engine!$K17,gdp_deflators!$A$2:$A$15,0),)/INDEX(gdp_deflators!$B$2:$B$15,MATCH(INDEX(et_dmc[dmc_basis],MATCH(AG17,et_dmc[Tech],0),),gdp_deflators!$A$2:$A$15,0),))</f>
        <v>120.13098521199998</v>
      </c>
      <c r="V17" s="5">
        <f>IF(AH17="",0,INDEX(et_dmc[dmc_base],MATCH(AH17,et_dmc[Tech],0),))</f>
        <v>0</v>
      </c>
      <c r="W17" s="5">
        <f>IF(AI17="",0,INDEX(et_dmc[dmc_base],MATCH(AI17,et_dmc[Tech],0),))</f>
        <v>0</v>
      </c>
      <c r="X17" s="1" t="s">
        <v>131</v>
      </c>
      <c r="Y17" s="1"/>
      <c r="Z17" s="1" t="s">
        <v>86</v>
      </c>
      <c r="AA17" s="1"/>
      <c r="AB17" s="1" t="s">
        <v>180</v>
      </c>
      <c r="AC17" s="1" t="s">
        <v>169</v>
      </c>
      <c r="AD17" s="1"/>
      <c r="AE17" s="1" t="s">
        <v>24</v>
      </c>
      <c r="AF17" s="1" t="s">
        <v>329</v>
      </c>
      <c r="AG17" s="1" t="s">
        <v>97</v>
      </c>
      <c r="AH17" s="1"/>
      <c r="AI17" s="1"/>
    </row>
    <row r="18" spans="1:35" x14ac:dyDescent="0.3">
      <c r="A18">
        <v>2</v>
      </c>
      <c r="B18">
        <v>6</v>
      </c>
      <c r="C18">
        <v>6</v>
      </c>
      <c r="D18" t="s">
        <v>1</v>
      </c>
      <c r="E18" t="s">
        <v>4</v>
      </c>
      <c r="F18" t="s">
        <v>217</v>
      </c>
      <c r="G18" t="s">
        <v>219</v>
      </c>
      <c r="H18" t="str">
        <f t="shared" si="2"/>
        <v>E6_A6_DOHC_GDI_ATK2_NoCEGR</v>
      </c>
      <c r="I18" t="s">
        <v>214</v>
      </c>
      <c r="J18" s="5">
        <f t="shared" si="0"/>
        <v>8383.1587620921309</v>
      </c>
      <c r="K18" s="8">
        <f t="shared" si="1"/>
        <v>2016</v>
      </c>
      <c r="L18" s="5">
        <f>IF(X18="",0,INDEX(et_dmc[dmc_base],MATCH(X18,et_dmc[Tech],0),)*INDEX(gdp_deflators!$B$2:$B$15,MATCH(engine!$K18,gdp_deflators!$A$2:$A$15,0),)/INDEX(gdp_deflators!$B$2:$B$15,MATCH(INDEX(et_dmc[dmc_basis],MATCH(X18,et_dmc[Tech],0),),gdp_deflators!$A$2:$A$15,0),))</f>
        <v>199.693400967488</v>
      </c>
      <c r="M18" s="5">
        <f>IF(Y18="",0,INDEX(et_dmc[dmc_base],MATCH(Y18,et_dmc[Tech],0),)*INDEX(gdp_deflators!$B$2:$B$15,MATCH(engine!$K18,gdp_deflators!$A$2:$A$15,0),)/INDEX(gdp_deflators!$B$2:$B$15,MATCH(INDEX(et_dmc[dmc_basis],MATCH(Y18,et_dmc[Tech],0),),gdp_deflators!$A$2:$A$15,0),))</f>
        <v>0</v>
      </c>
      <c r="N18" s="5">
        <f>IF(Z18="",0,INDEX(et_dmc[dmc_base],MATCH(Z18,et_dmc[Tech],0),)*INDEX(gdp_deflators!$B$2:$B$15,MATCH(engine!$K18,gdp_deflators!$A$2:$A$15,0),)/INDEX(gdp_deflators!$B$2:$B$15,MATCH(INDEX(et_dmc[dmc_basis],MATCH(Z18,et_dmc[Tech],0),),gdp_deflators!$A$2:$A$15,0),))</f>
        <v>388.75234649999999</v>
      </c>
      <c r="O18" s="5">
        <f>IF(AA18="",0,INDEX(et_dmc[dmc_base],MATCH(AA18,et_dmc[Tech],0),)*INDEX(gdp_deflators!$B$2:$B$15,MATCH(engine!$K18,gdp_deflators!$A$2:$A$15,0),)/INDEX(gdp_deflators!$B$2:$B$15,MATCH(INDEX(et_dmc[dmc_basis],MATCH(AA18,et_dmc[Tech],0),),gdp_deflators!$A$2:$A$15,0),))</f>
        <v>0</v>
      </c>
      <c r="P18" s="5">
        <f>IF(AB18="",0,INDEX(et_dmc[dmc_base],MATCH(AB18,et_dmc[Tech],0),)*INDEX(gdp_deflators!$B$2:$B$15,MATCH(engine!$K18,gdp_deflators!$A$2:$A$15,0),)/INDEX(gdp_deflators!$B$2:$B$15,MATCH(INDEX(et_dmc[dmc_basis],MATCH(AB18,et_dmc[Tech],0),),gdp_deflators!$A$2:$A$15,0),))</f>
        <v>141.96724552331207</v>
      </c>
      <c r="Q18" s="5">
        <f>IF(AC18="",0,INDEX(et_dmc[dmc_base],MATCH(AC18,et_dmc[Tech],0),)*INDEX(gdp_deflators!$B$2:$B$15,MATCH(engine!$K18,gdp_deflators!$A$2:$A$15,0),)/INDEX(gdp_deflators!$B$2:$B$15,MATCH(INDEX(et_dmc[dmc_basis],MATCH(AC18,et_dmc[Tech],0),),gdp_deflators!$A$2:$A$15,0),))</f>
        <v>168.12992606602478</v>
      </c>
      <c r="R18" s="5">
        <f>IF(AD18="",0,INDEX(et_dmc[dmc_base],MATCH(AD18,et_dmc[Tech],0),)*INDEX(gdp_deflators!$B$2:$B$15,MATCH(engine!$K18,gdp_deflators!$A$2:$A$15,0),)/INDEX(gdp_deflators!$B$2:$B$15,MATCH(INDEX(et_dmc[dmc_basis],MATCH(AD18,et_dmc[Tech],0),),gdp_deflators!$A$2:$A$15,0),))</f>
        <v>0</v>
      </c>
      <c r="S18" s="5">
        <f>IF(AE18="",0,INDEX(et_dmc[dmc_base],MATCH(AE18,et_dmc[Tech],0),)*INDEX(gdp_deflators!$B$2:$B$15,MATCH(engine!$K18,gdp_deflators!$A$2:$A$15,0),)/INDEX(gdp_deflators!$B$2:$B$15,MATCH(INDEX(et_dmc[dmc_basis],MATCH(AE18,et_dmc[Tech],0),),gdp_deflators!$A$2:$A$15,0),))</f>
        <v>7.0455403335035642</v>
      </c>
      <c r="T18" s="5">
        <f>IF(AF18="",0,INDEX(et_dmc[dmc_base],MATCH(LEFT(AF18,3),et_dmc[Tech],0),)*RIGHT(AF18,1)*C18*INDEX(gdp_deflators!$B$2:$B$15,MATCH(engine!$K18,gdp_deflators!$A$2:$A$15,0),)/INDEX(gdp_deflators!$B$2:$B$15,MATCH(INDEX(et_dmc[dmc_basis],MATCH(LEFT(AF18,3),et_dmc[Tech],0),),gdp_deflators!$A$2:$A$15,0),))</f>
        <v>183.18404867109265</v>
      </c>
      <c r="U18" s="5">
        <f>IF(AG18="",0,INDEX(et_dmc[dmc_base],MATCH(AG18,et_dmc[Tech],0),)*INDEX(gdp_deflators!$B$2:$B$15,MATCH(engine!$K18,gdp_deflators!$A$2:$A$15,0),)/INDEX(gdp_deflators!$B$2:$B$15,MATCH(INDEX(et_dmc[dmc_basis],MATCH(AG18,et_dmc[Tech],0),),gdp_deflators!$A$2:$A$15,0),))</f>
        <v>0</v>
      </c>
      <c r="V18" s="5">
        <f>IF(AH18="",0,INDEX(et_dmc[dmc_base],MATCH(AH18,et_dmc[Tech],0),))</f>
        <v>0</v>
      </c>
      <c r="W18" s="5">
        <f>IF(AI18="",0,INDEX(et_dmc[dmc_base],MATCH(AI18,et_dmc[Tech],0),))</f>
        <v>0</v>
      </c>
      <c r="X18" s="1" t="s">
        <v>131</v>
      </c>
      <c r="Y18" s="1"/>
      <c r="Z18" s="1" t="s">
        <v>86</v>
      </c>
      <c r="AA18" s="1"/>
      <c r="AB18" s="1" t="s">
        <v>180</v>
      </c>
      <c r="AC18" s="1" t="s">
        <v>169</v>
      </c>
      <c r="AD18" s="1"/>
      <c r="AE18" s="1" t="s">
        <v>24</v>
      </c>
      <c r="AF18" s="1" t="s">
        <v>329</v>
      </c>
      <c r="AG18" s="1"/>
      <c r="AH18" s="1"/>
      <c r="AI18" s="1"/>
    </row>
    <row r="19" spans="1:35" x14ac:dyDescent="0.3">
      <c r="A19">
        <v>3</v>
      </c>
      <c r="B19">
        <v>4</v>
      </c>
      <c r="C19">
        <v>4</v>
      </c>
      <c r="D19" t="s">
        <v>1</v>
      </c>
      <c r="E19" t="s">
        <v>3</v>
      </c>
      <c r="F19" t="s">
        <v>21</v>
      </c>
      <c r="G19" t="s">
        <v>219</v>
      </c>
      <c r="H19" t="str">
        <f t="shared" si="2"/>
        <v>E4_A4_DOHC_PFI_NatAsp_NoCEGR</v>
      </c>
      <c r="I19" t="s">
        <v>16</v>
      </c>
      <c r="J19" s="5">
        <f t="shared" si="0"/>
        <v>6214.4034534852608</v>
      </c>
      <c r="K19" s="8">
        <f t="shared" si="1"/>
        <v>2016</v>
      </c>
      <c r="L19" s="5">
        <f>IF(X19="",0,INDEX(et_dmc[dmc_base],MATCH(X19,et_dmc[Tech],0),)*INDEX(gdp_deflators!$B$2:$B$15,MATCH(engine!$K19,gdp_deflators!$A$2:$A$15,0),)/INDEX(gdp_deflators!$B$2:$B$15,MATCH(INDEX(et_dmc[dmc_basis],MATCH(X19,et_dmc[Tech],0),),gdp_deflators!$A$2:$A$15,0),))</f>
        <v>0</v>
      </c>
      <c r="M19" s="5">
        <f>IF(Y19="",0,INDEX(et_dmc[dmc_base],MATCH(Y19,et_dmc[Tech],0),)*INDEX(gdp_deflators!$B$2:$B$15,MATCH(engine!$K19,gdp_deflators!$A$2:$A$15,0),)/INDEX(gdp_deflators!$B$2:$B$15,MATCH(INDEX(et_dmc[dmc_basis],MATCH(Y19,et_dmc[Tech],0),),gdp_deflators!$A$2:$A$15,0),))</f>
        <v>0</v>
      </c>
      <c r="N19" s="5">
        <f>IF(Z19="",0,INDEX(et_dmc[dmc_base],MATCH(Z19,et_dmc[Tech],0),)*INDEX(gdp_deflators!$B$2:$B$15,MATCH(engine!$K19,gdp_deflators!$A$2:$A$15,0),)/INDEX(gdp_deflators!$B$2:$B$15,MATCH(INDEX(et_dmc[dmc_basis],MATCH(Z19,et_dmc[Tech],0),),gdp_deflators!$A$2:$A$15,0),))</f>
        <v>0</v>
      </c>
      <c r="O19" s="5">
        <f>IF(AA19="",0,INDEX(et_dmc[dmc_base],MATCH(AA19,et_dmc[Tech],0),)*INDEX(gdp_deflators!$B$2:$B$15,MATCH(engine!$K19,gdp_deflators!$A$2:$A$15,0),)/INDEX(gdp_deflators!$B$2:$B$15,MATCH(INDEX(et_dmc[dmc_basis],MATCH(AA19,et_dmc[Tech],0),),gdp_deflators!$A$2:$A$15,0),))</f>
        <v>0</v>
      </c>
      <c r="P19" s="5">
        <f>IF(AB19="",0,INDEX(et_dmc[dmc_base],MATCH(AB19,et_dmc[Tech],0),)*INDEX(gdp_deflators!$B$2:$B$15,MATCH(engine!$K19,gdp_deflators!$A$2:$A$15,0),)/INDEX(gdp_deflators!$B$2:$B$15,MATCH(INDEX(et_dmc[dmc_basis],MATCH(AB19,et_dmc[Tech],0),),gdp_deflators!$A$2:$A$15,0),))</f>
        <v>0</v>
      </c>
      <c r="Q19" s="5">
        <f>IF(AC19="",0,INDEX(et_dmc[dmc_base],MATCH(AC19,et_dmc[Tech],0),)*INDEX(gdp_deflators!$B$2:$B$15,MATCH(engine!$K19,gdp_deflators!$A$2:$A$15,0),)/INDEX(gdp_deflators!$B$2:$B$15,MATCH(INDEX(et_dmc[dmc_basis],MATCH(AC19,et_dmc[Tech],0),),gdp_deflators!$A$2:$A$15,0),))</f>
        <v>78.351515933058238</v>
      </c>
      <c r="R19" s="5">
        <f>IF(AD19="",0,INDEX(et_dmc[dmc_base],MATCH(AD19,et_dmc[Tech],0),)*INDEX(gdp_deflators!$B$2:$B$15,MATCH(engine!$K19,gdp_deflators!$A$2:$A$15,0),)/INDEX(gdp_deflators!$B$2:$B$15,MATCH(INDEX(et_dmc[dmc_basis],MATCH(AD19,et_dmc[Tech],0),),gdp_deflators!$A$2:$A$15,0),))</f>
        <v>0</v>
      </c>
      <c r="S19" s="5">
        <f>IF(AE19="",0,INDEX(et_dmc[dmc_base],MATCH(AE19,et_dmc[Tech],0),)*INDEX(gdp_deflators!$B$2:$B$15,MATCH(engine!$K19,gdp_deflators!$A$2:$A$15,0),)/INDEX(gdp_deflators!$B$2:$B$15,MATCH(INDEX(et_dmc[dmc_basis],MATCH(AE19,et_dmc[Tech],0),),gdp_deflators!$A$2:$A$15,0),))</f>
        <v>3.5227701667517821</v>
      </c>
      <c r="T19" s="5">
        <f>IF(AF19="",0,INDEX(et_dmc[dmc_base],MATCH(LEFT(AF19,3),et_dmc[Tech],0),)*RIGHT(AF19,1)*C19*INDEX(gdp_deflators!$B$2:$B$15,MATCH(engine!$K19,gdp_deflators!$A$2:$A$15,0),)/INDEX(gdp_deflators!$B$2:$B$15,MATCH(INDEX(et_dmc[dmc_basis],MATCH(LEFT(AF19,3),et_dmc[Tech],0),),gdp_deflators!$A$2:$A$15,0),))</f>
        <v>61.061349557030887</v>
      </c>
      <c r="U19" s="5">
        <f>IF(AG19="",0,INDEX(et_dmc[dmc_base],MATCH(AG19,et_dmc[Tech],0),)*INDEX(gdp_deflators!$B$2:$B$15,MATCH(engine!$K19,gdp_deflators!$A$2:$A$15,0),)/INDEX(gdp_deflators!$B$2:$B$15,MATCH(INDEX(et_dmc[dmc_basis],MATCH(AG19,et_dmc[Tech],0),),gdp_deflators!$A$2:$A$15,0),))</f>
        <v>0</v>
      </c>
      <c r="V19" s="5">
        <f>IF(AH19="",0,INDEX(et_dmc[dmc_base],MATCH(AH19,et_dmc[Tech],0),))</f>
        <v>0</v>
      </c>
      <c r="W19" s="5">
        <f>IF(AI19="",0,INDEX(et_dmc[dmc_base],MATCH(AI19,et_dmc[Tech],0),))</f>
        <v>0</v>
      </c>
      <c r="X19" s="1"/>
      <c r="Y19" s="1"/>
      <c r="Z19" s="1"/>
      <c r="AA19" s="1"/>
      <c r="AB19" s="1"/>
      <c r="AC19" s="1" t="s">
        <v>166</v>
      </c>
      <c r="AD19" s="1"/>
      <c r="AE19" s="1" t="s">
        <v>103</v>
      </c>
      <c r="AF19" s="1" t="s">
        <v>324</v>
      </c>
      <c r="AG19" s="1"/>
      <c r="AH19" s="1"/>
      <c r="AI19" s="1"/>
    </row>
    <row r="20" spans="1:35" x14ac:dyDescent="0.3">
      <c r="A20">
        <v>3</v>
      </c>
      <c r="B20">
        <v>4</v>
      </c>
      <c r="C20">
        <v>4</v>
      </c>
      <c r="D20" t="s">
        <v>1</v>
      </c>
      <c r="E20" t="s">
        <v>4</v>
      </c>
      <c r="F20" t="s">
        <v>21</v>
      </c>
      <c r="G20" t="s">
        <v>219</v>
      </c>
      <c r="H20" t="str">
        <f t="shared" si="2"/>
        <v>E4_A4_DOHC_GDI_NatAsp_NoCEGR</v>
      </c>
      <c r="I20" t="s">
        <v>15</v>
      </c>
      <c r="J20" s="5">
        <f t="shared" si="0"/>
        <v>6601.3392002352612</v>
      </c>
      <c r="K20" s="8">
        <f t="shared" si="1"/>
        <v>2016</v>
      </c>
      <c r="L20" s="5">
        <f>IF(X20="",0,INDEX(et_dmc[dmc_base],MATCH(X20,et_dmc[Tech],0),)*INDEX(gdp_deflators!$B$2:$B$15,MATCH(engine!$K20,gdp_deflators!$A$2:$A$15,0),)/INDEX(gdp_deflators!$B$2:$B$15,MATCH(INDEX(et_dmc[dmc_basis],MATCH(X20,et_dmc[Tech],0),),gdp_deflators!$A$2:$A$15,0),))</f>
        <v>0</v>
      </c>
      <c r="M20" s="5">
        <f>IF(Y20="",0,INDEX(et_dmc[dmc_base],MATCH(Y20,et_dmc[Tech],0),)*INDEX(gdp_deflators!$B$2:$B$15,MATCH(engine!$K20,gdp_deflators!$A$2:$A$15,0),)/INDEX(gdp_deflators!$B$2:$B$15,MATCH(INDEX(et_dmc[dmc_basis],MATCH(Y20,et_dmc[Tech],0),),gdp_deflators!$A$2:$A$15,0),))</f>
        <v>0</v>
      </c>
      <c r="N20" s="5">
        <f>IF(Z20="",0,INDEX(et_dmc[dmc_base],MATCH(Z20,et_dmc[Tech],0),)*INDEX(gdp_deflators!$B$2:$B$15,MATCH(engine!$K20,gdp_deflators!$A$2:$A$15,0),)/INDEX(gdp_deflators!$B$2:$B$15,MATCH(INDEX(et_dmc[dmc_basis],MATCH(Z20,et_dmc[Tech],0),),gdp_deflators!$A$2:$A$15,0),))</f>
        <v>257.95716449999998</v>
      </c>
      <c r="O20" s="5">
        <f>IF(AA20="",0,INDEX(et_dmc[dmc_base],MATCH(AA20,et_dmc[Tech],0),)*INDEX(gdp_deflators!$B$2:$B$15,MATCH(engine!$K20,gdp_deflators!$A$2:$A$15,0),)/INDEX(gdp_deflators!$B$2:$B$15,MATCH(INDEX(et_dmc[dmc_basis],MATCH(AA20,et_dmc[Tech],0),),gdp_deflators!$A$2:$A$15,0),))</f>
        <v>0</v>
      </c>
      <c r="P20" s="5">
        <f>IF(AB20="",0,INDEX(et_dmc[dmc_base],MATCH(AB20,et_dmc[Tech],0),)*INDEX(gdp_deflators!$B$2:$B$15,MATCH(engine!$K20,gdp_deflators!$A$2:$A$15,0),)/INDEX(gdp_deflators!$B$2:$B$15,MATCH(INDEX(et_dmc[dmc_basis],MATCH(AB20,et_dmc[Tech],0),),gdp_deflators!$A$2:$A$15,0),))</f>
        <v>0</v>
      </c>
      <c r="Q20" s="5">
        <f>IF(AC20="",0,INDEX(et_dmc[dmc_base],MATCH(AC20,et_dmc[Tech],0),)*INDEX(gdp_deflators!$B$2:$B$15,MATCH(engine!$K20,gdp_deflators!$A$2:$A$15,0),)/INDEX(gdp_deflators!$B$2:$B$15,MATCH(INDEX(et_dmc[dmc_basis],MATCH(AC20,et_dmc[Tech],0),),gdp_deflators!$A$2:$A$15,0),))</f>
        <v>78.351515933058238</v>
      </c>
      <c r="R20" s="5">
        <f>IF(AD20="",0,INDEX(et_dmc[dmc_base],MATCH(AD20,et_dmc[Tech],0),)*INDEX(gdp_deflators!$B$2:$B$15,MATCH(engine!$K20,gdp_deflators!$A$2:$A$15,0),)/INDEX(gdp_deflators!$B$2:$B$15,MATCH(INDEX(et_dmc[dmc_basis],MATCH(AD20,et_dmc[Tech],0),),gdp_deflators!$A$2:$A$15,0),))</f>
        <v>0</v>
      </c>
      <c r="S20" s="5">
        <f>IF(AE20="",0,INDEX(et_dmc[dmc_base],MATCH(AE20,et_dmc[Tech],0),)*INDEX(gdp_deflators!$B$2:$B$15,MATCH(engine!$K20,gdp_deflators!$A$2:$A$15,0),)/INDEX(gdp_deflators!$B$2:$B$15,MATCH(INDEX(et_dmc[dmc_basis],MATCH(AE20,et_dmc[Tech],0),),gdp_deflators!$A$2:$A$15,0),))</f>
        <v>3.5227701667517821</v>
      </c>
      <c r="T20" s="5">
        <f>IF(AF20="",0,INDEX(et_dmc[dmc_base],MATCH(LEFT(AF20,3),et_dmc[Tech],0),)*RIGHT(AF20,1)*C20*INDEX(gdp_deflators!$B$2:$B$15,MATCH(engine!$K20,gdp_deflators!$A$2:$A$15,0),)/INDEX(gdp_deflators!$B$2:$B$15,MATCH(INDEX(et_dmc[dmc_basis],MATCH(LEFT(AF20,3),et_dmc[Tech],0),),gdp_deflators!$A$2:$A$15,0),))</f>
        <v>61.061349557030887</v>
      </c>
      <c r="U20" s="5">
        <f>IF(AG20="",0,INDEX(et_dmc[dmc_base],MATCH(AG20,et_dmc[Tech],0),)*INDEX(gdp_deflators!$B$2:$B$15,MATCH(engine!$K20,gdp_deflators!$A$2:$A$15,0),)/INDEX(gdp_deflators!$B$2:$B$15,MATCH(INDEX(et_dmc[dmc_basis],MATCH(AG20,et_dmc[Tech],0),),gdp_deflators!$A$2:$A$15,0),))</f>
        <v>0</v>
      </c>
      <c r="V20" s="5">
        <f>IF(AH20="",0,INDEX(et_dmc[dmc_base],MATCH(AH20,et_dmc[Tech],0),))</f>
        <v>0</v>
      </c>
      <c r="W20" s="5">
        <f>IF(AI20="",0,INDEX(et_dmc[dmc_base],MATCH(AI20,et_dmc[Tech],0),))</f>
        <v>0</v>
      </c>
      <c r="X20" s="1"/>
      <c r="Y20" s="1"/>
      <c r="Z20" s="1" t="s">
        <v>81</v>
      </c>
      <c r="AA20" s="1"/>
      <c r="AB20" s="1"/>
      <c r="AC20" s="1" t="s">
        <v>166</v>
      </c>
      <c r="AD20" s="1"/>
      <c r="AE20" s="1" t="s">
        <v>103</v>
      </c>
      <c r="AF20" s="1" t="s">
        <v>324</v>
      </c>
      <c r="AG20" s="1"/>
      <c r="AH20" s="1"/>
      <c r="AI20" s="1"/>
    </row>
    <row r="21" spans="1:35" x14ac:dyDescent="0.3">
      <c r="A21">
        <v>3</v>
      </c>
      <c r="B21">
        <v>4</v>
      </c>
      <c r="C21">
        <v>4</v>
      </c>
      <c r="D21" t="s">
        <v>1</v>
      </c>
      <c r="E21" t="s">
        <v>3</v>
      </c>
      <c r="F21" t="s">
        <v>21</v>
      </c>
      <c r="G21" t="s">
        <v>219</v>
      </c>
      <c r="H21" t="str">
        <f t="shared" si="2"/>
        <v>E4_A4_DOHC_PFI_NatAsp_NoCEGR</v>
      </c>
      <c r="I21" t="s">
        <v>13</v>
      </c>
      <c r="J21" s="5">
        <f t="shared" si="0"/>
        <v>6214.4034534852608</v>
      </c>
      <c r="K21" s="8">
        <f t="shared" si="1"/>
        <v>2016</v>
      </c>
      <c r="L21" s="5">
        <f>IF(X21="",0,INDEX(et_dmc[dmc_base],MATCH(X21,et_dmc[Tech],0),)*INDEX(gdp_deflators!$B$2:$B$15,MATCH(engine!$K21,gdp_deflators!$A$2:$A$15,0),)/INDEX(gdp_deflators!$B$2:$B$15,MATCH(INDEX(et_dmc[dmc_basis],MATCH(X21,et_dmc[Tech],0),),gdp_deflators!$A$2:$A$15,0),))</f>
        <v>0</v>
      </c>
      <c r="M21" s="5">
        <f>IF(Y21="",0,INDEX(et_dmc[dmc_base],MATCH(Y21,et_dmc[Tech],0),)*INDEX(gdp_deflators!$B$2:$B$15,MATCH(engine!$K21,gdp_deflators!$A$2:$A$15,0),)/INDEX(gdp_deflators!$B$2:$B$15,MATCH(INDEX(et_dmc[dmc_basis],MATCH(Y21,et_dmc[Tech],0),),gdp_deflators!$A$2:$A$15,0),))</f>
        <v>0</v>
      </c>
      <c r="N21" s="5">
        <f>IF(Z21="",0,INDEX(et_dmc[dmc_base],MATCH(Z21,et_dmc[Tech],0),)*INDEX(gdp_deflators!$B$2:$B$15,MATCH(engine!$K21,gdp_deflators!$A$2:$A$15,0),)/INDEX(gdp_deflators!$B$2:$B$15,MATCH(INDEX(et_dmc[dmc_basis],MATCH(Z21,et_dmc[Tech],0),),gdp_deflators!$A$2:$A$15,0),))</f>
        <v>0</v>
      </c>
      <c r="O21" s="5">
        <f>IF(AA21="",0,INDEX(et_dmc[dmc_base],MATCH(AA21,et_dmc[Tech],0),)*INDEX(gdp_deflators!$B$2:$B$15,MATCH(engine!$K21,gdp_deflators!$A$2:$A$15,0),)/INDEX(gdp_deflators!$B$2:$B$15,MATCH(INDEX(et_dmc[dmc_basis],MATCH(AA21,et_dmc[Tech],0),),gdp_deflators!$A$2:$A$15,0),))</f>
        <v>0</v>
      </c>
      <c r="P21" s="5">
        <f>IF(AB21="",0,INDEX(et_dmc[dmc_base],MATCH(AB21,et_dmc[Tech],0),)*INDEX(gdp_deflators!$B$2:$B$15,MATCH(engine!$K21,gdp_deflators!$A$2:$A$15,0),)/INDEX(gdp_deflators!$B$2:$B$15,MATCH(INDEX(et_dmc[dmc_basis],MATCH(AB21,et_dmc[Tech],0),),gdp_deflators!$A$2:$A$15,0),))</f>
        <v>0</v>
      </c>
      <c r="Q21" s="5">
        <f>IF(AC21="",0,INDEX(et_dmc[dmc_base],MATCH(AC21,et_dmc[Tech],0),)*INDEX(gdp_deflators!$B$2:$B$15,MATCH(engine!$K21,gdp_deflators!$A$2:$A$15,0),)/INDEX(gdp_deflators!$B$2:$B$15,MATCH(INDEX(et_dmc[dmc_basis],MATCH(AC21,et_dmc[Tech],0),),gdp_deflators!$A$2:$A$15,0),))</f>
        <v>78.351515933058238</v>
      </c>
      <c r="R21" s="5">
        <f>IF(AD21="",0,INDEX(et_dmc[dmc_base],MATCH(AD21,et_dmc[Tech],0),)*INDEX(gdp_deflators!$B$2:$B$15,MATCH(engine!$K21,gdp_deflators!$A$2:$A$15,0),)/INDEX(gdp_deflators!$B$2:$B$15,MATCH(INDEX(et_dmc[dmc_basis],MATCH(AD21,et_dmc[Tech],0),),gdp_deflators!$A$2:$A$15,0),))</f>
        <v>0</v>
      </c>
      <c r="S21" s="5">
        <f>IF(AE21="",0,INDEX(et_dmc[dmc_base],MATCH(AE21,et_dmc[Tech],0),)*INDEX(gdp_deflators!$B$2:$B$15,MATCH(engine!$K21,gdp_deflators!$A$2:$A$15,0),)/INDEX(gdp_deflators!$B$2:$B$15,MATCH(INDEX(et_dmc[dmc_basis],MATCH(AE21,et_dmc[Tech],0),),gdp_deflators!$A$2:$A$15,0),))</f>
        <v>3.5227701667517821</v>
      </c>
      <c r="T21" s="5">
        <f>IF(AF21="",0,INDEX(et_dmc[dmc_base],MATCH(LEFT(AF21,3),et_dmc[Tech],0),)*RIGHT(AF21,1)*C21*INDEX(gdp_deflators!$B$2:$B$15,MATCH(engine!$K21,gdp_deflators!$A$2:$A$15,0),)/INDEX(gdp_deflators!$B$2:$B$15,MATCH(INDEX(et_dmc[dmc_basis],MATCH(LEFT(AF21,3),et_dmc[Tech],0),),gdp_deflators!$A$2:$A$15,0),))</f>
        <v>61.061349557030887</v>
      </c>
      <c r="U21" s="5">
        <f>IF(AG21="",0,INDEX(et_dmc[dmc_base],MATCH(AG21,et_dmc[Tech],0),)*INDEX(gdp_deflators!$B$2:$B$15,MATCH(engine!$K21,gdp_deflators!$A$2:$A$15,0),)/INDEX(gdp_deflators!$B$2:$B$15,MATCH(INDEX(et_dmc[dmc_basis],MATCH(AG21,et_dmc[Tech],0),),gdp_deflators!$A$2:$A$15,0),))</f>
        <v>0</v>
      </c>
      <c r="V21" s="5">
        <f>IF(AH21="",0,INDEX(et_dmc[dmc_base],MATCH(AH21,et_dmc[Tech],0),))</f>
        <v>0</v>
      </c>
      <c r="W21" s="5">
        <f>IF(AI21="",0,INDEX(et_dmc[dmc_base],MATCH(AI21,et_dmc[Tech],0),))</f>
        <v>0</v>
      </c>
      <c r="X21" s="1"/>
      <c r="Y21" s="1"/>
      <c r="Z21" s="1"/>
      <c r="AA21" s="1"/>
      <c r="AB21" s="1"/>
      <c r="AC21" s="1" t="s">
        <v>166</v>
      </c>
      <c r="AD21" s="1"/>
      <c r="AE21" s="1" t="s">
        <v>103</v>
      </c>
      <c r="AF21" s="1" t="s">
        <v>324</v>
      </c>
      <c r="AG21" s="1"/>
      <c r="AH21" s="1"/>
      <c r="AI21" s="1"/>
    </row>
    <row r="22" spans="1:35" x14ac:dyDescent="0.3">
      <c r="A22">
        <v>3</v>
      </c>
      <c r="B22">
        <v>4</v>
      </c>
      <c r="C22">
        <v>4</v>
      </c>
      <c r="D22" t="s">
        <v>1</v>
      </c>
      <c r="E22" t="s">
        <v>4</v>
      </c>
      <c r="F22" t="s">
        <v>21</v>
      </c>
      <c r="G22" t="s">
        <v>219</v>
      </c>
      <c r="H22" t="str">
        <f t="shared" si="2"/>
        <v>E4_A4_DOHC_GDI_NatAsp_NoCEGR</v>
      </c>
      <c r="I22" t="s">
        <v>14</v>
      </c>
      <c r="J22" s="5">
        <f t="shared" si="0"/>
        <v>6601.3392002352612</v>
      </c>
      <c r="K22" s="8">
        <f t="shared" si="1"/>
        <v>2016</v>
      </c>
      <c r="L22" s="5">
        <f>IF(X22="",0,INDEX(et_dmc[dmc_base],MATCH(X22,et_dmc[Tech],0),)*INDEX(gdp_deflators!$B$2:$B$15,MATCH(engine!$K22,gdp_deflators!$A$2:$A$15,0),)/INDEX(gdp_deflators!$B$2:$B$15,MATCH(INDEX(et_dmc[dmc_basis],MATCH(X22,et_dmc[Tech],0),),gdp_deflators!$A$2:$A$15,0),))</f>
        <v>0</v>
      </c>
      <c r="M22" s="5">
        <f>IF(Y22="",0,INDEX(et_dmc[dmc_base],MATCH(Y22,et_dmc[Tech],0),)*INDEX(gdp_deflators!$B$2:$B$15,MATCH(engine!$K22,gdp_deflators!$A$2:$A$15,0),)/INDEX(gdp_deflators!$B$2:$B$15,MATCH(INDEX(et_dmc[dmc_basis],MATCH(Y22,et_dmc[Tech],0),),gdp_deflators!$A$2:$A$15,0),))</f>
        <v>0</v>
      </c>
      <c r="N22" s="5">
        <f>IF(Z22="",0,INDEX(et_dmc[dmc_base],MATCH(Z22,et_dmc[Tech],0),)*INDEX(gdp_deflators!$B$2:$B$15,MATCH(engine!$K22,gdp_deflators!$A$2:$A$15,0),)/INDEX(gdp_deflators!$B$2:$B$15,MATCH(INDEX(et_dmc[dmc_basis],MATCH(Z22,et_dmc[Tech],0),),gdp_deflators!$A$2:$A$15,0),))</f>
        <v>257.95716449999998</v>
      </c>
      <c r="O22" s="5">
        <f>IF(AA22="",0,INDEX(et_dmc[dmc_base],MATCH(AA22,et_dmc[Tech],0),)*INDEX(gdp_deflators!$B$2:$B$15,MATCH(engine!$K22,gdp_deflators!$A$2:$A$15,0),)/INDEX(gdp_deflators!$B$2:$B$15,MATCH(INDEX(et_dmc[dmc_basis],MATCH(AA22,et_dmc[Tech],0),),gdp_deflators!$A$2:$A$15,0),))</f>
        <v>0</v>
      </c>
      <c r="P22" s="5">
        <f>IF(AB22="",0,INDEX(et_dmc[dmc_base],MATCH(AB22,et_dmc[Tech],0),)*INDEX(gdp_deflators!$B$2:$B$15,MATCH(engine!$K22,gdp_deflators!$A$2:$A$15,0),)/INDEX(gdp_deflators!$B$2:$B$15,MATCH(INDEX(et_dmc[dmc_basis],MATCH(AB22,et_dmc[Tech],0),),gdp_deflators!$A$2:$A$15,0),))</f>
        <v>0</v>
      </c>
      <c r="Q22" s="5">
        <f>IF(AC22="",0,INDEX(et_dmc[dmc_base],MATCH(AC22,et_dmc[Tech],0),)*INDEX(gdp_deflators!$B$2:$B$15,MATCH(engine!$K22,gdp_deflators!$A$2:$A$15,0),)/INDEX(gdp_deflators!$B$2:$B$15,MATCH(INDEX(et_dmc[dmc_basis],MATCH(AC22,et_dmc[Tech],0),),gdp_deflators!$A$2:$A$15,0),))</f>
        <v>78.351515933058238</v>
      </c>
      <c r="R22" s="5">
        <f>IF(AD22="",0,INDEX(et_dmc[dmc_base],MATCH(AD22,et_dmc[Tech],0),)*INDEX(gdp_deflators!$B$2:$B$15,MATCH(engine!$K22,gdp_deflators!$A$2:$A$15,0),)/INDEX(gdp_deflators!$B$2:$B$15,MATCH(INDEX(et_dmc[dmc_basis],MATCH(AD22,et_dmc[Tech],0),),gdp_deflators!$A$2:$A$15,0),))</f>
        <v>0</v>
      </c>
      <c r="S22" s="5">
        <f>IF(AE22="",0,INDEX(et_dmc[dmc_base],MATCH(AE22,et_dmc[Tech],0),)*INDEX(gdp_deflators!$B$2:$B$15,MATCH(engine!$K22,gdp_deflators!$A$2:$A$15,0),)/INDEX(gdp_deflators!$B$2:$B$15,MATCH(INDEX(et_dmc[dmc_basis],MATCH(AE22,et_dmc[Tech],0),),gdp_deflators!$A$2:$A$15,0),))</f>
        <v>3.5227701667517821</v>
      </c>
      <c r="T22" s="5">
        <f>IF(AF22="",0,INDEX(et_dmc[dmc_base],MATCH(LEFT(AF22,3),et_dmc[Tech],0),)*RIGHT(AF22,1)*C22*INDEX(gdp_deflators!$B$2:$B$15,MATCH(engine!$K22,gdp_deflators!$A$2:$A$15,0),)/INDEX(gdp_deflators!$B$2:$B$15,MATCH(INDEX(et_dmc[dmc_basis],MATCH(LEFT(AF22,3),et_dmc[Tech],0),),gdp_deflators!$A$2:$A$15,0),))</f>
        <v>61.061349557030887</v>
      </c>
      <c r="U22" s="5">
        <f>IF(AG22="",0,INDEX(et_dmc[dmc_base],MATCH(AG22,et_dmc[Tech],0),)*INDEX(gdp_deflators!$B$2:$B$15,MATCH(engine!$K22,gdp_deflators!$A$2:$A$15,0),)/INDEX(gdp_deflators!$B$2:$B$15,MATCH(INDEX(et_dmc[dmc_basis],MATCH(AG22,et_dmc[Tech],0),),gdp_deflators!$A$2:$A$15,0),))</f>
        <v>0</v>
      </c>
      <c r="V22" s="5">
        <f>IF(AH22="",0,INDEX(et_dmc[dmc_base],MATCH(AH22,et_dmc[Tech],0),))</f>
        <v>0</v>
      </c>
      <c r="W22" s="5">
        <f>IF(AI22="",0,INDEX(et_dmc[dmc_base],MATCH(AI22,et_dmc[Tech],0),))</f>
        <v>0</v>
      </c>
      <c r="X22" s="1"/>
      <c r="Y22" s="1"/>
      <c r="Z22" s="1" t="s">
        <v>81</v>
      </c>
      <c r="AA22" s="1"/>
      <c r="AB22" s="1"/>
      <c r="AC22" s="1" t="s">
        <v>166</v>
      </c>
      <c r="AD22" s="1"/>
      <c r="AE22" s="1" t="s">
        <v>103</v>
      </c>
      <c r="AF22" s="1" t="s">
        <v>324</v>
      </c>
      <c r="AG22" s="1"/>
      <c r="AH22" s="1"/>
      <c r="AI22" s="1"/>
    </row>
    <row r="23" spans="1:35" x14ac:dyDescent="0.3">
      <c r="A23">
        <v>3</v>
      </c>
      <c r="B23">
        <v>4</v>
      </c>
      <c r="C23">
        <v>4</v>
      </c>
      <c r="D23" t="s">
        <v>1</v>
      </c>
      <c r="E23" t="s">
        <v>4</v>
      </c>
      <c r="F23" t="s">
        <v>20</v>
      </c>
      <c r="G23" t="s">
        <v>219</v>
      </c>
      <c r="H23" t="str">
        <f t="shared" si="2"/>
        <v>E4_A4_DOHC_GDI_TURB11_NoCEGR</v>
      </c>
      <c r="I23" t="s">
        <v>11</v>
      </c>
      <c r="J23" s="5">
        <f t="shared" si="0"/>
        <v>7181.0161804602612</v>
      </c>
      <c r="K23" s="8">
        <f t="shared" si="1"/>
        <v>2016</v>
      </c>
      <c r="L23" s="5">
        <f>IF(X23="",0,INDEX(et_dmc[dmc_base],MATCH(X23,et_dmc[Tech],0),)*INDEX(gdp_deflators!$B$2:$B$15,MATCH(engine!$K23,gdp_deflators!$A$2:$A$15,0),)/INDEX(gdp_deflators!$B$2:$B$15,MATCH(INDEX(et_dmc[dmc_basis],MATCH(X23,et_dmc[Tech],0),),gdp_deflators!$A$2:$A$15,0),))</f>
        <v>0</v>
      </c>
      <c r="M23" s="5">
        <f>IF(Y23="",0,INDEX(et_dmc[dmc_base],MATCH(Y23,et_dmc[Tech],0),)*INDEX(gdp_deflators!$B$2:$B$15,MATCH(engine!$K23,gdp_deflators!$A$2:$A$15,0),)/INDEX(gdp_deflators!$B$2:$B$15,MATCH(INDEX(et_dmc[dmc_basis],MATCH(Y23,et_dmc[Tech],0),),gdp_deflators!$A$2:$A$15,0),))</f>
        <v>-102.81954585000001</v>
      </c>
      <c r="N23" s="5">
        <f>IF(Z23="",0,INDEX(et_dmc[dmc_base],MATCH(Z23,et_dmc[Tech],0),)*INDEX(gdp_deflators!$B$2:$B$15,MATCH(engine!$K23,gdp_deflators!$A$2:$A$15,0),)/INDEX(gdp_deflators!$B$2:$B$15,MATCH(INDEX(et_dmc[dmc_basis],MATCH(Z23,et_dmc[Tech],0),),gdp_deflators!$A$2:$A$15,0),))</f>
        <v>257.95716449999998</v>
      </c>
      <c r="O23" s="5">
        <f>IF(AA23="",0,INDEX(et_dmc[dmc_base],MATCH(AA23,et_dmc[Tech],0),)*INDEX(gdp_deflators!$B$2:$B$15,MATCH(engine!$K23,gdp_deflators!$A$2:$A$15,0),)/INDEX(gdp_deflators!$B$2:$B$15,MATCH(INDEX(et_dmc[dmc_basis],MATCH(AA23,et_dmc[Tech],0),),gdp_deflators!$A$2:$A$15,0),))</f>
        <v>489.27086599999996</v>
      </c>
      <c r="P23" s="5">
        <f>IF(AB23="",0,INDEX(et_dmc[dmc_base],MATCH(AB23,et_dmc[Tech],0),)*INDEX(gdp_deflators!$B$2:$B$15,MATCH(engine!$K23,gdp_deflators!$A$2:$A$15,0),)/INDEX(gdp_deflators!$B$2:$B$15,MATCH(INDEX(et_dmc[dmc_basis],MATCH(AB23,et_dmc[Tech],0),),gdp_deflators!$A$2:$A$15,0),))</f>
        <v>0</v>
      </c>
      <c r="Q23" s="5">
        <f>IF(AC23="",0,INDEX(et_dmc[dmc_base],MATCH(AC23,et_dmc[Tech],0),)*INDEX(gdp_deflators!$B$2:$B$15,MATCH(engine!$K23,gdp_deflators!$A$2:$A$15,0),)/INDEX(gdp_deflators!$B$2:$B$15,MATCH(INDEX(et_dmc[dmc_basis],MATCH(AC23,et_dmc[Tech],0),),gdp_deflators!$A$2:$A$15,0),))</f>
        <v>78.351515933058238</v>
      </c>
      <c r="R23" s="5">
        <f>IF(AD23="",0,INDEX(et_dmc[dmc_base],MATCH(AD23,et_dmc[Tech],0),)*INDEX(gdp_deflators!$B$2:$B$15,MATCH(engine!$K23,gdp_deflators!$A$2:$A$15,0),)/INDEX(gdp_deflators!$B$2:$B$15,MATCH(INDEX(et_dmc[dmc_basis],MATCH(AD23,et_dmc[Tech],0),),gdp_deflators!$A$2:$A$15,0),))</f>
        <v>0</v>
      </c>
      <c r="S23" s="5">
        <f>IF(AE23="",0,INDEX(et_dmc[dmc_base],MATCH(AE23,et_dmc[Tech],0),)*INDEX(gdp_deflators!$B$2:$B$15,MATCH(engine!$K23,gdp_deflators!$A$2:$A$15,0),)/INDEX(gdp_deflators!$B$2:$B$15,MATCH(INDEX(et_dmc[dmc_basis],MATCH(AE23,et_dmc[Tech],0),),gdp_deflators!$A$2:$A$15,0),))</f>
        <v>3.5227701667517821</v>
      </c>
      <c r="T23" s="5">
        <f>IF(AF23="",0,INDEX(et_dmc[dmc_base],MATCH(LEFT(AF23,3),et_dmc[Tech],0),)*RIGHT(AF23,1)*C23*INDEX(gdp_deflators!$B$2:$B$15,MATCH(engine!$K23,gdp_deflators!$A$2:$A$15,0),)/INDEX(gdp_deflators!$B$2:$B$15,MATCH(INDEX(et_dmc[dmc_basis],MATCH(LEFT(AF23,3),et_dmc[Tech],0),),gdp_deflators!$A$2:$A$15,0),))</f>
        <v>61.061349557030887</v>
      </c>
      <c r="U23" s="5">
        <f>IF(AG23="",0,INDEX(et_dmc[dmc_base],MATCH(AG23,et_dmc[Tech],0),)*INDEX(gdp_deflators!$B$2:$B$15,MATCH(engine!$K23,gdp_deflators!$A$2:$A$15,0),)/INDEX(gdp_deflators!$B$2:$B$15,MATCH(INDEX(et_dmc[dmc_basis],MATCH(AG23,et_dmc[Tech],0),),gdp_deflators!$A$2:$A$15,0),))</f>
        <v>0</v>
      </c>
      <c r="V23" s="5">
        <f>IF(AH23="",0,INDEX(et_dmc[dmc_base],MATCH(AH23,et_dmc[Tech],0),))</f>
        <v>0</v>
      </c>
      <c r="W23" s="5">
        <f>IF(AI23="",0,INDEX(et_dmc[dmc_base],MATCH(AI23,et_dmc[Tech],0),))</f>
        <v>0</v>
      </c>
      <c r="X23" s="1"/>
      <c r="Y23" s="1" t="s">
        <v>99</v>
      </c>
      <c r="Z23" s="1" t="s">
        <v>81</v>
      </c>
      <c r="AA23" s="1" t="s">
        <v>105</v>
      </c>
      <c r="AB23" s="1"/>
      <c r="AC23" s="1" t="s">
        <v>166</v>
      </c>
      <c r="AD23" s="1"/>
      <c r="AE23" s="1" t="s">
        <v>103</v>
      </c>
      <c r="AF23" s="1" t="s">
        <v>324</v>
      </c>
      <c r="AG23" s="1"/>
      <c r="AH23" s="1"/>
      <c r="AI23" s="1"/>
    </row>
    <row r="24" spans="1:35" x14ac:dyDescent="0.3">
      <c r="A24">
        <v>3</v>
      </c>
      <c r="B24">
        <v>4</v>
      </c>
      <c r="C24">
        <v>3</v>
      </c>
      <c r="D24" t="s">
        <v>1</v>
      </c>
      <c r="E24" t="s">
        <v>4</v>
      </c>
      <c r="F24" t="s">
        <v>20</v>
      </c>
      <c r="G24" t="s">
        <v>219</v>
      </c>
      <c r="H24" t="str">
        <f t="shared" si="2"/>
        <v>E4_A3_DOHC_GDI_TURB11_NoCEGR</v>
      </c>
      <c r="I24" t="s">
        <v>11</v>
      </c>
      <c r="J24" s="5">
        <f t="shared" si="0"/>
        <v>6961.7437414013739</v>
      </c>
      <c r="K24" s="8">
        <f t="shared" si="1"/>
        <v>2016</v>
      </c>
      <c r="L24" s="5">
        <f>IF(X24="",0,INDEX(et_dmc[dmc_base],MATCH(X24,et_dmc[Tech],0),)*INDEX(gdp_deflators!$B$2:$B$15,MATCH(engine!$K24,gdp_deflators!$A$2:$A$15,0),)/INDEX(gdp_deflators!$B$2:$B$15,MATCH(INDEX(et_dmc[dmc_basis],MATCH(X24,et_dmc[Tech],0),),gdp_deflators!$A$2:$A$15,0),))</f>
        <v>0</v>
      </c>
      <c r="M24" s="5">
        <f>IF(Y24="",0,INDEX(et_dmc[dmc_base],MATCH(Y24,et_dmc[Tech],0),)*INDEX(gdp_deflators!$B$2:$B$15,MATCH(engine!$K24,gdp_deflators!$A$2:$A$15,0),)/INDEX(gdp_deflators!$B$2:$B$15,MATCH(INDEX(et_dmc[dmc_basis],MATCH(Y24,et_dmc[Tech],0),),gdp_deflators!$A$2:$A$15,0),))</f>
        <v>-233.73583450000001</v>
      </c>
      <c r="N24" s="5">
        <f>IF(Z24="",0,INDEX(et_dmc[dmc_base],MATCH(Z24,et_dmc[Tech],0),)*INDEX(gdp_deflators!$B$2:$B$15,MATCH(engine!$K24,gdp_deflators!$A$2:$A$15,0),)/INDEX(gdp_deflators!$B$2:$B$15,MATCH(INDEX(et_dmc[dmc_basis],MATCH(Z24,et_dmc[Tech],0),),gdp_deflators!$A$2:$A$15,0),))</f>
        <v>257.95716449999998</v>
      </c>
      <c r="O24" s="5">
        <f>IF(AA24="",0,INDEX(et_dmc[dmc_base],MATCH(AA24,et_dmc[Tech],0),)*INDEX(gdp_deflators!$B$2:$B$15,MATCH(engine!$K24,gdp_deflators!$A$2:$A$15,0),)/INDEX(gdp_deflators!$B$2:$B$15,MATCH(INDEX(et_dmc[dmc_basis],MATCH(AA24,et_dmc[Tech],0),),gdp_deflators!$A$2:$A$15,0),))</f>
        <v>489.27086599999996</v>
      </c>
      <c r="P24" s="5">
        <f>IF(AB24="",0,INDEX(et_dmc[dmc_base],MATCH(AB24,et_dmc[Tech],0),)*INDEX(gdp_deflators!$B$2:$B$15,MATCH(engine!$K24,gdp_deflators!$A$2:$A$15,0),)/INDEX(gdp_deflators!$B$2:$B$15,MATCH(INDEX(et_dmc[dmc_basis],MATCH(AB24,et_dmc[Tech],0),),gdp_deflators!$A$2:$A$15,0),))</f>
        <v>0</v>
      </c>
      <c r="Q24" s="5">
        <f>IF(AC24="",0,INDEX(et_dmc[dmc_base],MATCH(AC24,et_dmc[Tech],0),)*INDEX(gdp_deflators!$B$2:$B$15,MATCH(engine!$K24,gdp_deflators!$A$2:$A$15,0),)/INDEX(gdp_deflators!$B$2:$B$15,MATCH(INDEX(et_dmc[dmc_basis],MATCH(AC24,et_dmc[Tech],0),),gdp_deflators!$A$2:$A$15,0),))</f>
        <v>78.351515933058238</v>
      </c>
      <c r="R24" s="5">
        <f>IF(AD24="",0,INDEX(et_dmc[dmc_base],MATCH(AD24,et_dmc[Tech],0),)*INDEX(gdp_deflators!$B$2:$B$15,MATCH(engine!$K24,gdp_deflators!$A$2:$A$15,0),)/INDEX(gdp_deflators!$B$2:$B$15,MATCH(INDEX(et_dmc[dmc_basis],MATCH(AD24,et_dmc[Tech],0),),gdp_deflators!$A$2:$A$15,0),))</f>
        <v>0</v>
      </c>
      <c r="S24" s="5">
        <f>IF(AE24="",0,INDEX(et_dmc[dmc_base],MATCH(AE24,et_dmc[Tech],0),)*INDEX(gdp_deflators!$B$2:$B$15,MATCH(engine!$K24,gdp_deflators!$A$2:$A$15,0),)/INDEX(gdp_deflators!$B$2:$B$15,MATCH(INDEX(et_dmc[dmc_basis],MATCH(AE24,et_dmc[Tech],0),),gdp_deflators!$A$2:$A$15,0),))</f>
        <v>3.5227701667517821</v>
      </c>
      <c r="T24" s="5">
        <f>IF(AF24="",0,INDEX(et_dmc[dmc_base],MATCH(LEFT(AF24,3),et_dmc[Tech],0),)*RIGHT(AF24,1)*C24*INDEX(gdp_deflators!$B$2:$B$15,MATCH(engine!$K24,gdp_deflators!$A$2:$A$15,0),)/INDEX(gdp_deflators!$B$2:$B$15,MATCH(INDEX(et_dmc[dmc_basis],MATCH(LEFT(AF24,3),et_dmc[Tech],0),),gdp_deflators!$A$2:$A$15,0),))</f>
        <v>45.796012167773164</v>
      </c>
      <c r="U24" s="5">
        <f>IF(AG24="",0,INDEX(et_dmc[dmc_base],MATCH(AG24,et_dmc[Tech],0),)*INDEX(gdp_deflators!$B$2:$B$15,MATCH(engine!$K24,gdp_deflators!$A$2:$A$15,0),)/INDEX(gdp_deflators!$B$2:$B$15,MATCH(INDEX(et_dmc[dmc_basis],MATCH(AG24,et_dmc[Tech],0),),gdp_deflators!$A$2:$A$15,0),))</f>
        <v>0</v>
      </c>
      <c r="V24" s="5">
        <f>IF(AH24="",0,INDEX(et_dmc[dmc_base],MATCH(AH24,et_dmc[Tech],0),))</f>
        <v>0</v>
      </c>
      <c r="W24" s="5">
        <f>IF(AI24="",0,INDEX(et_dmc[dmc_base],MATCH(AI24,et_dmc[Tech],0),))</f>
        <v>0</v>
      </c>
      <c r="X24" s="1"/>
      <c r="Y24" s="1" t="s">
        <v>101</v>
      </c>
      <c r="Z24" s="1" t="s">
        <v>81</v>
      </c>
      <c r="AA24" s="1" t="s">
        <v>105</v>
      </c>
      <c r="AB24" s="1"/>
      <c r="AC24" s="1" t="s">
        <v>166</v>
      </c>
      <c r="AD24" s="1"/>
      <c r="AE24" s="1" t="s">
        <v>103</v>
      </c>
      <c r="AF24" s="1" t="s">
        <v>324</v>
      </c>
      <c r="AG24" s="1"/>
      <c r="AH24" s="1"/>
      <c r="AI24" s="1"/>
    </row>
    <row r="25" spans="1:35" x14ac:dyDescent="0.3">
      <c r="A25">
        <v>3</v>
      </c>
      <c r="B25">
        <v>4</v>
      </c>
      <c r="C25">
        <v>4</v>
      </c>
      <c r="D25" t="s">
        <v>1</v>
      </c>
      <c r="E25" t="s">
        <v>4</v>
      </c>
      <c r="F25" t="s">
        <v>17</v>
      </c>
      <c r="G25" t="s">
        <v>219</v>
      </c>
      <c r="H25" t="str">
        <f t="shared" si="2"/>
        <v>E4_A4_DOHC_GDI_ATK_NoCEGR</v>
      </c>
      <c r="I25" t="s">
        <v>18</v>
      </c>
      <c r="J25" s="5">
        <f t="shared" si="0"/>
        <v>6601.3392002352612</v>
      </c>
      <c r="K25" s="8">
        <f t="shared" si="1"/>
        <v>2016</v>
      </c>
      <c r="L25" s="5">
        <f>IF(X25="",0,INDEX(et_dmc[dmc_base],MATCH(X25,et_dmc[Tech],0),)*INDEX(gdp_deflators!$B$2:$B$15,MATCH(engine!$K25,gdp_deflators!$A$2:$A$15,0),)/INDEX(gdp_deflators!$B$2:$B$15,MATCH(INDEX(et_dmc[dmc_basis],MATCH(X25,et_dmc[Tech],0),),gdp_deflators!$A$2:$A$15,0),))</f>
        <v>0</v>
      </c>
      <c r="M25" s="5">
        <f>IF(Y25="",0,INDEX(et_dmc[dmc_base],MATCH(Y25,et_dmc[Tech],0),)*INDEX(gdp_deflators!$B$2:$B$15,MATCH(engine!$K25,gdp_deflators!$A$2:$A$15,0),)/INDEX(gdp_deflators!$B$2:$B$15,MATCH(INDEX(et_dmc[dmc_basis],MATCH(Y25,et_dmc[Tech],0),),gdp_deflators!$A$2:$A$15,0),))</f>
        <v>0</v>
      </c>
      <c r="N25" s="5">
        <f>IF(Z25="",0,INDEX(et_dmc[dmc_base],MATCH(Z25,et_dmc[Tech],0),)*INDEX(gdp_deflators!$B$2:$B$15,MATCH(engine!$K25,gdp_deflators!$A$2:$A$15,0),)/INDEX(gdp_deflators!$B$2:$B$15,MATCH(INDEX(et_dmc[dmc_basis],MATCH(Z25,et_dmc[Tech],0),),gdp_deflators!$A$2:$A$15,0),))</f>
        <v>257.95716449999998</v>
      </c>
      <c r="O25" s="5">
        <f>IF(AA25="",0,INDEX(et_dmc[dmc_base],MATCH(AA25,et_dmc[Tech],0),)*INDEX(gdp_deflators!$B$2:$B$15,MATCH(engine!$K25,gdp_deflators!$A$2:$A$15,0),)/INDEX(gdp_deflators!$B$2:$B$15,MATCH(INDEX(et_dmc[dmc_basis],MATCH(AA25,et_dmc[Tech],0),),gdp_deflators!$A$2:$A$15,0),))</f>
        <v>0</v>
      </c>
      <c r="P25" s="5">
        <f>IF(AB25="",0,INDEX(et_dmc[dmc_base],MATCH(AB25,et_dmc[Tech],0),)*INDEX(gdp_deflators!$B$2:$B$15,MATCH(engine!$K25,gdp_deflators!$A$2:$A$15,0),)/INDEX(gdp_deflators!$B$2:$B$15,MATCH(INDEX(et_dmc[dmc_basis],MATCH(AB25,et_dmc[Tech],0),),gdp_deflators!$A$2:$A$15,0),))</f>
        <v>0</v>
      </c>
      <c r="Q25" s="5">
        <f>IF(AC25="",0,INDEX(et_dmc[dmc_base],MATCH(AC25,et_dmc[Tech],0),)*INDEX(gdp_deflators!$B$2:$B$15,MATCH(engine!$K25,gdp_deflators!$A$2:$A$15,0),)/INDEX(gdp_deflators!$B$2:$B$15,MATCH(INDEX(et_dmc[dmc_basis],MATCH(AC25,et_dmc[Tech],0),),gdp_deflators!$A$2:$A$15,0),))</f>
        <v>78.351515933058238</v>
      </c>
      <c r="R25" s="5">
        <f>IF(AD25="",0,INDEX(et_dmc[dmc_base],MATCH(AD25,et_dmc[Tech],0),)*INDEX(gdp_deflators!$B$2:$B$15,MATCH(engine!$K25,gdp_deflators!$A$2:$A$15,0),)/INDEX(gdp_deflators!$B$2:$B$15,MATCH(INDEX(et_dmc[dmc_basis],MATCH(AD25,et_dmc[Tech],0),),gdp_deflators!$A$2:$A$15,0),))</f>
        <v>0</v>
      </c>
      <c r="S25" s="5">
        <f>IF(AE25="",0,INDEX(et_dmc[dmc_base],MATCH(AE25,et_dmc[Tech],0),)*INDEX(gdp_deflators!$B$2:$B$15,MATCH(engine!$K25,gdp_deflators!$A$2:$A$15,0),)/INDEX(gdp_deflators!$B$2:$B$15,MATCH(INDEX(et_dmc[dmc_basis],MATCH(AE25,et_dmc[Tech],0),),gdp_deflators!$A$2:$A$15,0),))</f>
        <v>3.5227701667517821</v>
      </c>
      <c r="T25" s="5">
        <f>IF(AF25="",0,INDEX(et_dmc[dmc_base],MATCH(LEFT(AF25,3),et_dmc[Tech],0),)*RIGHT(AF25,1)*C25*INDEX(gdp_deflators!$B$2:$B$15,MATCH(engine!$K25,gdp_deflators!$A$2:$A$15,0),)/INDEX(gdp_deflators!$B$2:$B$15,MATCH(INDEX(et_dmc[dmc_basis],MATCH(LEFT(AF25,3),et_dmc[Tech],0),),gdp_deflators!$A$2:$A$15,0),))</f>
        <v>61.061349557030887</v>
      </c>
      <c r="U25" s="5">
        <f>IF(AG25="",0,INDEX(et_dmc[dmc_base],MATCH(AG25,et_dmc[Tech],0),)*INDEX(gdp_deflators!$B$2:$B$15,MATCH(engine!$K25,gdp_deflators!$A$2:$A$15,0),)/INDEX(gdp_deflators!$B$2:$B$15,MATCH(INDEX(et_dmc[dmc_basis],MATCH(AG25,et_dmc[Tech],0),),gdp_deflators!$A$2:$A$15,0),))</f>
        <v>0</v>
      </c>
      <c r="V25" s="5">
        <f>IF(AH25="",0,INDEX(et_dmc[dmc_base],MATCH(AH25,et_dmc[Tech],0),))</f>
        <v>0</v>
      </c>
      <c r="W25" s="5">
        <f>IF(AI25="",0,INDEX(et_dmc[dmc_base],MATCH(AI25,et_dmc[Tech],0),))</f>
        <v>0</v>
      </c>
      <c r="X25" s="1"/>
      <c r="Y25" s="1"/>
      <c r="Z25" s="1" t="s">
        <v>81</v>
      </c>
      <c r="AA25" s="1"/>
      <c r="AB25" s="1" t="s">
        <v>66</v>
      </c>
      <c r="AC25" s="1" t="s">
        <v>166</v>
      </c>
      <c r="AD25" s="1"/>
      <c r="AE25" s="1" t="s">
        <v>103</v>
      </c>
      <c r="AF25" s="1" t="s">
        <v>324</v>
      </c>
      <c r="AG25" s="1"/>
      <c r="AH25" s="1"/>
      <c r="AI25" s="1"/>
    </row>
    <row r="26" spans="1:35" x14ac:dyDescent="0.3">
      <c r="A26">
        <v>3</v>
      </c>
      <c r="B26">
        <v>4</v>
      </c>
      <c r="C26">
        <v>4</v>
      </c>
      <c r="D26" t="s">
        <v>1</v>
      </c>
      <c r="E26" t="s">
        <v>4</v>
      </c>
      <c r="F26" t="s">
        <v>22</v>
      </c>
      <c r="G26" t="s">
        <v>219</v>
      </c>
      <c r="H26" t="str">
        <f t="shared" si="2"/>
        <v>E4_A4_DOHC_GDI_TURB12_NoCEGR</v>
      </c>
      <c r="I26" t="s">
        <v>23</v>
      </c>
      <c r="J26" s="5">
        <f t="shared" si="0"/>
        <v>7277.8923600459357</v>
      </c>
      <c r="K26" s="8">
        <f t="shared" si="1"/>
        <v>2016</v>
      </c>
      <c r="L26" s="5">
        <f>IF(X26="",0,INDEX(et_dmc[dmc_base],MATCH(X26,et_dmc[Tech],0),)*INDEX(gdp_deflators!$B$2:$B$15,MATCH(engine!$K26,gdp_deflators!$A$2:$A$15,0),)/INDEX(gdp_deflators!$B$2:$B$15,MATCH(INDEX(et_dmc[dmc_basis],MATCH(X26,et_dmc[Tech],0),),gdp_deflators!$A$2:$A$15,0),))</f>
        <v>0</v>
      </c>
      <c r="M26" s="5">
        <f>IF(Y26="",0,INDEX(et_dmc[dmc_base],MATCH(Y26,et_dmc[Tech],0),)*INDEX(gdp_deflators!$B$2:$B$15,MATCH(engine!$K26,gdp_deflators!$A$2:$A$15,0),)/INDEX(gdp_deflators!$B$2:$B$15,MATCH(INDEX(et_dmc[dmc_basis],MATCH(Y26,et_dmc[Tech],0),),gdp_deflators!$A$2:$A$15,0),))</f>
        <v>-102.81954585000001</v>
      </c>
      <c r="N26" s="5">
        <f>IF(Z26="",0,INDEX(et_dmc[dmc_base],MATCH(Z26,et_dmc[Tech],0),)*INDEX(gdp_deflators!$B$2:$B$15,MATCH(engine!$K26,gdp_deflators!$A$2:$A$15,0),)/INDEX(gdp_deflators!$B$2:$B$15,MATCH(INDEX(et_dmc[dmc_basis],MATCH(Z26,et_dmc[Tech],0),),gdp_deflators!$A$2:$A$15,0),))</f>
        <v>257.95716449999998</v>
      </c>
      <c r="O26" s="5">
        <f>IF(AA26="",0,INDEX(et_dmc[dmc_base],MATCH(AA26,et_dmc[Tech],0),)*INDEX(gdp_deflators!$B$2:$B$15,MATCH(engine!$K26,gdp_deflators!$A$2:$A$15,0),)/INDEX(gdp_deflators!$B$2:$B$15,MATCH(INDEX(et_dmc[dmc_basis],MATCH(AA26,et_dmc[Tech],0),),gdp_deflators!$A$2:$A$15,0),))</f>
        <v>489.27086599999996</v>
      </c>
      <c r="P26" s="5">
        <f>IF(AB26="",0,INDEX(et_dmc[dmc_base],MATCH(AB26,et_dmc[Tech],0),)*INDEX(gdp_deflators!$B$2:$B$15,MATCH(engine!$K26,gdp_deflators!$A$2:$A$15,0),)/INDEX(gdp_deflators!$B$2:$B$15,MATCH(INDEX(et_dmc[dmc_basis],MATCH(AB26,et_dmc[Tech],0),),gdp_deflators!$A$2:$A$15,0),))</f>
        <v>0</v>
      </c>
      <c r="Q26" s="5">
        <f>IF(AC26="",0,INDEX(et_dmc[dmc_base],MATCH(AC26,et_dmc[Tech],0),)*INDEX(gdp_deflators!$B$2:$B$15,MATCH(engine!$K26,gdp_deflators!$A$2:$A$15,0),)/INDEX(gdp_deflators!$B$2:$B$15,MATCH(INDEX(et_dmc[dmc_basis],MATCH(AC26,et_dmc[Tech],0),),gdp_deflators!$A$2:$A$15,0),))</f>
        <v>78.351515933058238</v>
      </c>
      <c r="R26" s="5">
        <f>IF(AD26="",0,INDEX(et_dmc[dmc_base],MATCH(AD26,et_dmc[Tech],0),)*INDEX(gdp_deflators!$B$2:$B$15,MATCH(engine!$K26,gdp_deflators!$A$2:$A$15,0),)/INDEX(gdp_deflators!$B$2:$B$15,MATCH(INDEX(et_dmc[dmc_basis],MATCH(AD26,et_dmc[Tech],0),),gdp_deflators!$A$2:$A$15,0),))</f>
        <v>0</v>
      </c>
      <c r="S26" s="5">
        <f>IF(AE26="",0,INDEX(et_dmc[dmc_base],MATCH(AE26,et_dmc[Tech],0),)*INDEX(gdp_deflators!$B$2:$B$15,MATCH(engine!$K26,gdp_deflators!$A$2:$A$15,0),)/INDEX(gdp_deflators!$B$2:$B$15,MATCH(INDEX(et_dmc[dmc_basis],MATCH(AE26,et_dmc[Tech],0),),gdp_deflators!$A$2:$A$15,0),))</f>
        <v>7.0455403335035642</v>
      </c>
      <c r="T26" s="5">
        <f>IF(AF26="",0,INDEX(et_dmc[dmc_base],MATCH(LEFT(AF26,3),et_dmc[Tech],0),)*RIGHT(AF26,1)*C26*INDEX(gdp_deflators!$B$2:$B$15,MATCH(engine!$K26,gdp_deflators!$A$2:$A$15,0),)/INDEX(gdp_deflators!$B$2:$B$15,MATCH(INDEX(et_dmc[dmc_basis],MATCH(LEFT(AF26,3),et_dmc[Tech],0),),gdp_deflators!$A$2:$A$15,0),))</f>
        <v>122.12269911406177</v>
      </c>
      <c r="U26" s="5">
        <f>IF(AG26="",0,INDEX(et_dmc[dmc_base],MATCH(AG26,et_dmc[Tech],0),)*INDEX(gdp_deflators!$B$2:$B$15,MATCH(engine!$K26,gdp_deflators!$A$2:$A$15,0),)/INDEX(gdp_deflators!$B$2:$B$15,MATCH(INDEX(et_dmc[dmc_basis],MATCH(AG26,et_dmc[Tech],0),),gdp_deflators!$A$2:$A$15,0),))</f>
        <v>0</v>
      </c>
      <c r="V26" s="5">
        <f>IF(AH26="",0,INDEX(et_dmc[dmc_base],MATCH(AH26,et_dmc[Tech],0),))</f>
        <v>0</v>
      </c>
      <c r="W26" s="5">
        <f>IF(AI26="",0,INDEX(et_dmc[dmc_base],MATCH(AI26,et_dmc[Tech],0),))</f>
        <v>0</v>
      </c>
      <c r="X26" s="1"/>
      <c r="Y26" s="1" t="s">
        <v>99</v>
      </c>
      <c r="Z26" s="1" t="s">
        <v>81</v>
      </c>
      <c r="AA26" s="1" t="s">
        <v>189</v>
      </c>
      <c r="AB26" s="1"/>
      <c r="AC26" s="1" t="s">
        <v>166</v>
      </c>
      <c r="AD26" s="1"/>
      <c r="AE26" s="1" t="s">
        <v>24</v>
      </c>
      <c r="AF26" s="1" t="s">
        <v>329</v>
      </c>
      <c r="AG26" s="1"/>
      <c r="AH26" s="1"/>
      <c r="AI26" s="1"/>
    </row>
    <row r="27" spans="1:35" x14ac:dyDescent="0.3">
      <c r="A27">
        <v>3</v>
      </c>
      <c r="B27">
        <v>4</v>
      </c>
      <c r="C27">
        <v>3</v>
      </c>
      <c r="D27" t="s">
        <v>1</v>
      </c>
      <c r="E27" t="s">
        <v>4</v>
      </c>
      <c r="F27" t="s">
        <v>22</v>
      </c>
      <c r="G27" t="s">
        <v>219</v>
      </c>
      <c r="H27" t="str">
        <f t="shared" si="2"/>
        <v>E4_A3_DOHC_GDI_TURB12_NoCEGR</v>
      </c>
      <c r="I27" t="s">
        <v>23</v>
      </c>
      <c r="J27" s="5">
        <f t="shared" si="0"/>
        <v>7035.7219149031616</v>
      </c>
      <c r="K27" s="8">
        <f t="shared" si="1"/>
        <v>2016</v>
      </c>
      <c r="L27" s="5">
        <f>IF(X27="",0,INDEX(et_dmc[dmc_base],MATCH(X27,et_dmc[Tech],0),)*INDEX(gdp_deflators!$B$2:$B$15,MATCH(engine!$K27,gdp_deflators!$A$2:$A$15,0),)/INDEX(gdp_deflators!$B$2:$B$15,MATCH(INDEX(et_dmc[dmc_basis],MATCH(X27,et_dmc[Tech],0),),gdp_deflators!$A$2:$A$15,0),))</f>
        <v>0</v>
      </c>
      <c r="M27" s="5">
        <f>IF(Y27="",0,INDEX(et_dmc[dmc_base],MATCH(Y27,et_dmc[Tech],0),)*INDEX(gdp_deflators!$B$2:$B$15,MATCH(engine!$K27,gdp_deflators!$A$2:$A$15,0),)/INDEX(gdp_deflators!$B$2:$B$15,MATCH(INDEX(et_dmc[dmc_basis],MATCH(Y27,et_dmc[Tech],0),),gdp_deflators!$A$2:$A$15,0),))</f>
        <v>-233.73583450000001</v>
      </c>
      <c r="N27" s="5">
        <f>IF(Z27="",0,INDEX(et_dmc[dmc_base],MATCH(Z27,et_dmc[Tech],0),)*INDEX(gdp_deflators!$B$2:$B$15,MATCH(engine!$K27,gdp_deflators!$A$2:$A$15,0),)/INDEX(gdp_deflators!$B$2:$B$15,MATCH(INDEX(et_dmc[dmc_basis],MATCH(Z27,et_dmc[Tech],0),),gdp_deflators!$A$2:$A$15,0),))</f>
        <v>257.95716449999998</v>
      </c>
      <c r="O27" s="5">
        <f>IF(AA27="",0,INDEX(et_dmc[dmc_base],MATCH(AA27,et_dmc[Tech],0),)*INDEX(gdp_deflators!$B$2:$B$15,MATCH(engine!$K27,gdp_deflators!$A$2:$A$15,0),)/INDEX(gdp_deflators!$B$2:$B$15,MATCH(INDEX(et_dmc[dmc_basis],MATCH(AA27,et_dmc[Tech],0),),gdp_deflators!$A$2:$A$15,0),))</f>
        <v>489.27086599999996</v>
      </c>
      <c r="P27" s="5">
        <f>IF(AB27="",0,INDEX(et_dmc[dmc_base],MATCH(AB27,et_dmc[Tech],0),)*INDEX(gdp_deflators!$B$2:$B$15,MATCH(engine!$K27,gdp_deflators!$A$2:$A$15,0),)/INDEX(gdp_deflators!$B$2:$B$15,MATCH(INDEX(et_dmc[dmc_basis],MATCH(AB27,et_dmc[Tech],0),),gdp_deflators!$A$2:$A$15,0),))</f>
        <v>0</v>
      </c>
      <c r="Q27" s="5">
        <f>IF(AC27="",0,INDEX(et_dmc[dmc_base],MATCH(AC27,et_dmc[Tech],0),)*INDEX(gdp_deflators!$B$2:$B$15,MATCH(engine!$K27,gdp_deflators!$A$2:$A$15,0),)/INDEX(gdp_deflators!$B$2:$B$15,MATCH(INDEX(et_dmc[dmc_basis],MATCH(AC27,et_dmc[Tech],0),),gdp_deflators!$A$2:$A$15,0),))</f>
        <v>78.351515933058238</v>
      </c>
      <c r="R27" s="5">
        <f>IF(AD27="",0,INDEX(et_dmc[dmc_base],MATCH(AD27,et_dmc[Tech],0),)*INDEX(gdp_deflators!$B$2:$B$15,MATCH(engine!$K27,gdp_deflators!$A$2:$A$15,0),)/INDEX(gdp_deflators!$B$2:$B$15,MATCH(INDEX(et_dmc[dmc_basis],MATCH(AD27,et_dmc[Tech],0),),gdp_deflators!$A$2:$A$15,0),))</f>
        <v>0</v>
      </c>
      <c r="S27" s="5">
        <f>IF(AE27="",0,INDEX(et_dmc[dmc_base],MATCH(AE27,et_dmc[Tech],0),)*INDEX(gdp_deflators!$B$2:$B$15,MATCH(engine!$K27,gdp_deflators!$A$2:$A$15,0),)/INDEX(gdp_deflators!$B$2:$B$15,MATCH(INDEX(et_dmc[dmc_basis],MATCH(AE27,et_dmc[Tech],0),),gdp_deflators!$A$2:$A$15,0),))</f>
        <v>7.0455403335035642</v>
      </c>
      <c r="T27" s="5">
        <f>IF(AF27="",0,INDEX(et_dmc[dmc_base],MATCH(LEFT(AF27,3),et_dmc[Tech],0),)*RIGHT(AF27,1)*C27*INDEX(gdp_deflators!$B$2:$B$15,MATCH(engine!$K27,gdp_deflators!$A$2:$A$15,0),)/INDEX(gdp_deflators!$B$2:$B$15,MATCH(INDEX(et_dmc[dmc_basis],MATCH(LEFT(AF27,3),et_dmc[Tech],0),),gdp_deflators!$A$2:$A$15,0),))</f>
        <v>91.592024335546327</v>
      </c>
      <c r="U27" s="5">
        <f>IF(AG27="",0,INDEX(et_dmc[dmc_base],MATCH(AG27,et_dmc[Tech],0),)*INDEX(gdp_deflators!$B$2:$B$15,MATCH(engine!$K27,gdp_deflators!$A$2:$A$15,0),)/INDEX(gdp_deflators!$B$2:$B$15,MATCH(INDEX(et_dmc[dmc_basis],MATCH(AG27,et_dmc[Tech],0),),gdp_deflators!$A$2:$A$15,0),))</f>
        <v>0</v>
      </c>
      <c r="V27" s="5">
        <f>IF(AH27="",0,INDEX(et_dmc[dmc_base],MATCH(AH27,et_dmc[Tech],0),))</f>
        <v>0</v>
      </c>
      <c r="W27" s="5">
        <f>IF(AI27="",0,INDEX(et_dmc[dmc_base],MATCH(AI27,et_dmc[Tech],0),))</f>
        <v>0</v>
      </c>
      <c r="X27" s="1"/>
      <c r="Y27" s="1" t="s">
        <v>101</v>
      </c>
      <c r="Z27" s="1" t="s">
        <v>84</v>
      </c>
      <c r="AA27" s="1" t="s">
        <v>189</v>
      </c>
      <c r="AB27" s="1"/>
      <c r="AC27" s="1" t="s">
        <v>166</v>
      </c>
      <c r="AD27" s="1"/>
      <c r="AE27" s="1" t="s">
        <v>24</v>
      </c>
      <c r="AF27" s="1" t="s">
        <v>329</v>
      </c>
      <c r="AG27" s="1"/>
      <c r="AH27" s="1"/>
      <c r="AI27" s="1"/>
    </row>
    <row r="28" spans="1:35" x14ac:dyDescent="0.3">
      <c r="A28">
        <v>3</v>
      </c>
      <c r="B28">
        <v>4</v>
      </c>
      <c r="C28">
        <v>4</v>
      </c>
      <c r="D28" t="s">
        <v>1</v>
      </c>
      <c r="E28" t="s">
        <v>4</v>
      </c>
      <c r="F28" t="s">
        <v>217</v>
      </c>
      <c r="G28" t="s">
        <v>220</v>
      </c>
      <c r="H28" t="str">
        <f t="shared" si="2"/>
        <v>E4_A4_DOHC_GDI_ATK2_CEGR</v>
      </c>
      <c r="I28" t="s">
        <v>216</v>
      </c>
      <c r="J28" s="5">
        <f t="shared" si="0"/>
        <v>7020.3791031622468</v>
      </c>
      <c r="K28" s="8">
        <f t="shared" si="1"/>
        <v>2016</v>
      </c>
      <c r="L28" s="5">
        <f>IF(X28="",0,INDEX(et_dmc[dmc_base],MATCH(X28,et_dmc[Tech],0),)*INDEX(gdp_deflators!$B$2:$B$15,MATCH(engine!$K28,gdp_deflators!$A$2:$A$15,0),)/INDEX(gdp_deflators!$B$2:$B$15,MATCH(INDEX(et_dmc[dmc_basis],MATCH(X28,et_dmc[Tech],0),),gdp_deflators!$A$2:$A$15,0),))</f>
        <v>0</v>
      </c>
      <c r="M28" s="5">
        <f>IF(Y28="",0,INDEX(et_dmc[dmc_base],MATCH(Y28,et_dmc[Tech],0),)*INDEX(gdp_deflators!$B$2:$B$15,MATCH(engine!$K28,gdp_deflators!$A$2:$A$15,0),)/INDEX(gdp_deflators!$B$2:$B$15,MATCH(INDEX(et_dmc[dmc_basis],MATCH(Y28,et_dmc[Tech],0),),gdp_deflators!$A$2:$A$15,0),))</f>
        <v>0</v>
      </c>
      <c r="N28" s="5">
        <f>IF(Z28="",0,INDEX(et_dmc[dmc_base],MATCH(Z28,et_dmc[Tech],0),)*INDEX(gdp_deflators!$B$2:$B$15,MATCH(engine!$K28,gdp_deflators!$A$2:$A$15,0),)/INDEX(gdp_deflators!$B$2:$B$15,MATCH(INDEX(et_dmc[dmc_basis],MATCH(Z28,et_dmc[Tech],0),),gdp_deflators!$A$2:$A$15,0),))</f>
        <v>257.95716449999998</v>
      </c>
      <c r="O28" s="5">
        <f>IF(AA28="",0,INDEX(et_dmc[dmc_base],MATCH(AA28,et_dmc[Tech],0),)*INDEX(gdp_deflators!$B$2:$B$15,MATCH(engine!$K28,gdp_deflators!$A$2:$A$15,0),)/INDEX(gdp_deflators!$B$2:$B$15,MATCH(INDEX(et_dmc[dmc_basis],MATCH(AA28,et_dmc[Tech],0),),gdp_deflators!$A$2:$A$15,0),))</f>
        <v>0</v>
      </c>
      <c r="P28" s="5">
        <f>IF(AB28="",0,INDEX(et_dmc[dmc_base],MATCH(AB28,et_dmc[Tech],0),)*INDEX(gdp_deflators!$B$2:$B$15,MATCH(engine!$K28,gdp_deflators!$A$2:$A$15,0),)/INDEX(gdp_deflators!$B$2:$B$15,MATCH(INDEX(et_dmc[dmc_basis],MATCH(AB28,et_dmc[Tech],0),),gdp_deflators!$A$2:$A$15,0),))</f>
        <v>94.64483034887472</v>
      </c>
      <c r="Q28" s="5">
        <f>IF(AC28="",0,INDEX(et_dmc[dmc_base],MATCH(AC28,et_dmc[Tech],0),)*INDEX(gdp_deflators!$B$2:$B$15,MATCH(engine!$K28,gdp_deflators!$A$2:$A$15,0),)/INDEX(gdp_deflators!$B$2:$B$15,MATCH(INDEX(et_dmc[dmc_basis],MATCH(AC28,et_dmc[Tech],0),),gdp_deflators!$A$2:$A$15,0),))</f>
        <v>78.351515933058238</v>
      </c>
      <c r="R28" s="5">
        <f>IF(AD28="",0,INDEX(et_dmc[dmc_base],MATCH(AD28,et_dmc[Tech],0),)*INDEX(gdp_deflators!$B$2:$B$15,MATCH(engine!$K28,gdp_deflators!$A$2:$A$15,0),)/INDEX(gdp_deflators!$B$2:$B$15,MATCH(INDEX(et_dmc[dmc_basis],MATCH(AD28,et_dmc[Tech],0),),gdp_deflators!$A$2:$A$15,0),))</f>
        <v>0</v>
      </c>
      <c r="S28" s="5">
        <f>IF(AE28="",0,INDEX(et_dmc[dmc_base],MATCH(AE28,et_dmc[Tech],0),)*INDEX(gdp_deflators!$B$2:$B$15,MATCH(engine!$K28,gdp_deflators!$A$2:$A$15,0),)/INDEX(gdp_deflators!$B$2:$B$15,MATCH(INDEX(et_dmc[dmc_basis],MATCH(AE28,et_dmc[Tech],0),),gdp_deflators!$A$2:$A$15,0),))</f>
        <v>7.0455403335035642</v>
      </c>
      <c r="T28" s="5">
        <f>IF(AF28="",0,INDEX(et_dmc[dmc_base],MATCH(LEFT(AF28,3),et_dmc[Tech],0),)*RIGHT(AF28,1)*C28*INDEX(gdp_deflators!$B$2:$B$15,MATCH(engine!$K28,gdp_deflators!$A$2:$A$15,0),)/INDEX(gdp_deflators!$B$2:$B$15,MATCH(INDEX(et_dmc[dmc_basis],MATCH(LEFT(AF28,3),et_dmc[Tech],0),),gdp_deflators!$A$2:$A$15,0),))</f>
        <v>122.12269911406177</v>
      </c>
      <c r="U28" s="5">
        <f>IF(AG28="",0,INDEX(et_dmc[dmc_base],MATCH(AG28,et_dmc[Tech],0),)*INDEX(gdp_deflators!$B$2:$B$15,MATCH(engine!$K28,gdp_deflators!$A$2:$A$15,0),)/INDEX(gdp_deflators!$B$2:$B$15,MATCH(INDEX(et_dmc[dmc_basis],MATCH(AG28,et_dmc[Tech],0),),gdp_deflators!$A$2:$A$15,0),))</f>
        <v>120.13098521199998</v>
      </c>
      <c r="V28" s="5">
        <f>IF(AH28="",0,INDEX(et_dmc[dmc_base],MATCH(AH28,et_dmc[Tech],0),))</f>
        <v>0</v>
      </c>
      <c r="W28" s="5">
        <f>IF(AI28="",0,INDEX(et_dmc[dmc_base],MATCH(AI28,et_dmc[Tech],0),))</f>
        <v>0</v>
      </c>
      <c r="X28" s="1"/>
      <c r="Y28" s="1"/>
      <c r="Z28" s="1" t="s">
        <v>81</v>
      </c>
      <c r="AA28" s="1"/>
      <c r="AB28" s="1" t="s">
        <v>178</v>
      </c>
      <c r="AC28" s="1" t="s">
        <v>166</v>
      </c>
      <c r="AD28" s="1"/>
      <c r="AE28" s="1" t="s">
        <v>24</v>
      </c>
      <c r="AF28" s="1" t="s">
        <v>329</v>
      </c>
      <c r="AG28" s="1" t="s">
        <v>93</v>
      </c>
      <c r="AH28" s="1"/>
      <c r="AI28" s="1"/>
    </row>
    <row r="29" spans="1:35" x14ac:dyDescent="0.3">
      <c r="A29">
        <v>3</v>
      </c>
      <c r="B29">
        <v>4</v>
      </c>
      <c r="C29">
        <v>4</v>
      </c>
      <c r="D29" t="s">
        <v>1</v>
      </c>
      <c r="E29" t="s">
        <v>4</v>
      </c>
      <c r="F29" t="s">
        <v>217</v>
      </c>
      <c r="G29" t="s">
        <v>219</v>
      </c>
      <c r="H29" t="str">
        <f t="shared" si="2"/>
        <v>E4_A4_DOHC_GDI_ATK2_NoCEGR</v>
      </c>
      <c r="I29" t="s">
        <v>214</v>
      </c>
      <c r="J29" s="5">
        <f t="shared" si="0"/>
        <v>7036.3753983442475</v>
      </c>
      <c r="K29" s="8">
        <f t="shared" si="1"/>
        <v>2016</v>
      </c>
      <c r="L29" s="5">
        <f>IF(X29="",0,INDEX(et_dmc[dmc_base],MATCH(X29,et_dmc[Tech],0),)*INDEX(gdp_deflators!$B$2:$B$15,MATCH(engine!$K29,gdp_deflators!$A$2:$A$15,0),)/INDEX(gdp_deflators!$B$2:$B$15,MATCH(INDEX(et_dmc[dmc_basis],MATCH(X29,et_dmc[Tech],0),),gdp_deflators!$A$2:$A$15,0),))</f>
        <v>0</v>
      </c>
      <c r="M29" s="5">
        <f>IF(Y29="",0,INDEX(et_dmc[dmc_base],MATCH(Y29,et_dmc[Tech],0),)*INDEX(gdp_deflators!$B$2:$B$15,MATCH(engine!$K29,gdp_deflators!$A$2:$A$15,0),)/INDEX(gdp_deflators!$B$2:$B$15,MATCH(INDEX(et_dmc[dmc_basis],MATCH(Y29,et_dmc[Tech],0),),gdp_deflators!$A$2:$A$15,0),))</f>
        <v>0</v>
      </c>
      <c r="N29" s="5">
        <f>IF(Z29="",0,INDEX(et_dmc[dmc_base],MATCH(Z29,et_dmc[Tech],0),)*INDEX(gdp_deflators!$B$2:$B$15,MATCH(engine!$K29,gdp_deflators!$A$2:$A$15,0),)/INDEX(gdp_deflators!$B$2:$B$15,MATCH(INDEX(et_dmc[dmc_basis],MATCH(Z29,et_dmc[Tech],0),),gdp_deflators!$A$2:$A$15,0),))</f>
        <v>388.75234649999999</v>
      </c>
      <c r="O29" s="5">
        <f>IF(AA29="",0,INDEX(et_dmc[dmc_base],MATCH(AA29,et_dmc[Tech],0),)*INDEX(gdp_deflators!$B$2:$B$15,MATCH(engine!$K29,gdp_deflators!$A$2:$A$15,0),)/INDEX(gdp_deflators!$B$2:$B$15,MATCH(INDEX(et_dmc[dmc_basis],MATCH(AA29,et_dmc[Tech],0),),gdp_deflators!$A$2:$A$15,0),))</f>
        <v>0</v>
      </c>
      <c r="P29" s="5">
        <f>IF(AB29="",0,INDEX(et_dmc[dmc_base],MATCH(AB29,et_dmc[Tech],0),)*INDEX(gdp_deflators!$B$2:$B$15,MATCH(engine!$K29,gdp_deflators!$A$2:$A$15,0),)/INDEX(gdp_deflators!$B$2:$B$15,MATCH(INDEX(et_dmc[dmc_basis],MATCH(AB29,et_dmc[Tech],0),),gdp_deflators!$A$2:$A$15,0),))</f>
        <v>94.64483034887472</v>
      </c>
      <c r="Q29" s="5">
        <f>IF(AC29="",0,INDEX(et_dmc[dmc_base],MATCH(AC29,et_dmc[Tech],0),)*INDEX(gdp_deflators!$B$2:$B$15,MATCH(engine!$K29,gdp_deflators!$A$2:$A$15,0),)/INDEX(gdp_deflators!$B$2:$B$15,MATCH(INDEX(et_dmc[dmc_basis],MATCH(AC29,et_dmc[Tech],0),),gdp_deflators!$A$2:$A$15,0),))</f>
        <v>78.351515933058238</v>
      </c>
      <c r="R29" s="5">
        <f>IF(AD29="",0,INDEX(et_dmc[dmc_base],MATCH(AD29,et_dmc[Tech],0),)*INDEX(gdp_deflators!$B$2:$B$15,MATCH(engine!$K29,gdp_deflators!$A$2:$A$15,0),)/INDEX(gdp_deflators!$B$2:$B$15,MATCH(INDEX(et_dmc[dmc_basis],MATCH(AD29,et_dmc[Tech],0),),gdp_deflators!$A$2:$A$15,0),))</f>
        <v>0</v>
      </c>
      <c r="S29" s="5">
        <f>IF(AE29="",0,INDEX(et_dmc[dmc_base],MATCH(AE29,et_dmc[Tech],0),)*INDEX(gdp_deflators!$B$2:$B$15,MATCH(engine!$K29,gdp_deflators!$A$2:$A$15,0),)/INDEX(gdp_deflators!$B$2:$B$15,MATCH(INDEX(et_dmc[dmc_basis],MATCH(AE29,et_dmc[Tech],0),),gdp_deflators!$A$2:$A$15,0),))</f>
        <v>7.0455403335035642</v>
      </c>
      <c r="T29" s="5">
        <f>IF(AF29="",0,INDEX(et_dmc[dmc_base],MATCH(LEFT(AF29,3),et_dmc[Tech],0),)*RIGHT(AF29,1)*C29*INDEX(gdp_deflators!$B$2:$B$15,MATCH(engine!$K29,gdp_deflators!$A$2:$A$15,0),)/INDEX(gdp_deflators!$B$2:$B$15,MATCH(INDEX(et_dmc[dmc_basis],MATCH(LEFT(AF29,3),et_dmc[Tech],0),),gdp_deflators!$A$2:$A$15,0),))</f>
        <v>122.12269911406177</v>
      </c>
      <c r="U29" s="5">
        <f>IF(AG29="",0,INDEX(et_dmc[dmc_base],MATCH(AG29,et_dmc[Tech],0),)*INDEX(gdp_deflators!$B$2:$B$15,MATCH(engine!$K29,gdp_deflators!$A$2:$A$15,0),)/INDEX(gdp_deflators!$B$2:$B$15,MATCH(INDEX(et_dmc[dmc_basis],MATCH(AG29,et_dmc[Tech],0),),gdp_deflators!$A$2:$A$15,0),))</f>
        <v>0</v>
      </c>
      <c r="V29" s="5">
        <f>IF(AH29="",0,INDEX(et_dmc[dmc_base],MATCH(AH29,et_dmc[Tech],0),))</f>
        <v>0</v>
      </c>
      <c r="W29" s="5">
        <f>IF(AI29="",0,INDEX(et_dmc[dmc_base],MATCH(AI29,et_dmc[Tech],0),))</f>
        <v>0</v>
      </c>
      <c r="X29" s="1"/>
      <c r="Y29" s="1"/>
      <c r="Z29" s="1" t="s">
        <v>86</v>
      </c>
      <c r="AA29" s="1"/>
      <c r="AB29" s="1" t="s">
        <v>178</v>
      </c>
      <c r="AC29" s="1" t="s">
        <v>166</v>
      </c>
      <c r="AD29" s="1"/>
      <c r="AE29" s="1" t="s">
        <v>24</v>
      </c>
      <c r="AF29" s="1" t="s">
        <v>329</v>
      </c>
      <c r="AG29" s="1"/>
      <c r="AH29" s="1"/>
      <c r="AI29" s="1"/>
    </row>
    <row r="30" spans="1:35" x14ac:dyDescent="0.3">
      <c r="A30">
        <v>3</v>
      </c>
      <c r="B30">
        <v>4</v>
      </c>
      <c r="C30">
        <v>4</v>
      </c>
      <c r="D30" t="s">
        <v>1</v>
      </c>
      <c r="E30" t="s">
        <v>4</v>
      </c>
      <c r="F30" t="s">
        <v>22</v>
      </c>
      <c r="G30" t="s">
        <v>220</v>
      </c>
      <c r="H30" t="str">
        <f t="shared" si="2"/>
        <v>E4_A4_DOHC_GDI_TURB12_CEGR</v>
      </c>
      <c r="I30" t="s">
        <v>215</v>
      </c>
      <c r="J30" s="5">
        <f t="shared" si="0"/>
        <v>7458.0888378639347</v>
      </c>
      <c r="K30" s="8">
        <f t="shared" si="1"/>
        <v>2016</v>
      </c>
      <c r="L30" s="5">
        <f>IF(X30="",0,INDEX(et_dmc[dmc_base],MATCH(X30,et_dmc[Tech],0),)*INDEX(gdp_deflators!$B$2:$B$15,MATCH(engine!$K30,gdp_deflators!$A$2:$A$15,0),)/INDEX(gdp_deflators!$B$2:$B$15,MATCH(INDEX(et_dmc[dmc_basis],MATCH(X30,et_dmc[Tech],0),),gdp_deflators!$A$2:$A$15,0),))</f>
        <v>0</v>
      </c>
      <c r="M30" s="5">
        <f>IF(Y30="",0,INDEX(et_dmc[dmc_base],MATCH(Y30,et_dmc[Tech],0),)*INDEX(gdp_deflators!$B$2:$B$15,MATCH(engine!$K30,gdp_deflators!$A$2:$A$15,0),)/INDEX(gdp_deflators!$B$2:$B$15,MATCH(INDEX(et_dmc[dmc_basis],MATCH(Y30,et_dmc[Tech],0),),gdp_deflators!$A$2:$A$15,0),))</f>
        <v>-102.81954585000001</v>
      </c>
      <c r="N30" s="5">
        <f>IF(Z30="",0,INDEX(et_dmc[dmc_base],MATCH(Z30,et_dmc[Tech],0),)*INDEX(gdp_deflators!$B$2:$B$15,MATCH(engine!$K30,gdp_deflators!$A$2:$A$15,0),)/INDEX(gdp_deflators!$B$2:$B$15,MATCH(INDEX(et_dmc[dmc_basis],MATCH(Z30,et_dmc[Tech],0),),gdp_deflators!$A$2:$A$15,0),))</f>
        <v>257.95716449999998</v>
      </c>
      <c r="O30" s="5">
        <f>IF(AA30="",0,INDEX(et_dmc[dmc_base],MATCH(AA30,et_dmc[Tech],0),)*INDEX(gdp_deflators!$B$2:$B$15,MATCH(engine!$K30,gdp_deflators!$A$2:$A$15,0),)/INDEX(gdp_deflators!$B$2:$B$15,MATCH(INDEX(et_dmc[dmc_basis],MATCH(AA30,et_dmc[Tech],0),),gdp_deflators!$A$2:$A$15,0),))</f>
        <v>489.27086599999996</v>
      </c>
      <c r="P30" s="5">
        <f>IF(AB30="",0,INDEX(et_dmc[dmc_base],MATCH(AB30,et_dmc[Tech],0),)*INDEX(gdp_deflators!$B$2:$B$15,MATCH(engine!$K30,gdp_deflators!$A$2:$A$15,0),)/INDEX(gdp_deflators!$B$2:$B$15,MATCH(INDEX(et_dmc[dmc_basis],MATCH(AB30,et_dmc[Tech],0),),gdp_deflators!$A$2:$A$15,0),))</f>
        <v>0</v>
      </c>
      <c r="Q30" s="5">
        <f>IF(AC30="",0,INDEX(et_dmc[dmc_base],MATCH(AC30,et_dmc[Tech],0),)*INDEX(gdp_deflators!$B$2:$B$15,MATCH(engine!$K30,gdp_deflators!$A$2:$A$15,0),)/INDEX(gdp_deflators!$B$2:$B$15,MATCH(INDEX(et_dmc[dmc_basis],MATCH(AC30,et_dmc[Tech],0),),gdp_deflators!$A$2:$A$15,0),))</f>
        <v>78.351515933058238</v>
      </c>
      <c r="R30" s="5">
        <f>IF(AD30="",0,INDEX(et_dmc[dmc_base],MATCH(AD30,et_dmc[Tech],0),)*INDEX(gdp_deflators!$B$2:$B$15,MATCH(engine!$K30,gdp_deflators!$A$2:$A$15,0),)/INDEX(gdp_deflators!$B$2:$B$15,MATCH(INDEX(et_dmc[dmc_basis],MATCH(AD30,et_dmc[Tech],0),),gdp_deflators!$A$2:$A$15,0),))</f>
        <v>0</v>
      </c>
      <c r="S30" s="5">
        <f>IF(AE30="",0,INDEX(et_dmc[dmc_base],MATCH(AE30,et_dmc[Tech],0),)*INDEX(gdp_deflators!$B$2:$B$15,MATCH(engine!$K30,gdp_deflators!$A$2:$A$15,0),)/INDEX(gdp_deflators!$B$2:$B$15,MATCH(INDEX(et_dmc[dmc_basis],MATCH(AE30,et_dmc[Tech],0),),gdp_deflators!$A$2:$A$15,0),))</f>
        <v>7.0455403335035642</v>
      </c>
      <c r="T30" s="5">
        <f>IF(AF30="",0,INDEX(et_dmc[dmc_base],MATCH(LEFT(AF30,3),et_dmc[Tech],0),)*RIGHT(AF30,1)*C30*INDEX(gdp_deflators!$B$2:$B$15,MATCH(engine!$K30,gdp_deflators!$A$2:$A$15,0),)/INDEX(gdp_deflators!$B$2:$B$15,MATCH(INDEX(et_dmc[dmc_basis],MATCH(LEFT(AF30,3),et_dmc[Tech],0),),gdp_deflators!$A$2:$A$15,0),))</f>
        <v>122.12269911406177</v>
      </c>
      <c r="U30" s="5">
        <f>IF(AG30="",0,INDEX(et_dmc[dmc_base],MATCH(AG30,et_dmc[Tech],0),)*INDEX(gdp_deflators!$B$2:$B$15,MATCH(engine!$K30,gdp_deflators!$A$2:$A$15,0),)/INDEX(gdp_deflators!$B$2:$B$15,MATCH(INDEX(et_dmc[dmc_basis],MATCH(AG30,et_dmc[Tech],0),),gdp_deflators!$A$2:$A$15,0),))</f>
        <v>120.13098521199998</v>
      </c>
      <c r="V30" s="5">
        <f>IF(AH30="",0,INDEX(et_dmc[dmc_base],MATCH(AH30,et_dmc[Tech],0),))</f>
        <v>0</v>
      </c>
      <c r="W30" s="5">
        <f>IF(AI30="",0,INDEX(et_dmc[dmc_base],MATCH(AI30,et_dmc[Tech],0),))</f>
        <v>0</v>
      </c>
      <c r="X30" s="1"/>
      <c r="Y30" s="1" t="s">
        <v>99</v>
      </c>
      <c r="Z30" s="1" t="s">
        <v>81</v>
      </c>
      <c r="AA30" s="1" t="s">
        <v>189</v>
      </c>
      <c r="AB30" s="1"/>
      <c r="AC30" s="1" t="s">
        <v>166</v>
      </c>
      <c r="AD30" s="1"/>
      <c r="AE30" s="1" t="s">
        <v>24</v>
      </c>
      <c r="AF30" s="1" t="s">
        <v>329</v>
      </c>
      <c r="AG30" s="1" t="s">
        <v>93</v>
      </c>
      <c r="AH30" s="1"/>
      <c r="AI30" s="1"/>
    </row>
    <row r="31" spans="1:35" x14ac:dyDescent="0.3">
      <c r="A31">
        <v>3</v>
      </c>
      <c r="B31">
        <v>4</v>
      </c>
      <c r="C31">
        <v>3</v>
      </c>
      <c r="D31" t="s">
        <v>1</v>
      </c>
      <c r="E31" t="s">
        <v>4</v>
      </c>
      <c r="F31" t="s">
        <v>22</v>
      </c>
      <c r="G31" t="s">
        <v>220</v>
      </c>
      <c r="H31" t="str">
        <f t="shared" si="2"/>
        <v>E4_A3_DOHC_GDI_TURB12_CEGR</v>
      </c>
      <c r="I31" t="s">
        <v>215</v>
      </c>
      <c r="J31" s="5">
        <f t="shared" si="0"/>
        <v>7215.9183927211616</v>
      </c>
      <c r="K31" s="8">
        <f t="shared" si="1"/>
        <v>2016</v>
      </c>
      <c r="L31" s="5">
        <f>IF(X31="",0,INDEX(et_dmc[dmc_base],MATCH(X31,et_dmc[Tech],0),)*INDEX(gdp_deflators!$B$2:$B$15,MATCH(engine!$K31,gdp_deflators!$A$2:$A$15,0),)/INDEX(gdp_deflators!$B$2:$B$15,MATCH(INDEX(et_dmc[dmc_basis],MATCH(X31,et_dmc[Tech],0),),gdp_deflators!$A$2:$A$15,0),))</f>
        <v>0</v>
      </c>
      <c r="M31" s="5">
        <f>IF(Y31="",0,INDEX(et_dmc[dmc_base],MATCH(Y31,et_dmc[Tech],0),)*INDEX(gdp_deflators!$B$2:$B$15,MATCH(engine!$K31,gdp_deflators!$A$2:$A$15,0),)/INDEX(gdp_deflators!$B$2:$B$15,MATCH(INDEX(et_dmc[dmc_basis],MATCH(Y31,et_dmc[Tech],0),),gdp_deflators!$A$2:$A$15,0),))</f>
        <v>-233.73583450000001</v>
      </c>
      <c r="N31" s="5">
        <f>IF(Z31="",0,INDEX(et_dmc[dmc_base],MATCH(Z31,et_dmc[Tech],0),)*INDEX(gdp_deflators!$B$2:$B$15,MATCH(engine!$K31,gdp_deflators!$A$2:$A$15,0),)/INDEX(gdp_deflators!$B$2:$B$15,MATCH(INDEX(et_dmc[dmc_basis],MATCH(Z31,et_dmc[Tech],0),),gdp_deflators!$A$2:$A$15,0),))</f>
        <v>257.95716449999998</v>
      </c>
      <c r="O31" s="5">
        <f>IF(AA31="",0,INDEX(et_dmc[dmc_base],MATCH(AA31,et_dmc[Tech],0),)*INDEX(gdp_deflators!$B$2:$B$15,MATCH(engine!$K31,gdp_deflators!$A$2:$A$15,0),)/INDEX(gdp_deflators!$B$2:$B$15,MATCH(INDEX(et_dmc[dmc_basis],MATCH(AA31,et_dmc[Tech],0),),gdp_deflators!$A$2:$A$15,0),))</f>
        <v>489.27086599999996</v>
      </c>
      <c r="P31" s="5">
        <f>IF(AB31="",0,INDEX(et_dmc[dmc_base],MATCH(AB31,et_dmc[Tech],0),)*INDEX(gdp_deflators!$B$2:$B$15,MATCH(engine!$K31,gdp_deflators!$A$2:$A$15,0),)/INDEX(gdp_deflators!$B$2:$B$15,MATCH(INDEX(et_dmc[dmc_basis],MATCH(AB31,et_dmc[Tech],0),),gdp_deflators!$A$2:$A$15,0),))</f>
        <v>0</v>
      </c>
      <c r="Q31" s="5">
        <f>IF(AC31="",0,INDEX(et_dmc[dmc_base],MATCH(AC31,et_dmc[Tech],0),)*INDEX(gdp_deflators!$B$2:$B$15,MATCH(engine!$K31,gdp_deflators!$A$2:$A$15,0),)/INDEX(gdp_deflators!$B$2:$B$15,MATCH(INDEX(et_dmc[dmc_basis],MATCH(AC31,et_dmc[Tech],0),),gdp_deflators!$A$2:$A$15,0),))</f>
        <v>78.351515933058238</v>
      </c>
      <c r="R31" s="5">
        <f>IF(AD31="",0,INDEX(et_dmc[dmc_base],MATCH(AD31,et_dmc[Tech],0),)*INDEX(gdp_deflators!$B$2:$B$15,MATCH(engine!$K31,gdp_deflators!$A$2:$A$15,0),)/INDEX(gdp_deflators!$B$2:$B$15,MATCH(INDEX(et_dmc[dmc_basis],MATCH(AD31,et_dmc[Tech],0),),gdp_deflators!$A$2:$A$15,0),))</f>
        <v>0</v>
      </c>
      <c r="S31" s="5">
        <f>IF(AE31="",0,INDEX(et_dmc[dmc_base],MATCH(AE31,et_dmc[Tech],0),)*INDEX(gdp_deflators!$B$2:$B$15,MATCH(engine!$K31,gdp_deflators!$A$2:$A$15,0),)/INDEX(gdp_deflators!$B$2:$B$15,MATCH(INDEX(et_dmc[dmc_basis],MATCH(AE31,et_dmc[Tech],0),),gdp_deflators!$A$2:$A$15,0),))</f>
        <v>7.0455403335035642</v>
      </c>
      <c r="T31" s="5">
        <f>IF(AF31="",0,INDEX(et_dmc[dmc_base],MATCH(LEFT(AF31,3),et_dmc[Tech],0),)*RIGHT(AF31,1)*C31*INDEX(gdp_deflators!$B$2:$B$15,MATCH(engine!$K31,gdp_deflators!$A$2:$A$15,0),)/INDEX(gdp_deflators!$B$2:$B$15,MATCH(INDEX(et_dmc[dmc_basis],MATCH(LEFT(AF31,3),et_dmc[Tech],0),),gdp_deflators!$A$2:$A$15,0),))</f>
        <v>91.592024335546327</v>
      </c>
      <c r="U31" s="5">
        <f>IF(AG31="",0,INDEX(et_dmc[dmc_base],MATCH(AG31,et_dmc[Tech],0),)*INDEX(gdp_deflators!$B$2:$B$15,MATCH(engine!$K31,gdp_deflators!$A$2:$A$15,0),)/INDEX(gdp_deflators!$B$2:$B$15,MATCH(INDEX(et_dmc[dmc_basis],MATCH(AG31,et_dmc[Tech],0),),gdp_deflators!$A$2:$A$15,0),))</f>
        <v>120.13098521199998</v>
      </c>
      <c r="V31" s="5">
        <f>IF(AH31="",0,INDEX(et_dmc[dmc_base],MATCH(AH31,et_dmc[Tech],0),))</f>
        <v>0</v>
      </c>
      <c r="W31" s="5">
        <f>IF(AI31="",0,INDEX(et_dmc[dmc_base],MATCH(AI31,et_dmc[Tech],0),))</f>
        <v>0</v>
      </c>
      <c r="X31" s="1"/>
      <c r="Y31" s="1" t="s">
        <v>101</v>
      </c>
      <c r="Z31" s="1" t="s">
        <v>84</v>
      </c>
      <c r="AA31" s="1" t="s">
        <v>189</v>
      </c>
      <c r="AB31" s="1"/>
      <c r="AC31" s="1" t="s">
        <v>166</v>
      </c>
      <c r="AD31" s="1"/>
      <c r="AE31" s="1" t="s">
        <v>24</v>
      </c>
      <c r="AF31" s="1" t="s">
        <v>329</v>
      </c>
      <c r="AG31" s="1" t="s">
        <v>93</v>
      </c>
      <c r="AH31" s="1"/>
      <c r="AI31" s="1"/>
    </row>
  </sheetData>
  <autoFilter ref="A1:AI34" xr:uid="{7963B36C-723D-42DF-8C6E-08DF0F80784E}"/>
  <pageMargins left="0.7" right="0.7" top="0.75" bottom="0.75" header="0.3" footer="0.3"/>
  <pageSetup orientation="portrait" r:id="rId1"/>
  <ignoredErrors>
    <ignoredError sqref="T2:T3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94527-83C9-43E1-99B9-F6C50D02F0E0}">
  <dimension ref="A1:D6"/>
  <sheetViews>
    <sheetView workbookViewId="0">
      <selection activeCell="B3" sqref="B3"/>
    </sheetView>
  </sheetViews>
  <sheetFormatPr defaultRowHeight="14.4" x14ac:dyDescent="0.3"/>
  <cols>
    <col min="1" max="1" width="12.33203125" bestFit="1" customWidth="1"/>
  </cols>
  <sheetData>
    <row r="1" spans="1:4" x14ac:dyDescent="0.3">
      <c r="A1" t="s">
        <v>224</v>
      </c>
      <c r="B1" t="s">
        <v>222</v>
      </c>
      <c r="C1" t="s">
        <v>213</v>
      </c>
      <c r="D1" s="2" t="s">
        <v>328</v>
      </c>
    </row>
    <row r="2" spans="1:4" ht="15" thickBot="1" x14ac:dyDescent="0.35">
      <c r="A2" t="s">
        <v>25</v>
      </c>
      <c r="B2" s="4">
        <f>TRX10_*Markup</f>
        <v>1500</v>
      </c>
      <c r="D2" s="41">
        <f>inputs_workbook!C5</f>
        <v>2019</v>
      </c>
    </row>
    <row r="3" spans="1:4" ht="15" thickTop="1" x14ac:dyDescent="0.3">
      <c r="A3" t="s">
        <v>26</v>
      </c>
      <c r="B3" s="4">
        <f>(TRX10_+C3)*Markup</f>
        <v>1561.5</v>
      </c>
      <c r="C3" s="1">
        <v>41</v>
      </c>
      <c r="D3" s="1">
        <v>2012</v>
      </c>
    </row>
    <row r="4" spans="1:4" x14ac:dyDescent="0.3">
      <c r="A4" t="s">
        <v>27</v>
      </c>
      <c r="B4" s="4">
        <f>(TRX10_+C4)*Markup</f>
        <v>1894.5</v>
      </c>
      <c r="C4" s="1">
        <v>263</v>
      </c>
      <c r="D4" s="1">
        <v>2012</v>
      </c>
    </row>
    <row r="5" spans="1:4" x14ac:dyDescent="0.3">
      <c r="A5" t="s">
        <v>28</v>
      </c>
      <c r="B5" s="4">
        <f>(TRX10_+C5)*Markup</f>
        <v>1767</v>
      </c>
      <c r="C5" s="1">
        <v>178</v>
      </c>
      <c r="D5" s="1">
        <v>2012</v>
      </c>
    </row>
    <row r="6" spans="1:4" x14ac:dyDescent="0.3">
      <c r="A6" t="s">
        <v>29</v>
      </c>
      <c r="B6" s="4">
        <f>(TRX10_+C6)*Markup</f>
        <v>2101.5</v>
      </c>
      <c r="C6" s="1">
        <v>401</v>
      </c>
      <c r="D6" s="1">
        <v>2012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79EF4-77A1-48AD-8822-597C66753CF5}">
  <dimension ref="A1:D22"/>
  <sheetViews>
    <sheetView workbookViewId="0">
      <selection activeCell="D2" sqref="D2:D22"/>
    </sheetView>
  </sheetViews>
  <sheetFormatPr defaultRowHeight="14.4" x14ac:dyDescent="0.3"/>
  <cols>
    <col min="1" max="1" width="32.109375" bestFit="1" customWidth="1"/>
    <col min="2" max="2" width="14.88671875" bestFit="1" customWidth="1"/>
  </cols>
  <sheetData>
    <row r="1" spans="1:4" x14ac:dyDescent="0.3">
      <c r="A1" t="s">
        <v>232</v>
      </c>
      <c r="B1" t="s">
        <v>231</v>
      </c>
      <c r="C1" t="s">
        <v>213</v>
      </c>
      <c r="D1" s="2" t="s">
        <v>328</v>
      </c>
    </row>
    <row r="2" spans="1:4" x14ac:dyDescent="0.3">
      <c r="A2" t="s">
        <v>30</v>
      </c>
      <c r="B2" s="4">
        <f t="shared" ref="B2:B22" si="0">C2*Markup</f>
        <v>150</v>
      </c>
      <c r="C2" s="1">
        <v>100</v>
      </c>
      <c r="D2" s="1">
        <v>2015</v>
      </c>
    </row>
    <row r="3" spans="1:4" x14ac:dyDescent="0.3">
      <c r="A3" t="s">
        <v>31</v>
      </c>
      <c r="B3" s="4">
        <f t="shared" si="0"/>
        <v>0</v>
      </c>
      <c r="C3" s="1">
        <v>0</v>
      </c>
      <c r="D3" s="1">
        <v>2015</v>
      </c>
    </row>
    <row r="4" spans="1:4" x14ac:dyDescent="0.3">
      <c r="A4" t="s">
        <v>32</v>
      </c>
      <c r="B4" s="4">
        <f t="shared" si="0"/>
        <v>75</v>
      </c>
      <c r="C4" s="1">
        <v>50</v>
      </c>
      <c r="D4" s="1">
        <v>2015</v>
      </c>
    </row>
    <row r="5" spans="1:4" x14ac:dyDescent="0.3">
      <c r="A5" t="s">
        <v>233</v>
      </c>
      <c r="B5" s="4">
        <f t="shared" si="0"/>
        <v>150</v>
      </c>
      <c r="C5" s="1">
        <v>100</v>
      </c>
      <c r="D5" s="1">
        <v>2015</v>
      </c>
    </row>
    <row r="6" spans="1:4" x14ac:dyDescent="0.3">
      <c r="A6" t="s">
        <v>234</v>
      </c>
      <c r="B6" s="4">
        <f t="shared" si="0"/>
        <v>150</v>
      </c>
      <c r="C6" s="1">
        <v>100</v>
      </c>
      <c r="D6" s="1">
        <v>2015</v>
      </c>
    </row>
    <row r="7" spans="1:4" x14ac:dyDescent="0.3">
      <c r="A7" t="s">
        <v>235</v>
      </c>
      <c r="B7" s="4">
        <f t="shared" si="0"/>
        <v>150</v>
      </c>
      <c r="C7" s="1">
        <v>100</v>
      </c>
      <c r="D7" s="1">
        <v>2015</v>
      </c>
    </row>
    <row r="8" spans="1:4" x14ac:dyDescent="0.3">
      <c r="A8" t="s">
        <v>236</v>
      </c>
      <c r="B8" s="4">
        <f t="shared" si="0"/>
        <v>150</v>
      </c>
      <c r="C8" s="1">
        <v>100</v>
      </c>
      <c r="D8" s="1">
        <v>2015</v>
      </c>
    </row>
    <row r="9" spans="1:4" x14ac:dyDescent="0.3">
      <c r="A9" t="s">
        <v>237</v>
      </c>
      <c r="B9" s="4">
        <f t="shared" si="0"/>
        <v>150</v>
      </c>
      <c r="C9" s="1">
        <v>100</v>
      </c>
      <c r="D9" s="1">
        <v>2015</v>
      </c>
    </row>
    <row r="10" spans="1:4" x14ac:dyDescent="0.3">
      <c r="A10" t="s">
        <v>238</v>
      </c>
      <c r="B10" s="4">
        <f t="shared" si="0"/>
        <v>150</v>
      </c>
      <c r="C10" s="1">
        <v>100</v>
      </c>
      <c r="D10" s="1">
        <v>2015</v>
      </c>
    </row>
    <row r="11" spans="1:4" x14ac:dyDescent="0.3">
      <c r="A11" t="s">
        <v>239</v>
      </c>
      <c r="B11" s="4">
        <f t="shared" si="0"/>
        <v>150</v>
      </c>
      <c r="C11" s="1">
        <v>100</v>
      </c>
      <c r="D11" s="1">
        <v>2015</v>
      </c>
    </row>
    <row r="12" spans="1:4" x14ac:dyDescent="0.3">
      <c r="A12" t="s">
        <v>240</v>
      </c>
      <c r="B12" s="4">
        <f t="shared" si="0"/>
        <v>150</v>
      </c>
      <c r="C12" s="1">
        <v>100</v>
      </c>
      <c r="D12" s="1">
        <v>2015</v>
      </c>
    </row>
    <row r="13" spans="1:4" x14ac:dyDescent="0.3">
      <c r="A13" t="s">
        <v>241</v>
      </c>
      <c r="B13" s="4">
        <f t="shared" si="0"/>
        <v>150</v>
      </c>
      <c r="C13" s="1">
        <v>100</v>
      </c>
      <c r="D13" s="1">
        <v>2015</v>
      </c>
    </row>
    <row r="14" spans="1:4" x14ac:dyDescent="0.3">
      <c r="A14" t="s">
        <v>242</v>
      </c>
      <c r="B14" s="4">
        <f t="shared" si="0"/>
        <v>150</v>
      </c>
      <c r="C14" s="1">
        <v>100</v>
      </c>
      <c r="D14" s="1">
        <v>2015</v>
      </c>
    </row>
    <row r="15" spans="1:4" x14ac:dyDescent="0.3">
      <c r="A15" t="s">
        <v>243</v>
      </c>
      <c r="B15" s="4">
        <f t="shared" si="0"/>
        <v>150</v>
      </c>
      <c r="C15" s="1">
        <v>100</v>
      </c>
      <c r="D15" s="1">
        <v>2015</v>
      </c>
    </row>
    <row r="16" spans="1:4" x14ac:dyDescent="0.3">
      <c r="A16" t="s">
        <v>244</v>
      </c>
      <c r="B16" s="4">
        <f t="shared" si="0"/>
        <v>150</v>
      </c>
      <c r="C16" s="1">
        <v>100</v>
      </c>
      <c r="D16" s="1">
        <v>2015</v>
      </c>
    </row>
    <row r="17" spans="1:4" x14ac:dyDescent="0.3">
      <c r="A17" t="s">
        <v>227</v>
      </c>
      <c r="B17" s="4">
        <f t="shared" si="0"/>
        <v>225</v>
      </c>
      <c r="C17" s="1">
        <f t="shared" ref="C17:C22" si="1">$C$2+$C$4</f>
        <v>150</v>
      </c>
      <c r="D17" s="1">
        <v>2015</v>
      </c>
    </row>
    <row r="18" spans="1:4" x14ac:dyDescent="0.3">
      <c r="A18" t="s">
        <v>228</v>
      </c>
      <c r="B18" s="4">
        <f t="shared" si="0"/>
        <v>225</v>
      </c>
      <c r="C18" s="1">
        <f t="shared" si="1"/>
        <v>150</v>
      </c>
      <c r="D18" s="1">
        <v>2015</v>
      </c>
    </row>
    <row r="19" spans="1:4" x14ac:dyDescent="0.3">
      <c r="A19" t="s">
        <v>229</v>
      </c>
      <c r="B19" s="4">
        <f t="shared" si="0"/>
        <v>225</v>
      </c>
      <c r="C19" s="1">
        <f t="shared" si="1"/>
        <v>150</v>
      </c>
      <c r="D19" s="1">
        <v>2015</v>
      </c>
    </row>
    <row r="20" spans="1:4" x14ac:dyDescent="0.3">
      <c r="A20" t="s">
        <v>230</v>
      </c>
      <c r="B20" s="4">
        <f t="shared" si="0"/>
        <v>225</v>
      </c>
      <c r="C20" s="1">
        <f t="shared" si="1"/>
        <v>150</v>
      </c>
      <c r="D20" s="1">
        <v>2015</v>
      </c>
    </row>
    <row r="21" spans="1:4" x14ac:dyDescent="0.3">
      <c r="A21" t="s">
        <v>225</v>
      </c>
      <c r="B21" s="4">
        <f t="shared" si="0"/>
        <v>225</v>
      </c>
      <c r="C21" s="1">
        <f t="shared" si="1"/>
        <v>150</v>
      </c>
      <c r="D21" s="1">
        <v>2015</v>
      </c>
    </row>
    <row r="22" spans="1:4" x14ac:dyDescent="0.3">
      <c r="A22" t="s">
        <v>226</v>
      </c>
      <c r="B22" s="4">
        <f t="shared" si="0"/>
        <v>225</v>
      </c>
      <c r="C22" s="1">
        <f t="shared" si="1"/>
        <v>150</v>
      </c>
      <c r="D22" s="1">
        <v>2015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F0E61-D55E-4846-92CF-DA7BB2817A97}">
  <dimension ref="A1:E4"/>
  <sheetViews>
    <sheetView workbookViewId="0">
      <selection activeCell="E2" sqref="E2:E4"/>
    </sheetView>
  </sheetViews>
  <sheetFormatPr defaultRowHeight="14.4" x14ac:dyDescent="0.3"/>
  <cols>
    <col min="1" max="1" width="16.5546875" bestFit="1" customWidth="1"/>
    <col min="2" max="2" width="16.88671875" bestFit="1" customWidth="1"/>
  </cols>
  <sheetData>
    <row r="1" spans="1:5" x14ac:dyDescent="0.3">
      <c r="A1" t="s">
        <v>39</v>
      </c>
      <c r="B1" t="s">
        <v>40</v>
      </c>
      <c r="C1" t="s">
        <v>245</v>
      </c>
      <c r="D1" t="s">
        <v>213</v>
      </c>
      <c r="E1" s="2" t="s">
        <v>328</v>
      </c>
    </row>
    <row r="2" spans="1:5" x14ac:dyDescent="0.3">
      <c r="A2">
        <v>0</v>
      </c>
      <c r="B2" s="1">
        <v>3800</v>
      </c>
      <c r="C2" s="4">
        <f>D2*Markup</f>
        <v>481.5</v>
      </c>
      <c r="D2" s="1">
        <v>321</v>
      </c>
      <c r="E2" s="1">
        <v>2015</v>
      </c>
    </row>
    <row r="3" spans="1:5" x14ac:dyDescent="0.3">
      <c r="A3">
        <f>B2+0.1</f>
        <v>3800.1</v>
      </c>
      <c r="B3" s="1">
        <v>4800</v>
      </c>
      <c r="C3" s="4">
        <f>D3*Markup</f>
        <v>546</v>
      </c>
      <c r="D3" s="1">
        <v>364</v>
      </c>
      <c r="E3" s="1">
        <v>2015</v>
      </c>
    </row>
    <row r="4" spans="1:5" x14ac:dyDescent="0.3">
      <c r="A4">
        <f>B3+0.1</f>
        <v>4800.1000000000004</v>
      </c>
      <c r="B4">
        <v>8500</v>
      </c>
      <c r="C4" s="4">
        <f>D4*Markup</f>
        <v>600</v>
      </c>
      <c r="D4" s="1">
        <v>400</v>
      </c>
      <c r="E4" s="1">
        <v>2015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9E309-23D5-4D0A-B316-FCB0CC8B49A8}">
  <dimension ref="A1:F3"/>
  <sheetViews>
    <sheetView workbookViewId="0">
      <selection activeCell="E2" sqref="E2"/>
    </sheetView>
  </sheetViews>
  <sheetFormatPr defaultRowHeight="14.4" x14ac:dyDescent="0.3"/>
  <cols>
    <col min="1" max="1" width="10.5546875" bestFit="1" customWidth="1"/>
    <col min="2" max="2" width="14.33203125" bestFit="1" customWidth="1"/>
    <col min="3" max="3" width="18.6640625" bestFit="1" customWidth="1"/>
    <col min="4" max="4" width="13.88671875" bestFit="1" customWidth="1"/>
  </cols>
  <sheetData>
    <row r="1" spans="1:6" x14ac:dyDescent="0.3">
      <c r="A1" t="s">
        <v>38</v>
      </c>
      <c r="B1" t="s">
        <v>41</v>
      </c>
      <c r="C1" t="s">
        <v>35</v>
      </c>
      <c r="D1" t="s">
        <v>36</v>
      </c>
      <c r="E1" t="s">
        <v>37</v>
      </c>
      <c r="F1" s="2" t="s">
        <v>328</v>
      </c>
    </row>
    <row r="2" spans="1:6" x14ac:dyDescent="0.3">
      <c r="A2" t="s">
        <v>34</v>
      </c>
      <c r="B2" s="1">
        <f>3.5*Markup</f>
        <v>5.25</v>
      </c>
      <c r="C2" s="1">
        <v>0.92137184639529734</v>
      </c>
      <c r="D2" s="1">
        <v>1.6731590931770557</v>
      </c>
      <c r="E2" s="1">
        <v>5.0622639824789006</v>
      </c>
      <c r="F2" s="1">
        <v>2016</v>
      </c>
    </row>
    <row r="3" spans="1:6" x14ac:dyDescent="0.3">
      <c r="A3" t="s">
        <v>33</v>
      </c>
      <c r="B3" s="1">
        <f>4*Markup</f>
        <v>6</v>
      </c>
      <c r="C3" s="1">
        <v>1.6489597300215004</v>
      </c>
      <c r="D3" s="1">
        <v>3.9424165615843103</v>
      </c>
      <c r="E3" s="1">
        <v>7.6185681065433597</v>
      </c>
      <c r="F3" s="1">
        <v>2016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E94D6-2983-4058-A10D-F319D379B239}">
  <dimension ref="A1:F11"/>
  <sheetViews>
    <sheetView workbookViewId="0">
      <selection activeCell="F1" sqref="F1"/>
    </sheetView>
  </sheetViews>
  <sheetFormatPr defaultRowHeight="14.4" x14ac:dyDescent="0.3"/>
  <sheetData>
    <row r="1" spans="1:6" x14ac:dyDescent="0.3">
      <c r="A1" t="s">
        <v>38</v>
      </c>
      <c r="B1" t="s">
        <v>42</v>
      </c>
      <c r="C1" t="s">
        <v>246</v>
      </c>
      <c r="D1" t="s">
        <v>223</v>
      </c>
      <c r="E1" t="s">
        <v>213</v>
      </c>
      <c r="F1" s="2" t="s">
        <v>328</v>
      </c>
    </row>
    <row r="2" spans="1:6" x14ac:dyDescent="0.3">
      <c r="A2" t="s">
        <v>34</v>
      </c>
      <c r="B2" t="s">
        <v>247</v>
      </c>
      <c r="C2" s="6">
        <v>0</v>
      </c>
      <c r="D2" s="4">
        <f t="shared" ref="D2:D11" si="0">E2*Markup</f>
        <v>0</v>
      </c>
      <c r="E2" s="1">
        <v>0</v>
      </c>
      <c r="F2" s="1">
        <v>2015</v>
      </c>
    </row>
    <row r="3" spans="1:6" x14ac:dyDescent="0.3">
      <c r="A3" t="s">
        <v>34</v>
      </c>
      <c r="B3" t="s">
        <v>43</v>
      </c>
      <c r="C3" s="7">
        <v>5</v>
      </c>
      <c r="D3" s="4">
        <f t="shared" si="0"/>
        <v>15</v>
      </c>
      <c r="E3" s="1">
        <v>10</v>
      </c>
      <c r="F3" s="1">
        <v>2015</v>
      </c>
    </row>
    <row r="4" spans="1:6" x14ac:dyDescent="0.3">
      <c r="A4" t="s">
        <v>34</v>
      </c>
      <c r="B4" t="s">
        <v>44</v>
      </c>
      <c r="C4" s="7">
        <v>10</v>
      </c>
      <c r="D4" s="4">
        <f t="shared" si="0"/>
        <v>45</v>
      </c>
      <c r="E4" s="1">
        <v>30</v>
      </c>
      <c r="F4" s="1">
        <v>2015</v>
      </c>
    </row>
    <row r="5" spans="1:6" x14ac:dyDescent="0.3">
      <c r="A5" t="s">
        <v>34</v>
      </c>
      <c r="B5" t="s">
        <v>45</v>
      </c>
      <c r="C5" s="7">
        <v>15</v>
      </c>
      <c r="D5" s="4">
        <f t="shared" si="0"/>
        <v>111</v>
      </c>
      <c r="E5" s="1">
        <v>74</v>
      </c>
      <c r="F5" s="1">
        <v>2015</v>
      </c>
    </row>
    <row r="6" spans="1:6" x14ac:dyDescent="0.3">
      <c r="A6" t="s">
        <v>34</v>
      </c>
      <c r="B6" t="s">
        <v>46</v>
      </c>
      <c r="C6" s="7">
        <v>20</v>
      </c>
      <c r="D6" s="4">
        <f t="shared" si="0"/>
        <v>201</v>
      </c>
      <c r="E6" s="1">
        <v>134</v>
      </c>
      <c r="F6" s="1">
        <v>2015</v>
      </c>
    </row>
    <row r="7" spans="1:6" x14ac:dyDescent="0.3">
      <c r="A7" t="s">
        <v>33</v>
      </c>
      <c r="B7" t="s">
        <v>247</v>
      </c>
      <c r="C7" s="7">
        <v>0</v>
      </c>
      <c r="D7" s="4">
        <f t="shared" si="0"/>
        <v>0</v>
      </c>
      <c r="E7" s="1">
        <v>0</v>
      </c>
      <c r="F7" s="1">
        <v>2015</v>
      </c>
    </row>
    <row r="8" spans="1:6" x14ac:dyDescent="0.3">
      <c r="A8" t="s">
        <v>33</v>
      </c>
      <c r="B8" t="s">
        <v>43</v>
      </c>
      <c r="C8" s="7">
        <v>5</v>
      </c>
      <c r="D8" s="4">
        <f t="shared" si="0"/>
        <v>22.5</v>
      </c>
      <c r="E8" s="1">
        <v>15</v>
      </c>
      <c r="F8" s="1">
        <v>2015</v>
      </c>
    </row>
    <row r="9" spans="1:6" x14ac:dyDescent="0.3">
      <c r="A9" t="s">
        <v>33</v>
      </c>
      <c r="B9" t="s">
        <v>44</v>
      </c>
      <c r="C9" s="7">
        <v>10</v>
      </c>
      <c r="D9" s="4">
        <f t="shared" si="0"/>
        <v>45</v>
      </c>
      <c r="E9" s="1">
        <v>30</v>
      </c>
      <c r="F9" s="1">
        <v>2015</v>
      </c>
    </row>
    <row r="10" spans="1:6" x14ac:dyDescent="0.3">
      <c r="A10" t="s">
        <v>33</v>
      </c>
      <c r="B10" t="s">
        <v>45</v>
      </c>
      <c r="C10" s="7">
        <v>15</v>
      </c>
      <c r="D10" s="4">
        <f t="shared" si="0"/>
        <v>187.5</v>
      </c>
      <c r="E10" s="1">
        <v>125</v>
      </c>
      <c r="F10" s="1">
        <v>2015</v>
      </c>
    </row>
    <row r="11" spans="1:6" x14ac:dyDescent="0.3">
      <c r="A11" t="s">
        <v>33</v>
      </c>
      <c r="B11" t="s">
        <v>46</v>
      </c>
      <c r="C11" s="7">
        <v>20</v>
      </c>
      <c r="D11" s="4">
        <f t="shared" si="0"/>
        <v>292.5</v>
      </c>
      <c r="E11" s="1">
        <v>195</v>
      </c>
      <c r="F11" s="1">
        <v>2015</v>
      </c>
    </row>
  </sheetData>
  <autoFilter ref="A1:D3" xr:uid="{C53A1DC7-378E-419F-B9C5-4907A7B2017F}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9F0F9-D24F-4187-97FF-36498970686A}">
  <dimension ref="A1:E9"/>
  <sheetViews>
    <sheetView workbookViewId="0">
      <selection activeCell="E2" sqref="E2:E9"/>
    </sheetView>
  </sheetViews>
  <sheetFormatPr defaultRowHeight="14.4" x14ac:dyDescent="0.3"/>
  <cols>
    <col min="2" max="2" width="10.6640625" bestFit="1" customWidth="1"/>
    <col min="3" max="3" width="11.88671875" bestFit="1" customWidth="1"/>
  </cols>
  <sheetData>
    <row r="1" spans="1:5" x14ac:dyDescent="0.3">
      <c r="A1" t="s">
        <v>42</v>
      </c>
      <c r="B1" t="s">
        <v>248</v>
      </c>
      <c r="C1" t="s">
        <v>249</v>
      </c>
      <c r="D1" t="s">
        <v>213</v>
      </c>
      <c r="E1" s="2" t="s">
        <v>328</v>
      </c>
    </row>
    <row r="2" spans="1:5" x14ac:dyDescent="0.3">
      <c r="A2" t="s">
        <v>257</v>
      </c>
      <c r="B2">
        <v>99</v>
      </c>
      <c r="C2" s="8">
        <f t="shared" ref="C2:C9" si="0">D2*Markup</f>
        <v>82.5</v>
      </c>
      <c r="D2" s="9">
        <v>55</v>
      </c>
      <c r="E2" s="1">
        <v>2006</v>
      </c>
    </row>
    <row r="3" spans="1:5" x14ac:dyDescent="0.3">
      <c r="A3" t="s">
        <v>250</v>
      </c>
      <c r="B3" s="6">
        <v>99</v>
      </c>
      <c r="C3" s="8">
        <f t="shared" si="0"/>
        <v>7.5</v>
      </c>
      <c r="D3" s="9">
        <v>5</v>
      </c>
      <c r="E3" s="1">
        <v>2006</v>
      </c>
    </row>
    <row r="4" spans="1:5" x14ac:dyDescent="0.3">
      <c r="A4" t="s">
        <v>251</v>
      </c>
      <c r="B4" s="7">
        <v>99</v>
      </c>
      <c r="C4" s="8">
        <f t="shared" si="0"/>
        <v>60</v>
      </c>
      <c r="D4" s="9">
        <f>4*10</f>
        <v>40</v>
      </c>
      <c r="E4" s="1">
        <v>2009</v>
      </c>
    </row>
    <row r="5" spans="1:5" x14ac:dyDescent="0.3">
      <c r="A5" t="s">
        <v>256</v>
      </c>
      <c r="B5" s="7">
        <v>0</v>
      </c>
      <c r="C5" s="8">
        <f t="shared" si="0"/>
        <v>0</v>
      </c>
      <c r="D5" s="9">
        <v>0</v>
      </c>
      <c r="E5" s="1">
        <v>2015</v>
      </c>
    </row>
    <row r="6" spans="1:5" x14ac:dyDescent="0.3">
      <c r="A6" t="s">
        <v>252</v>
      </c>
      <c r="B6" s="7">
        <v>5</v>
      </c>
      <c r="C6" s="8">
        <f t="shared" si="0"/>
        <v>7.5</v>
      </c>
      <c r="D6" s="9">
        <v>5</v>
      </c>
      <c r="E6" s="1">
        <v>2006</v>
      </c>
    </row>
    <row r="7" spans="1:5" x14ac:dyDescent="0.3">
      <c r="A7" t="s">
        <v>253</v>
      </c>
      <c r="B7" s="7">
        <v>10</v>
      </c>
      <c r="C7" s="8">
        <f t="shared" si="0"/>
        <v>60</v>
      </c>
      <c r="D7" s="9">
        <f>4*10</f>
        <v>40</v>
      </c>
      <c r="E7" s="1">
        <v>2009</v>
      </c>
    </row>
    <row r="8" spans="1:5" x14ac:dyDescent="0.3">
      <c r="A8" t="s">
        <v>254</v>
      </c>
      <c r="B8" s="7">
        <v>15</v>
      </c>
      <c r="C8" s="8">
        <f t="shared" si="0"/>
        <v>90</v>
      </c>
      <c r="D8" s="9">
        <f>D2+D3</f>
        <v>60</v>
      </c>
      <c r="E8" s="1">
        <v>2009</v>
      </c>
    </row>
    <row r="9" spans="1:5" x14ac:dyDescent="0.3">
      <c r="A9" t="s">
        <v>255</v>
      </c>
      <c r="B9" s="7">
        <v>20</v>
      </c>
      <c r="C9" s="8">
        <f t="shared" si="0"/>
        <v>142.5</v>
      </c>
      <c r="D9" s="9">
        <f>D2+D4</f>
        <v>95</v>
      </c>
      <c r="E9" s="1">
        <v>2009</v>
      </c>
    </row>
  </sheetData>
  <autoFilter ref="A1:C4" xr:uid="{C53A1DC7-378E-419F-B9C5-4907A7B2017F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6</vt:i4>
      </vt:variant>
    </vt:vector>
  </HeadingPairs>
  <TitlesOfParts>
    <vt:vector size="22" baseType="lpstr">
      <vt:lpstr>inputs_code</vt:lpstr>
      <vt:lpstr>inputs_workbook</vt:lpstr>
      <vt:lpstr>engine</vt:lpstr>
      <vt:lpstr>trans</vt:lpstr>
      <vt:lpstr>accessories</vt:lpstr>
      <vt:lpstr>start-stop</vt:lpstr>
      <vt:lpstr>weight</vt:lpstr>
      <vt:lpstr>aero</vt:lpstr>
      <vt:lpstr>nonaero</vt:lpstr>
      <vt:lpstr>deac</vt:lpstr>
      <vt:lpstr>et_dmc</vt:lpstr>
      <vt:lpstr>bev</vt:lpstr>
      <vt:lpstr>bev_curves_data</vt:lpstr>
      <vt:lpstr>upstream</vt:lpstr>
      <vt:lpstr>coefficients</vt:lpstr>
      <vt:lpstr>gdp_deflators</vt:lpstr>
      <vt:lpstr>Markup</vt:lpstr>
      <vt:lpstr>Null_4cyl_DMC</vt:lpstr>
      <vt:lpstr>Null_6cyl_DMC</vt:lpstr>
      <vt:lpstr>Null_8cyl_DMC</vt:lpstr>
      <vt:lpstr>TRX10_</vt:lpstr>
      <vt:lpstr>workbook_dollar_basis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Sherwood, Todd</dc:creator>
  <cp:lastModifiedBy>Sherwood, Todd</cp:lastModifiedBy>
  <dcterms:created xsi:type="dcterms:W3CDTF">2020-02-05T18:45:53Z</dcterms:created>
  <dcterms:modified xsi:type="dcterms:W3CDTF">2020-10-19T21:36:18Z</dcterms:modified>
</cp:coreProperties>
</file>