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144" windowHeight="7524" tabRatio="708" activeTab="13"/>
  </bookViews>
  <sheets>
    <sheet name="Summary" sheetId="13" r:id="rId1"/>
    <sheet name="Totals" sheetId="1" r:id="rId2"/>
    <sheet name="ASCC" sheetId="2" r:id="rId3"/>
    <sheet name="FRCC" sheetId="3" r:id="rId4"/>
    <sheet name="HICC" sheetId="11" r:id="rId5"/>
    <sheet name="MRO" sheetId="4" r:id="rId6"/>
    <sheet name="NPCC#" sheetId="5" r:id="rId7"/>
    <sheet name="RFC" sheetId="6" r:id="rId8"/>
    <sheet name="SERC" sheetId="7" r:id="rId9"/>
    <sheet name="SPP#" sheetId="8" r:id="rId10"/>
    <sheet name="TRE" sheetId="9" r:id="rId11"/>
    <sheet name="WECC" sheetId="10" r:id="rId12"/>
    <sheet name="#MISO" sheetId="12" r:id="rId13"/>
    <sheet name="Sheet1" sheetId="14" r:id="rId14"/>
  </sheets>
  <definedNames>
    <definedName name="_xlnm._FilterDatabase" localSheetId="0" hidden="1">Summary!$A$3:$F$3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3" l="1"/>
  <c r="F4" i="13" s="1"/>
  <c r="D13" i="1"/>
  <c r="E5" i="13"/>
  <c r="F5" i="13" s="1"/>
  <c r="E6" i="13"/>
  <c r="F6" i="13" s="1"/>
  <c r="E7" i="13"/>
  <c r="F7" i="13" s="1"/>
  <c r="E8" i="13"/>
  <c r="F8" i="13" s="1"/>
  <c r="E9" i="13"/>
  <c r="F9" i="13" s="1"/>
  <c r="E10" i="13"/>
  <c r="F10" i="13" s="1"/>
  <c r="E11" i="13"/>
  <c r="F11" i="13" s="1"/>
  <c r="E12" i="13"/>
  <c r="F12" i="13" s="1"/>
  <c r="E13" i="13"/>
  <c r="F13" i="13" s="1"/>
  <c r="E15" i="13"/>
  <c r="F15" i="13" s="1"/>
  <c r="E16" i="13"/>
  <c r="F16" i="13" s="1"/>
  <c r="E17" i="13"/>
  <c r="F17" i="13" s="1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F25" i="13" s="1"/>
  <c r="E26" i="13"/>
  <c r="F26" i="13" s="1"/>
  <c r="E27" i="13"/>
  <c r="F27" i="13" s="1"/>
  <c r="E28" i="13"/>
  <c r="F28" i="13" s="1"/>
  <c r="E29" i="13"/>
  <c r="F29" i="13" s="1"/>
  <c r="AH19" i="1" l="1"/>
  <c r="H28" i="1" l="1"/>
  <c r="F28" i="1"/>
  <c r="F27" i="1"/>
  <c r="F25" i="1"/>
  <c r="H23" i="1"/>
  <c r="G23" i="1"/>
  <c r="H22" i="1"/>
  <c r="G22" i="1"/>
  <c r="F23" i="1"/>
  <c r="E23" i="1"/>
  <c r="F21" i="1"/>
  <c r="E21" i="1"/>
  <c r="H20" i="1"/>
  <c r="G20" i="1"/>
  <c r="F20" i="1"/>
  <c r="E20" i="1"/>
  <c r="H19" i="1"/>
  <c r="G19" i="1"/>
  <c r="F19" i="1"/>
  <c r="E19" i="1"/>
  <c r="H18" i="1"/>
  <c r="F18" i="1"/>
  <c r="E18" i="1"/>
  <c r="G18" i="1"/>
  <c r="H16" i="1"/>
  <c r="G16" i="1"/>
  <c r="F16" i="1"/>
  <c r="E16" i="1"/>
  <c r="G14" i="1"/>
  <c r="F14" i="1" l="1"/>
  <c r="E14" i="1"/>
  <c r="M4" i="1" l="1"/>
  <c r="M6" i="1"/>
  <c r="M7" i="1"/>
  <c r="M8" i="1"/>
  <c r="M12" i="1"/>
  <c r="M13" i="1"/>
  <c r="M15" i="1"/>
  <c r="M17" i="1"/>
  <c r="M22" i="1"/>
  <c r="M24" i="1"/>
  <c r="M3" i="1"/>
  <c r="N3" i="1"/>
  <c r="O3" i="1" s="1"/>
  <c r="N4" i="1"/>
  <c r="O4" i="1" s="1"/>
  <c r="N6" i="1"/>
  <c r="O6" i="1" s="1"/>
  <c r="N7" i="1"/>
  <c r="O7" i="1" s="1"/>
  <c r="N15" i="1"/>
  <c r="O15" i="1" s="1"/>
  <c r="N17" i="1"/>
  <c r="O17" i="1" s="1"/>
  <c r="N22" i="1"/>
  <c r="O22" i="1" s="1"/>
  <c r="AM16" i="1"/>
  <c r="AL16" i="1"/>
  <c r="AM10" i="1"/>
  <c r="AM11" i="1" s="1"/>
  <c r="AL10" i="1"/>
  <c r="AL11" i="1" s="1"/>
  <c r="G28" i="1"/>
  <c r="E28" i="1"/>
  <c r="H27" i="1"/>
  <c r="G27" i="1"/>
  <c r="E27" i="1"/>
  <c r="M27" i="1" s="1"/>
  <c r="F26" i="1"/>
  <c r="E26" i="1"/>
  <c r="H25" i="1"/>
  <c r="G25" i="1"/>
  <c r="E25" i="1"/>
  <c r="H21" i="1"/>
  <c r="G21" i="1"/>
  <c r="J27" i="1"/>
  <c r="I27" i="1"/>
  <c r="K24" i="1"/>
  <c r="L24" i="1"/>
  <c r="L31" i="1" s="1"/>
  <c r="H14" i="1"/>
  <c r="F10" i="1"/>
  <c r="E10" i="1"/>
  <c r="G11" i="1"/>
  <c r="I11" i="1"/>
  <c r="H9" i="1"/>
  <c r="G9" i="1"/>
  <c r="H5" i="1"/>
  <c r="G5" i="1"/>
  <c r="E11" i="1"/>
  <c r="M14" i="1" l="1"/>
  <c r="M18" i="1"/>
  <c r="M10" i="1"/>
  <c r="N20" i="1"/>
  <c r="O20" i="1" s="1"/>
  <c r="M25" i="1"/>
  <c r="M16" i="1"/>
  <c r="AH22" i="1" s="1"/>
  <c r="M23" i="1"/>
  <c r="M9" i="1"/>
  <c r="M21" i="1"/>
  <c r="M26" i="1"/>
  <c r="M19" i="1"/>
  <c r="M11" i="1"/>
  <c r="M5" i="1"/>
  <c r="M28" i="1"/>
  <c r="N18" i="1"/>
  <c r="O18" i="1" s="1"/>
  <c r="M20" i="1"/>
  <c r="N19" i="1"/>
  <c r="O19" i="1" s="1"/>
  <c r="N23" i="1"/>
  <c r="O23" i="1" s="1"/>
  <c r="N5" i="1"/>
  <c r="O5" i="1" s="1"/>
  <c r="N14" i="1"/>
  <c r="O14" i="1" s="1"/>
  <c r="N16" i="1"/>
  <c r="O16" i="1" s="1"/>
  <c r="N21" i="1"/>
  <c r="O21" i="1" s="1"/>
  <c r="AE24" i="1"/>
  <c r="AD24" i="1"/>
  <c r="K31" i="1"/>
  <c r="H31" i="1"/>
  <c r="F31" i="1"/>
  <c r="E31" i="1"/>
  <c r="G31" i="1"/>
  <c r="AH31" i="1" l="1"/>
  <c r="AH32" i="1" s="1"/>
  <c r="AH3" i="1"/>
  <c r="AH35" i="1"/>
  <c r="AH21" i="1"/>
  <c r="M31" i="1"/>
  <c r="AH10" i="1"/>
  <c r="AH20" i="1"/>
  <c r="AH24" i="1"/>
  <c r="N24" i="1"/>
  <c r="O24" i="1" s="1"/>
  <c r="N33" i="1"/>
  <c r="N34" i="1"/>
  <c r="AH33" i="1" l="1"/>
  <c r="AH37" i="1"/>
  <c r="AH39" i="1"/>
  <c r="AH8" i="1"/>
  <c r="AH7" i="1"/>
  <c r="AH4" i="1"/>
  <c r="AH5" i="1"/>
  <c r="AH6" i="1"/>
  <c r="AH36" i="1"/>
  <c r="AH38" i="1"/>
  <c r="AH25" i="1"/>
  <c r="AH26" i="1"/>
  <c r="AH29" i="1"/>
  <c r="AH28" i="1"/>
  <c r="AH27" i="1"/>
  <c r="AH17" i="1"/>
  <c r="AH11" i="1"/>
  <c r="AH14" i="1"/>
  <c r="AH13" i="1"/>
  <c r="AH15" i="1"/>
  <c r="AH16" i="1"/>
  <c r="AH12" i="1"/>
  <c r="I10" i="1"/>
  <c r="J10" i="1"/>
  <c r="I9" i="1"/>
  <c r="J9" i="1"/>
  <c r="J31" i="1" l="1"/>
  <c r="I31" i="1"/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  <c r="C31" i="1"/>
  <c r="V9" i="1" l="1"/>
  <c r="U9" i="1"/>
  <c r="T9" i="1"/>
  <c r="W9" i="1"/>
  <c r="Q25" i="1"/>
  <c r="P25" i="1"/>
  <c r="S25" i="1"/>
  <c r="R25" i="1"/>
  <c r="AE25" i="1"/>
  <c r="AD25" i="1"/>
  <c r="AA10" i="1"/>
  <c r="Z10" i="1"/>
  <c r="X10" i="1"/>
  <c r="Y10" i="1"/>
  <c r="AC10" i="1"/>
  <c r="AB10" i="1"/>
  <c r="P26" i="1"/>
  <c r="R26" i="1"/>
  <c r="S26" i="1"/>
  <c r="Q26" i="1"/>
  <c r="AD26" i="1"/>
  <c r="AE26" i="1"/>
  <c r="AA11" i="1"/>
  <c r="Z11" i="1"/>
  <c r="X11" i="1"/>
  <c r="AC11" i="1"/>
  <c r="AB11" i="1"/>
  <c r="Y11" i="1"/>
  <c r="AE27" i="1"/>
  <c r="S27" i="1"/>
  <c r="Q27" i="1"/>
  <c r="P27" i="1"/>
  <c r="R27" i="1"/>
  <c r="AD27" i="1"/>
  <c r="Y12" i="1"/>
  <c r="AC12" i="1"/>
  <c r="AB12" i="1"/>
  <c r="AA12" i="1"/>
  <c r="Z12" i="1"/>
  <c r="X12" i="1"/>
  <c r="S28" i="1"/>
  <c r="Q28" i="1"/>
  <c r="AE28" i="1"/>
  <c r="R28" i="1"/>
  <c r="P28" i="1"/>
  <c r="AD28" i="1"/>
  <c r="Z13" i="1"/>
  <c r="AA13" i="1"/>
  <c r="Y13" i="1"/>
  <c r="AC13" i="1"/>
  <c r="AB13" i="1"/>
  <c r="X13" i="1"/>
  <c r="W8" i="1"/>
  <c r="V8" i="1"/>
  <c r="U8" i="1"/>
  <c r="T8" i="1"/>
  <c r="N25" i="1" l="1"/>
  <c r="N8" i="1"/>
  <c r="O8" i="1" s="1"/>
  <c r="N12" i="1"/>
  <c r="O12" i="1" s="1"/>
  <c r="N27" i="1"/>
  <c r="O27" i="1" s="1"/>
  <c r="N28" i="1"/>
  <c r="O28" i="1" s="1"/>
  <c r="N10" i="1"/>
  <c r="O10" i="1" s="1"/>
  <c r="N9" i="1"/>
  <c r="O9" i="1" s="1"/>
  <c r="N13" i="1"/>
  <c r="O13" i="1" s="1"/>
  <c r="E14" i="13" s="1"/>
  <c r="F14" i="13" s="1"/>
  <c r="N11" i="1"/>
  <c r="O11" i="1" s="1"/>
  <c r="N26" i="1"/>
  <c r="AC30" i="1"/>
  <c r="AD30" i="1"/>
  <c r="AB30" i="1"/>
  <c r="AE30" i="1"/>
  <c r="O25" i="1" l="1"/>
  <c r="O26" i="1"/>
  <c r="AH42" i="1"/>
  <c r="N31" i="1"/>
  <c r="O31" i="1" s="1"/>
  <c r="O30" i="1" l="1"/>
  <c r="AH40" i="1"/>
  <c r="AH41" i="1"/>
  <c r="O33" i="1"/>
  <c r="O34" i="1"/>
</calcChain>
</file>

<file path=xl/comments1.xml><?xml version="1.0" encoding="utf-8"?>
<comments xmlns="http://schemas.openxmlformats.org/spreadsheetml/2006/main">
  <authors>
    <author>Author</author>
  </authors>
  <commentList>
    <comment ref="A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Source: After the Blackout Report, July 2015</t>
        </r>
      </text>
    </comment>
    <comment ref="AM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Source: After the Blackout Report, July 2015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trade out data from sheet, assumed to be traded in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trade out data from sheet, assumed to be traded in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Trilateral Data Comparison excel workbook</t>
        </r>
      </text>
    </comment>
    <comment ref="AM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Trilateral Data Comparison excel workbook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correlates to G13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correlates to F13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correlates to G7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correlates to F7</t>
        </r>
      </text>
    </comment>
  </commentList>
</comments>
</file>

<file path=xl/sharedStrings.xml><?xml version="1.0" encoding="utf-8"?>
<sst xmlns="http://schemas.openxmlformats.org/spreadsheetml/2006/main" count="1958" uniqueCount="485">
  <si>
    <t>NERC region</t>
  </si>
  <si>
    <t>eGRID region code</t>
  </si>
  <si>
    <t>NERC region code</t>
  </si>
  <si>
    <t>AKGD</t>
  </si>
  <si>
    <t>AKMS</t>
  </si>
  <si>
    <t>AZNM</t>
  </si>
  <si>
    <t>CAMX</t>
  </si>
  <si>
    <t>ERCT</t>
  </si>
  <si>
    <t>FRCC</t>
  </si>
  <si>
    <t>HIMS</t>
  </si>
  <si>
    <t>MROW</t>
  </si>
  <si>
    <t>NEWE</t>
  </si>
  <si>
    <t>NWPP</t>
  </si>
  <si>
    <t>NYCW</t>
  </si>
  <si>
    <t>NYLI</t>
  </si>
  <si>
    <t>NYUP</t>
  </si>
  <si>
    <t>RFCE</t>
  </si>
  <si>
    <t>RFCM</t>
  </si>
  <si>
    <t>RFCW</t>
  </si>
  <si>
    <t>RMPA</t>
  </si>
  <si>
    <t>SPNO</t>
  </si>
  <si>
    <t>SPSO</t>
  </si>
  <si>
    <t>SRMV</t>
  </si>
  <si>
    <t>SRMW</t>
  </si>
  <si>
    <t>SRSO</t>
  </si>
  <si>
    <t>SRTV</t>
  </si>
  <si>
    <t>SRVC</t>
  </si>
  <si>
    <t>ASCC</t>
  </si>
  <si>
    <t>WECC</t>
  </si>
  <si>
    <t>TRE</t>
  </si>
  <si>
    <t>HICC</t>
  </si>
  <si>
    <t>HIOA</t>
  </si>
  <si>
    <t>MROE</t>
  </si>
  <si>
    <t>MRO</t>
  </si>
  <si>
    <t>RFC</t>
  </si>
  <si>
    <t>NPCC</t>
  </si>
  <si>
    <t>SPP</t>
  </si>
  <si>
    <t>SERC</t>
  </si>
  <si>
    <t>Canadian Province</t>
  </si>
  <si>
    <t>BC</t>
  </si>
  <si>
    <t>AB</t>
  </si>
  <si>
    <t>SK</t>
  </si>
  <si>
    <t>MB</t>
  </si>
  <si>
    <t>ON</t>
  </si>
  <si>
    <t>QC</t>
  </si>
  <si>
    <t>NB</t>
  </si>
  <si>
    <t>Regional Codes</t>
  </si>
  <si>
    <t>NERC Trading with Canada</t>
  </si>
  <si>
    <t>eGRID trade in (US NERC only)</t>
  </si>
  <si>
    <t>eGRID trade out (US NERC only)</t>
  </si>
  <si>
    <t>Trade in from Canada</t>
  </si>
  <si>
    <t>Trade out to Canada</t>
  </si>
  <si>
    <t>Trade in from Mexico</t>
  </si>
  <si>
    <t>Trade out to Mexico</t>
  </si>
  <si>
    <t>NERC Trading with Mexico</t>
  </si>
  <si>
    <t>NERC Surplus Pool Contributions</t>
  </si>
  <si>
    <t>Mexico</t>
  </si>
  <si>
    <t>WECC/TRE</t>
  </si>
  <si>
    <t>Mexican Region</t>
  </si>
  <si>
    <t>Trade to US (GWh 2014)</t>
  </si>
  <si>
    <t>Trade to Mexico (GWh 2014)</t>
  </si>
  <si>
    <t>respondent_id</t>
  </si>
  <si>
    <t>eGRID region</t>
  </si>
  <si>
    <t>trade with ctrl_area</t>
  </si>
  <si>
    <t>trade with respondent_id</t>
  </si>
  <si>
    <t xml:space="preserve">Homer Electric Association                        </t>
  </si>
  <si>
    <t xml:space="preserve">Chugach Electric Association                      </t>
  </si>
  <si>
    <t xml:space="preserve">Golden Valley Electric Association                </t>
  </si>
  <si>
    <t xml:space="preserve">Anchorage Municipal Light &amp; Power                 </t>
  </si>
  <si>
    <t xml:space="preserve">SJRPP - FPL Portion                               </t>
  </si>
  <si>
    <t xml:space="preserve">Plant Scherer 4 - FPL Portion                     </t>
  </si>
  <si>
    <t xml:space="preserve">Seminole Electric Cooperative, Inc.               </t>
  </si>
  <si>
    <t xml:space="preserve">Jax Solar                                         </t>
  </si>
  <si>
    <t xml:space="preserve">Trail Ridge                                       </t>
  </si>
  <si>
    <t xml:space="preserve">Florida Power &amp; Light (FPL)                       </t>
  </si>
  <si>
    <t xml:space="preserve">                                                  </t>
  </si>
  <si>
    <t xml:space="preserve">Jacksonville Electric Authority                   </t>
  </si>
  <si>
    <t xml:space="preserve">Florida Power &amp; Light                             </t>
  </si>
  <si>
    <t xml:space="preserve">TAL                                               </t>
  </si>
  <si>
    <t xml:space="preserve">Tampa Electric Company                            </t>
  </si>
  <si>
    <t xml:space="preserve">GVL                                               </t>
  </si>
  <si>
    <t xml:space="preserve">SOCO                                              </t>
  </si>
  <si>
    <t xml:space="preserve">City of New Smyrna Beach                          </t>
  </si>
  <si>
    <t xml:space="preserve">Progress Energy of Florida                        </t>
  </si>
  <si>
    <t xml:space="preserve">Tampa Electric Co.                                </t>
  </si>
  <si>
    <t xml:space="preserve">NSB                                               </t>
  </si>
  <si>
    <t xml:space="preserve">Gainesville Regional Utilities                    </t>
  </si>
  <si>
    <t xml:space="preserve">Seminole Electric Cooperative                     </t>
  </si>
  <si>
    <t xml:space="preserve">SEC (Seminole Electric Cooperative)               </t>
  </si>
  <si>
    <t xml:space="preserve">FMPP (Florida Municipal Power Pool)               </t>
  </si>
  <si>
    <t xml:space="preserve">Homestead Energy Services                         </t>
  </si>
  <si>
    <t xml:space="preserve">Tampa Electric                                    </t>
  </si>
  <si>
    <t xml:space="preserve">Southern Company Services, Inc.                   </t>
  </si>
  <si>
    <t xml:space="preserve">Duke Energy Florida                               </t>
  </si>
  <si>
    <t xml:space="preserve">Florida Municipal Power Agency                    </t>
  </si>
  <si>
    <t xml:space="preserve">SEC                                               </t>
  </si>
  <si>
    <t xml:space="preserve">JEA                                               </t>
  </si>
  <si>
    <t xml:space="preserve">FPL (Florida Power &amp; Light)                       </t>
  </si>
  <si>
    <t xml:space="preserve">FPL                                               </t>
  </si>
  <si>
    <t xml:space="preserve">Florida Power and Light                           </t>
  </si>
  <si>
    <t xml:space="preserve">SOCO (Southern Company)                           </t>
  </si>
  <si>
    <t xml:space="preserve">Florida Municipal Power Pool                      </t>
  </si>
  <si>
    <t xml:space="preserve">TEC                                               </t>
  </si>
  <si>
    <t xml:space="preserve">Florida Power &amp; Light Co.                         </t>
  </si>
  <si>
    <t xml:space="preserve">FMPP                                              </t>
  </si>
  <si>
    <t xml:space="preserve">Progress Energy Florida                           </t>
  </si>
  <si>
    <t xml:space="preserve">Associated Electric Cooperative, Inc.             </t>
  </si>
  <si>
    <t xml:space="preserve">SaskPower Grid Control Center                     </t>
  </si>
  <si>
    <t xml:space="preserve">WAPA LM-RCDC                                      </t>
  </si>
  <si>
    <t xml:space="preserve">WAPA UM (West)                                    </t>
  </si>
  <si>
    <t xml:space="preserve">WAPA LM SGDC                                      </t>
  </si>
  <si>
    <t xml:space="preserve">Southwest Power Pool                              </t>
  </si>
  <si>
    <t xml:space="preserve">Midwest ISO                                       </t>
  </si>
  <si>
    <t xml:space="preserve">Hydro-Quebec                                      </t>
  </si>
  <si>
    <t xml:space="preserve">Maritimes                                         </t>
  </si>
  <si>
    <t xml:space="preserve">New York                                          </t>
  </si>
  <si>
    <t xml:space="preserve">ISO New England                                   </t>
  </si>
  <si>
    <t xml:space="preserve">IEMO Ontario Hydro                                </t>
  </si>
  <si>
    <t xml:space="preserve">PJM Interconnection                               </t>
  </si>
  <si>
    <t xml:space="preserve">Hydro Quebec                                      </t>
  </si>
  <si>
    <t xml:space="preserve">HUDSON TRANSMISSION PROJECT (HUDS)                </t>
  </si>
  <si>
    <t xml:space="preserve">LINDEN VFT (LIND)                                 </t>
  </si>
  <si>
    <t xml:space="preserve">DUKE CAROLINAS (DUK)                              </t>
  </si>
  <si>
    <t xml:space="preserve">TENNESSEE VALLEY AUTHORITY (TVA)                  </t>
  </si>
  <si>
    <t>CAROLINA POWER &amp; LIGHT (CPL) (Progress Energy)</t>
  </si>
  <si>
    <t xml:space="preserve">OHIO VALLEY ELECTRIC CO (OVEC)                    </t>
  </si>
  <si>
    <t>NEPTUNE DC (NEPT) (NPCC, NYLI)</t>
  </si>
  <si>
    <t xml:space="preserve">LOUISVILLE GAS &amp; ELECTRIC (LGEE)                  </t>
  </si>
  <si>
    <t xml:space="preserve">NEW YORK ISO (NYIS)                               </t>
  </si>
  <si>
    <t xml:space="preserve">MID WEST ISO (MISO)                               </t>
  </si>
  <si>
    <t xml:space="preserve">LGEE                                              </t>
  </si>
  <si>
    <t xml:space="preserve">PJM                                               </t>
  </si>
  <si>
    <t xml:space="preserve">Western Area Power Admin (WAUE)                    </t>
  </si>
  <si>
    <t xml:space="preserve">TVA                                               </t>
  </si>
  <si>
    <t xml:space="preserve">Tennessee Valley Authority (TVA)                  </t>
  </si>
  <si>
    <t xml:space="preserve">LGEE/KU                                           </t>
  </si>
  <si>
    <t xml:space="preserve">Southwest Power Administration (SPA)              </t>
  </si>
  <si>
    <t xml:space="preserve">MISO                                              </t>
  </si>
  <si>
    <t xml:space="preserve">Southwest Power Pool (SWPP)                       </t>
  </si>
  <si>
    <t xml:space="preserve">Midwest ISO (MISO)                                </t>
  </si>
  <si>
    <t xml:space="preserve">SMEPA                                             </t>
  </si>
  <si>
    <t xml:space="preserve">Duke                                              </t>
  </si>
  <si>
    <t xml:space="preserve">FPC                                               </t>
  </si>
  <si>
    <t xml:space="preserve">SC                                                </t>
  </si>
  <si>
    <t xml:space="preserve">Southern Company                                  </t>
  </si>
  <si>
    <t xml:space="preserve">Alabama Electric Cooperative                      </t>
  </si>
  <si>
    <t xml:space="preserve">SCEG                                              </t>
  </si>
  <si>
    <t xml:space="preserve">Entergy                                           </t>
  </si>
  <si>
    <t xml:space="preserve">AECI                                              </t>
  </si>
  <si>
    <t xml:space="preserve">Electric Energy Inc.                              </t>
  </si>
  <si>
    <t xml:space="preserve">WR                                                </t>
  </si>
  <si>
    <t xml:space="preserve">Tennessee Valley Authority                        </t>
  </si>
  <si>
    <t xml:space="preserve">DUK                                               </t>
  </si>
  <si>
    <t xml:space="preserve">EEI                                               </t>
  </si>
  <si>
    <t xml:space="preserve">Ohio Valley Electric Corporation                  </t>
  </si>
  <si>
    <t xml:space="preserve">Midcontinent Independent System Operator, Inc.    </t>
  </si>
  <si>
    <t xml:space="preserve">PJM Interconnection, LLC                          </t>
  </si>
  <si>
    <t xml:space="preserve">Southern Company Services                         </t>
  </si>
  <si>
    <t xml:space="preserve">SEPA - Strom Thurmond                             </t>
  </si>
  <si>
    <t xml:space="preserve">Yadkin                                            </t>
  </si>
  <si>
    <t xml:space="preserve">Yadkin, Inc.                                      </t>
  </si>
  <si>
    <t xml:space="preserve">South Carolina Electric &amp; Gas                     </t>
  </si>
  <si>
    <t xml:space="preserve">Progress Energy                                   </t>
  </si>
  <si>
    <t xml:space="preserve">Southeastern Power Administration                 </t>
  </si>
  <si>
    <t xml:space="preserve">SEPA - R. B. Russell                              </t>
  </si>
  <si>
    <t xml:space="preserve">Duke Power                                        </t>
  </si>
  <si>
    <t xml:space="preserve">Duke Energy                                       </t>
  </si>
  <si>
    <t xml:space="preserve">South Carolina Public Service                     </t>
  </si>
  <si>
    <t xml:space="preserve">Progress Energy Carolinas - East                  </t>
  </si>
  <si>
    <t xml:space="preserve">South Carolina Public Service Authority           </t>
  </si>
  <si>
    <t xml:space="preserve">Duke Energy Carolinas, LLC                        </t>
  </si>
  <si>
    <t xml:space="preserve">Pennsylvania-New Jersey-Maryland                  </t>
  </si>
  <si>
    <t xml:space="preserve">Progress Energy Carolinas                         </t>
  </si>
  <si>
    <t>?</t>
  </si>
  <si>
    <t xml:space="preserve">PNM Blackwater (SPP - SPSO)                         </t>
  </si>
  <si>
    <t xml:space="preserve">PSCo Lamar (WECC - RMPA)                </t>
  </si>
  <si>
    <t xml:space="preserve">WACM Sidney                                       </t>
  </si>
  <si>
    <t xml:space="preserve">SPA                                               </t>
  </si>
  <si>
    <t xml:space="preserve">WAUE                                              </t>
  </si>
  <si>
    <t xml:space="preserve">ERCOT                                             </t>
  </si>
  <si>
    <t xml:space="preserve">SWPP                                              </t>
  </si>
  <si>
    <t xml:space="preserve">Comision Federal de Electricidad                  </t>
  </si>
  <si>
    <t xml:space="preserve">Gridforce Energy Management, LLC                  </t>
  </si>
  <si>
    <t xml:space="preserve">Salt River Project                                </t>
  </si>
  <si>
    <t xml:space="preserve">Imperial Irrigation District (IID)                </t>
  </si>
  <si>
    <t xml:space="preserve">NV Energy (SPR)                                   </t>
  </si>
  <si>
    <t xml:space="preserve">Public Service Company of New Mexico              </t>
  </si>
  <si>
    <t xml:space="preserve">Public Service Company of Colorado                </t>
  </si>
  <si>
    <t xml:space="preserve">Griffith Energy (GRIF)                            </t>
  </si>
  <si>
    <t xml:space="preserve">U.S. Dept of Energy (WACM)                        </t>
  </si>
  <si>
    <t xml:space="preserve">U.S. Dept of Energy (WALC)                        </t>
  </si>
  <si>
    <t xml:space="preserve">Arizona Public Service Company                    </t>
  </si>
  <si>
    <t xml:space="preserve">Western Area - Colorado Missouri (WACM)           </t>
  </si>
  <si>
    <t xml:space="preserve">Arizona Public Service Company (APS)              </t>
  </si>
  <si>
    <t xml:space="preserve">Western Area Power Authority (RM)                 </t>
  </si>
  <si>
    <t xml:space="preserve">Gila River Maricopa Arizona                       </t>
  </si>
  <si>
    <t xml:space="preserve">Imperial Irrigation District  (IID)               </t>
  </si>
  <si>
    <t xml:space="preserve">Duke Energy-Arlington Valley                      </t>
  </si>
  <si>
    <t xml:space="preserve">Arizona Public Service Co.                        </t>
  </si>
  <si>
    <t xml:space="preserve">New Harquahala Generating Co. LLC                 </t>
  </si>
  <si>
    <t xml:space="preserve">NaturEner Power Watch LLC                         </t>
  </si>
  <si>
    <t xml:space="preserve">Western Area Power Authority - Upper Colorado     </t>
  </si>
  <si>
    <t xml:space="preserve">PacifiCorp East                                   </t>
  </si>
  <si>
    <t xml:space="preserve">Public Serivce of New Mexico                      </t>
  </si>
  <si>
    <t xml:space="preserve">Pacificorp  (PAC)                                 </t>
  </si>
  <si>
    <t xml:space="preserve">Pacificorp Electric Ops                           </t>
  </si>
  <si>
    <t xml:space="preserve">Western Lower Colorado                            </t>
  </si>
  <si>
    <t xml:space="preserve">Western Area Power Authority (DSW)                </t>
  </si>
  <si>
    <t xml:space="preserve">Gridforce Energy Management                       </t>
  </si>
  <si>
    <t xml:space="preserve">Southwestern Public service Co.                   </t>
  </si>
  <si>
    <t xml:space="preserve">Arizona Public Service                            </t>
  </si>
  <si>
    <t xml:space="preserve">Tucson Electric Power Company                     </t>
  </si>
  <si>
    <t xml:space="preserve">Tucson Electric Power Co.                         </t>
  </si>
  <si>
    <t xml:space="preserve">California Independent System Operator (CAISO)    </t>
  </si>
  <si>
    <t xml:space="preserve">SRP                                               </t>
  </si>
  <si>
    <t xml:space="preserve">CaISO                                             </t>
  </si>
  <si>
    <t xml:space="preserve">El Paso Electric Co.                              </t>
  </si>
  <si>
    <t xml:space="preserve">El Paso Electric Company                          </t>
  </si>
  <si>
    <t xml:space="preserve">Arizona Public Serivce Company                    </t>
  </si>
  <si>
    <t xml:space="preserve">Griffith Energy LLC                               </t>
  </si>
  <si>
    <t>Western Area Power Administration / Colorado-Missi</t>
  </si>
  <si>
    <t xml:space="preserve">Tucson Electric Power (TEP)                       </t>
  </si>
  <si>
    <t xml:space="preserve">Public Service Co of New Mexico  (PNM)            </t>
  </si>
  <si>
    <t xml:space="preserve">Tucson Electric Power  (TEP)                      </t>
  </si>
  <si>
    <t xml:space="preserve">Salt River Project (SRP)                          </t>
  </si>
  <si>
    <t xml:space="preserve">APS                                               </t>
  </si>
  <si>
    <t xml:space="preserve">Western Area Power Administration-Lower Colorado  </t>
  </si>
  <si>
    <t xml:space="preserve">Dynamically Scheduled Generation                  </t>
  </si>
  <si>
    <t xml:space="preserve">Los Angeles Department of Water &amp; Power           </t>
  </si>
  <si>
    <t xml:space="preserve">Los Angeles Department of Water and Power (LDWP)  </t>
  </si>
  <si>
    <t xml:space="preserve">Los Angeles Department of Water &amp; Power (LADWP)   </t>
  </si>
  <si>
    <t xml:space="preserve">CISO                                              </t>
  </si>
  <si>
    <t>Western Area Power Authority - Lower Colorado (WA)</t>
  </si>
  <si>
    <t xml:space="preserve">California Independent System Oper                </t>
  </si>
  <si>
    <t xml:space="preserve">Dynamic Adjustments                               </t>
  </si>
  <si>
    <t xml:space="preserve">Salt River Project  (SRP)                         </t>
  </si>
  <si>
    <t xml:space="preserve"> PACW                                             </t>
  </si>
  <si>
    <t xml:space="preserve"> WALC                                             </t>
  </si>
  <si>
    <t xml:space="preserve"> IID                                              </t>
  </si>
  <si>
    <t xml:space="preserve"> APS                                              </t>
  </si>
  <si>
    <t xml:space="preserve">BPA                                               </t>
  </si>
  <si>
    <t xml:space="preserve"> SRP                                              </t>
  </si>
  <si>
    <t xml:space="preserve"> BPAT                                             </t>
  </si>
  <si>
    <t xml:space="preserve"> LDWP                                             </t>
  </si>
  <si>
    <t xml:space="preserve"> SPPC                                             </t>
  </si>
  <si>
    <t xml:space="preserve">CAISO                                             </t>
  </si>
  <si>
    <t xml:space="preserve">Pacific Corp. - East Side                         </t>
  </si>
  <si>
    <t xml:space="preserve">Bonneville Power Administration                   </t>
  </si>
  <si>
    <t xml:space="preserve">BANC                                              </t>
  </si>
  <si>
    <t xml:space="preserve"> CFE                                              </t>
  </si>
  <si>
    <t xml:space="preserve">TID                                               </t>
  </si>
  <si>
    <t>Western Area Power Administration - Lower Colorado</t>
  </si>
  <si>
    <t xml:space="preserve"> TIDC                                             </t>
  </si>
  <si>
    <t xml:space="preserve"> NEVP                                             </t>
  </si>
  <si>
    <t xml:space="preserve">Nevada Power Company                              </t>
  </si>
  <si>
    <t xml:space="preserve">California Independent System Operator            </t>
  </si>
  <si>
    <t xml:space="preserve">AVISTA WARDEN 115 KV                              </t>
  </si>
  <si>
    <t xml:space="preserve">AVISTA ROCKY FORD                                 </t>
  </si>
  <si>
    <t xml:space="preserve">AVISTA LARSON                                     </t>
  </si>
  <si>
    <t xml:space="preserve">BPA GRAND COULEE 1                                </t>
  </si>
  <si>
    <t xml:space="preserve">BPA GRAND COULEE 2                                </t>
  </si>
  <si>
    <t xml:space="preserve">Gridforce                                         </t>
  </si>
  <si>
    <t xml:space="preserve">AVISTA WILSON CREEK                               </t>
  </si>
  <si>
    <t xml:space="preserve">AVISTA COULEE CITY                                </t>
  </si>
  <si>
    <t xml:space="preserve">Northwestern Energy (MT) - NWMT                  </t>
  </si>
  <si>
    <t xml:space="preserve">Portland General Electric Company                 </t>
  </si>
  <si>
    <t xml:space="preserve">Seattle City Light                                </t>
  </si>
  <si>
    <t xml:space="preserve">Tacoma Power                                      </t>
  </si>
  <si>
    <t xml:space="preserve">FRENCHMAN HILLS                                   </t>
  </si>
  <si>
    <t xml:space="preserve">PacifiCorp West                                   </t>
  </si>
  <si>
    <t xml:space="preserve">BPA COLUMBIA 115                                  </t>
  </si>
  <si>
    <t xml:space="preserve">Portland General Electric                         </t>
  </si>
  <si>
    <t>Puget Sound Power &amp; Light (Puget Sound Energy)</t>
  </si>
  <si>
    <t xml:space="preserve">SRP - Salt River Project                          </t>
  </si>
  <si>
    <t xml:space="preserve">BPA POTHOLES 230 KV                               </t>
  </si>
  <si>
    <t xml:space="preserve">Los Angeles Department of Water &amp; Power - LDWP    </t>
  </si>
  <si>
    <t xml:space="preserve">PacifiCorp - West                                 </t>
  </si>
  <si>
    <t xml:space="preserve">NaturEner Wind Watch, LLC                         </t>
  </si>
  <si>
    <t xml:space="preserve">BPA JERICHO CRR/VANTAGE                           </t>
  </si>
  <si>
    <t xml:space="preserve">Southern California Edison - CISO                 </t>
  </si>
  <si>
    <t xml:space="preserve">PacifiCorp East - PACE                            </t>
  </si>
  <si>
    <t xml:space="preserve">PSE WINDRIDGE                                     </t>
  </si>
  <si>
    <t xml:space="preserve">Grant County PUD                                  </t>
  </si>
  <si>
    <t xml:space="preserve">PacifiCorp - East - PACE                          </t>
  </si>
  <si>
    <t xml:space="preserve">Avista Corporation                                </t>
  </si>
  <si>
    <t xml:space="preserve">Public Utility District of Grant Coutny           </t>
  </si>
  <si>
    <t xml:space="preserve">NorthWestern Energy                               </t>
  </si>
  <si>
    <t xml:space="preserve">NaturEner Power Watch, LLC                        </t>
  </si>
  <si>
    <t xml:space="preserve">BPA SCHRAG WARDEN                                 </t>
  </si>
  <si>
    <t xml:space="preserve">Bonneville Power Authority - BPA                  </t>
  </si>
  <si>
    <t xml:space="preserve">Chelan County PUD                                 </t>
  </si>
  <si>
    <t xml:space="preserve">Avista Corp - AVA                                 </t>
  </si>
  <si>
    <t xml:space="preserve">Douglas County PUD                                </t>
  </si>
  <si>
    <t xml:space="preserve">Idaho Power Company                               </t>
  </si>
  <si>
    <t xml:space="preserve">Public Utility District No. 1 of Douglas County   </t>
  </si>
  <si>
    <t xml:space="preserve">Northwestern Energy                               </t>
  </si>
  <si>
    <t xml:space="preserve">PUD No. 1 Douglas County                          </t>
  </si>
  <si>
    <t xml:space="preserve">Pacific Gas &amp; Electric - PG&amp;E (CISO)              </t>
  </si>
  <si>
    <t xml:space="preserve">BPA USBR                                          </t>
  </si>
  <si>
    <t xml:space="preserve">PUD No. 1 of Chelan County (CHPD)                 </t>
  </si>
  <si>
    <t xml:space="preserve">Idaho Power                                       </t>
  </si>
  <si>
    <t xml:space="preserve">Idaho Power Company - IPC                         </t>
  </si>
  <si>
    <t xml:space="preserve">BPA PACIFICORP WALLA WALLA (PAGE)                 </t>
  </si>
  <si>
    <t xml:space="preserve">Bonneville Power Administration - BPAT            </t>
  </si>
  <si>
    <t xml:space="preserve">Avista Corp.                                      </t>
  </si>
  <si>
    <t xml:space="preserve">Avista                                            </t>
  </si>
  <si>
    <t xml:space="preserve">PUD No. 1 of Grant County (GCPD)                  </t>
  </si>
  <si>
    <t xml:space="preserve">BPA Columbia 230 (&amp; Vantage)                      </t>
  </si>
  <si>
    <t xml:space="preserve">PUD No. 1 of Douglas County (DOPD)                </t>
  </si>
  <si>
    <t xml:space="preserve">WAPA (LM) - Yellow Tail &amp; Schedules               </t>
  </si>
  <si>
    <t xml:space="preserve">California ISO                                    </t>
  </si>
  <si>
    <t xml:space="preserve">PUD No. 1 of Douglas County                       </t>
  </si>
  <si>
    <t xml:space="preserve">Nevada Power Company - NEVP                       </t>
  </si>
  <si>
    <t xml:space="preserve">Pacificorp                                        </t>
  </si>
  <si>
    <t xml:space="preserve">Puget Sound Energy                                </t>
  </si>
  <si>
    <t xml:space="preserve">WAPA UM (East) Miles City                         </t>
  </si>
  <si>
    <t xml:space="preserve">NorthWestern Energy (NWMT)                        </t>
  </si>
  <si>
    <t>Western Area Power Administration Colorado/Missoui</t>
  </si>
  <si>
    <t xml:space="preserve">CHPD - Chelan County PUD No. 1                    </t>
  </si>
  <si>
    <t xml:space="preserve">Avista Corp                                       </t>
  </si>
  <si>
    <t xml:space="preserve">Nevada Power                                      </t>
  </si>
  <si>
    <t xml:space="preserve">Alberta Electric System Operator                  </t>
  </si>
  <si>
    <t xml:space="preserve">PUD No. 2 of Grant County                         </t>
  </si>
  <si>
    <t xml:space="preserve">Chelan County PUD No. 1                           </t>
  </si>
  <si>
    <t xml:space="preserve">BPA PACIFICORP POMONA (GINGKO)                    </t>
  </si>
  <si>
    <t xml:space="preserve">Northwesern Corp. - Montana Power                 </t>
  </si>
  <si>
    <t xml:space="preserve">Northwestern Energy Montana (NWMT)                </t>
  </si>
  <si>
    <t xml:space="preserve">Pacificorp West (PACW)                            </t>
  </si>
  <si>
    <t xml:space="preserve">Los Angeles Dept. of Water &amp; Power                </t>
  </si>
  <si>
    <t xml:space="preserve">Western Area Power Admin (Upper Great Plains)     </t>
  </si>
  <si>
    <t xml:space="preserve">Grant County PUD No. 2                            </t>
  </si>
  <si>
    <t xml:space="preserve">BPA ANCIENT LAKE (Vantage 230)                    </t>
  </si>
  <si>
    <t xml:space="preserve">BPAT - Bonneville Power Adminsitration            </t>
  </si>
  <si>
    <t xml:space="preserve">Arizona Public Service Compnay                    </t>
  </si>
  <si>
    <t xml:space="preserve">BC Hydro &amp; Power Authority                        </t>
  </si>
  <si>
    <t xml:space="preserve">PacifiCorp - West - PACW                          </t>
  </si>
  <si>
    <t xml:space="preserve">BPA MIDWAY 230 KV                                 </t>
  </si>
  <si>
    <t xml:space="preserve">PacifiCorp - East                                 </t>
  </si>
  <si>
    <t xml:space="preserve">Balancing Authority of Northern California        </t>
  </si>
  <si>
    <t xml:space="preserve">Bonneville Power Administration (BPA)             </t>
  </si>
  <si>
    <t xml:space="preserve">Los Angeles Dept. of Water and Power              </t>
  </si>
  <si>
    <t xml:space="preserve">NWMT                                              </t>
  </si>
  <si>
    <t xml:space="preserve">Nebraska Public Power District   (NPPD)           </t>
  </si>
  <si>
    <t xml:space="preserve">WAPA-Upper Great Plains West  (WAUW)              </t>
  </si>
  <si>
    <t xml:space="preserve">Public Service of New Mexico   (PNM)              </t>
  </si>
  <si>
    <t xml:space="preserve">Southwestern Public Service Company               </t>
  </si>
  <si>
    <t xml:space="preserve">WAPA - Upper Great Plains East   (WAUE)           </t>
  </si>
  <si>
    <t xml:space="preserve">PacifiCorp - East   (PACE)                        </t>
  </si>
  <si>
    <t xml:space="preserve">Public Service New Mexico                         </t>
  </si>
  <si>
    <t xml:space="preserve">Arizona Public Service Company (AZPS)             </t>
  </si>
  <si>
    <t xml:space="preserve">Tucson Electric Power (TEPC)                      </t>
  </si>
  <si>
    <t xml:space="preserve">WAPA - Lower Colorado   (WALC)                    </t>
  </si>
  <si>
    <t xml:space="preserve">Western Area Power Colorado Missouri              </t>
  </si>
  <si>
    <t xml:space="preserve">Public Service Co of Colorado   (PSCO)            </t>
  </si>
  <si>
    <t>MRO, SERC, RFC</t>
  </si>
  <si>
    <t>SRMW, MROW, MROE, RFCW, SRTV</t>
  </si>
  <si>
    <t xml:space="preserve">LES                                               </t>
  </si>
  <si>
    <t xml:space="preserve">EDE                                               </t>
  </si>
  <si>
    <t xml:space="preserve">AEC                                               </t>
  </si>
  <si>
    <t xml:space="preserve">NPPD                                              </t>
  </si>
  <si>
    <t xml:space="preserve">SPS                                               </t>
  </si>
  <si>
    <t xml:space="preserve">ONT                                               </t>
  </si>
  <si>
    <t xml:space="preserve">CSWS                                              </t>
  </si>
  <si>
    <t xml:space="preserve">OKGE                                              </t>
  </si>
  <si>
    <t xml:space="preserve">OPPD                                              </t>
  </si>
  <si>
    <t xml:space="preserve">MHEB                                              </t>
  </si>
  <si>
    <t>actual_recv (MWh)</t>
  </si>
  <si>
    <t>actual_deliv (MWh)</t>
  </si>
  <si>
    <t>International Trading (MWh)</t>
  </si>
  <si>
    <t>eGRID net generation</t>
  </si>
  <si>
    <t>eGRID % contrib. to NERC</t>
  </si>
  <si>
    <t>2014 eGRID Generation Data (MWh)</t>
  </si>
  <si>
    <t>eGRID Trading with different NERC region (MWh)</t>
  </si>
  <si>
    <t>eGRID Trading within same NERC region (MWh)</t>
  </si>
  <si>
    <t>eGRID trade out (US external NERC)</t>
  </si>
  <si>
    <t>eGRID trade in (US external NERC)</t>
  </si>
  <si>
    <t>Net Trading (MWh)</t>
  </si>
  <si>
    <t>what region is SPP?</t>
  </si>
  <si>
    <t>CPLW   (Duke Energy Progress West)</t>
  </si>
  <si>
    <t>SEHA (southeastern power administration - hartwell)</t>
  </si>
  <si>
    <t>SETH (southeastern power administration - thurmond)</t>
  </si>
  <si>
    <t>SERU (southeastern power administration - russel)</t>
  </si>
  <si>
    <t>Trade in to US NERC (GWh 2014)</t>
  </si>
  <si>
    <t>Trade out to province (GWh 2014)</t>
  </si>
  <si>
    <t>Total (GWh)</t>
  </si>
  <si>
    <t>Total (MWh)</t>
  </si>
  <si>
    <t>eGRID Consumption (MWh)</t>
  </si>
  <si>
    <t>generation with trading</t>
  </si>
  <si>
    <t>BC in</t>
  </si>
  <si>
    <t>BC out</t>
  </si>
  <si>
    <t>AB in</t>
  </si>
  <si>
    <t>AB out</t>
  </si>
  <si>
    <t>SK in</t>
  </si>
  <si>
    <t>SK out</t>
  </si>
  <si>
    <t>MB in</t>
  </si>
  <si>
    <t>MB out</t>
  </si>
  <si>
    <t>ON in</t>
  </si>
  <si>
    <t>ON out</t>
  </si>
  <si>
    <t>QC in</t>
  </si>
  <si>
    <t>QC out</t>
  </si>
  <si>
    <t>NB in</t>
  </si>
  <si>
    <t>NB out</t>
  </si>
  <si>
    <t>total trade in</t>
  </si>
  <si>
    <t>total trade out</t>
  </si>
  <si>
    <t>WECC Surplus</t>
  </si>
  <si>
    <t>Mexico in</t>
  </si>
  <si>
    <t>Mexico out</t>
  </si>
  <si>
    <t>including international</t>
  </si>
  <si>
    <t>US Net Trading (MWh)</t>
  </si>
  <si>
    <t>(positive values trade in)</t>
  </si>
  <si>
    <t>NPCC Surplus</t>
  </si>
  <si>
    <t>RFC Surplus</t>
  </si>
  <si>
    <t>SERC Surplus</t>
  </si>
  <si>
    <t>Canadian Provincial Trading Based on eGRID Production Rates Within NERC Regions</t>
  </si>
  <si>
    <t>(MWh)</t>
  </si>
  <si>
    <t xml:space="preserve">what region is MISO? </t>
  </si>
  <si>
    <t>321 is MISO, Midcontinent independent system operator</t>
  </si>
  <si>
    <t>only boardering egrid region with MISO</t>
  </si>
  <si>
    <t>appear to be switched in columns based on known energy flows</t>
  </si>
  <si>
    <t>within egrid borders</t>
  </si>
  <si>
    <t>MRO Surplus</t>
  </si>
  <si>
    <t xml:space="preserve">KCPL (SPP/SPNO) </t>
  </si>
  <si>
    <t>MPS (SPP/SPNO)</t>
  </si>
  <si>
    <t>WR (SPP/SPNO)</t>
  </si>
  <si>
    <t>SPP Surplus</t>
  </si>
  <si>
    <t>Alaska</t>
  </si>
  <si>
    <t>Alaskan regions except the South (Anchorage area) and Central (Fairbanks area) Alaskan regions</t>
  </si>
  <si>
    <t>Southwest US (Arizona and New Mexico and small portions of southern California, southern Nevada and western Texas. )</t>
  </si>
  <si>
    <t>California (except for small portions in the north and south that are part of the NWPP and AZNM grids repsectively. )</t>
  </si>
  <si>
    <t>Texas except for small portions in the panhandle (SPSO), western Texas (AZNM) and eastern Texas (SRMV)</t>
  </si>
  <si>
    <t>Florida except for the panhandle (SRSO)</t>
  </si>
  <si>
    <t>Misc Hawaii electricity grid that includes all of Hawaii except for Oahu (HIOA)</t>
  </si>
  <si>
    <t>Oahu</t>
  </si>
  <si>
    <t>Wisconsin and northern Michigan</t>
  </si>
  <si>
    <t>Minnesota, Iowa, most of the Dakotas (less RMPA) and Nebraska (less RMPA) and parts of Montana (less NWPP) and Wisconsin (less MROE)</t>
  </si>
  <si>
    <t>Maine, New Hampshire, Vermont,Massachusetts, Rhode Island and Connecticut</t>
  </si>
  <si>
    <t>Washington, Oregon, Idaho, Utah, most of Montana (less NROW), Wyoming (less RMPA), Nevada (less AZNM) and northern parts of California, Arizona and New Mexico</t>
  </si>
  <si>
    <t>New York City and Westchester County, NY</t>
  </si>
  <si>
    <t>Long Island, NY</t>
  </si>
  <si>
    <t>Most of NY state less Long Island, Westchester County and New York City</t>
  </si>
  <si>
    <t>New Jersey and Delaware and most of Pennsylvania and Maryland (less RFCW)</t>
  </si>
  <si>
    <t>Michigan less the upper pennisula and a small south west portion of lower peninsula</t>
  </si>
  <si>
    <t>Indiana, Ohio, West Virginia, and portions of Illinois, Michigan, Minnesota, Kentucky, West Virginia, Maryland and Pennsylvania.</t>
  </si>
  <si>
    <t>Colorado, eastern Wyoming (less NWPP) and small portions of South Dakota, Nebraska and New Mexico</t>
  </si>
  <si>
    <t>Kansas and western Missouri (less SRMW)</t>
  </si>
  <si>
    <t>Oklahoma, and portions of Arkansas, Louisiana, Texas and New Mexico</t>
  </si>
  <si>
    <t>Eastern Arkansas (less SPSO),  western Mississippi (less SRTV and SRSO), most of Louisiana (less SPSO) and a small portion of Texas</t>
  </si>
  <si>
    <t>Eastern Missouri (less SPNO) and Southern Illinois (less RFCW)</t>
  </si>
  <si>
    <t>Georgia (less SRTV) and Alabama (less STRV) and southeast Mississippi and the panhandle of Florida</t>
  </si>
  <si>
    <t>Tennessee, most of Kentucky (less RFCW) and a small portions of West Virginia, North Carolina, Georgia, Alabama and Mississippi</t>
  </si>
  <si>
    <t>North and South Carolina and most of Virginia (less RFCW)</t>
  </si>
  <si>
    <t>Florida</t>
  </si>
  <si>
    <t>Hawaii</t>
  </si>
  <si>
    <t>Manitoba, Minnesota, Nebraska, North Dakota, Saskatchewan and parts of Illinois, Michigan, South Dakota and Wisconsin</t>
  </si>
  <si>
    <t>Connecticut, Maine, Massachusetts, New Brunswick, New Hampshire, New York, Nova Scotia, Ontario, Prince Edward Island, Quebec, Rhode Island and Vermont</t>
  </si>
  <si>
    <t>Delaware, District of Columbia, Indiana, Maryland, New Jersey, Ohio, Pennsylvania and West Virginia and parts of Kentucky, Michigan, Tennessee, Virginia and Wisconsin</t>
  </si>
  <si>
    <t>Alabama, Georgia, Mississippi, North Carolina, South Carolina and parts of Arkansas, Florida, Illinois, Iowa, Kentucky, Louisiana, Missouri, Tennessee, Texas and Virginia</t>
  </si>
  <si>
    <t>Kansas and Oklahoma, and parts of Arkansas, Louisiana, Missouri, New Mexico, and Texas</t>
  </si>
  <si>
    <t>Texas</t>
  </si>
  <si>
    <t>Washington, Idaho, Montana, Portland, British Columbia, Alberta,  California, Utah, Nevada, Arizona, New Mexico, Colorado, and Wyoming and parts of Nebraska, Texas and Mexico</t>
  </si>
  <si>
    <t>NERC Region</t>
  </si>
  <si>
    <t>eGRID Region</t>
  </si>
  <si>
    <t>eGRID Coverage</t>
  </si>
  <si>
    <t>NERC Coverage</t>
  </si>
  <si>
    <t>Location and Classification</t>
  </si>
  <si>
    <t xml:space="preserve">% Contribution to Consumption Mix </t>
  </si>
  <si>
    <t>Canada - Provences</t>
  </si>
  <si>
    <t>US - eGRID</t>
  </si>
  <si>
    <t>Trading Matrix</t>
  </si>
  <si>
    <t>Energy Deficit</t>
  </si>
  <si>
    <t>Energy Surplus</t>
  </si>
  <si>
    <t>Generation Mix = Consumption Mix</t>
  </si>
  <si>
    <t>Generation Mix   --&gt;   Surplus Supply Pool (sum of eGRID regions with energy surplus)  ---&gt;   Consumption Mix</t>
  </si>
  <si>
    <t>Consumption Mixes (All eGRID)</t>
  </si>
  <si>
    <t>Generation Mixes (all eGRID)</t>
  </si>
  <si>
    <t>Surplus Supply Pool Mixes (NERC where needed)</t>
  </si>
  <si>
    <t>Traded In from Surplus Supply Pool</t>
  </si>
  <si>
    <t>Generation Mix</t>
  </si>
  <si>
    <t>1)</t>
  </si>
  <si>
    <t>2)</t>
  </si>
  <si>
    <t>3)</t>
  </si>
  <si>
    <t>1kwh RMPA Generation Mix</t>
  </si>
  <si>
    <t>Input</t>
  </si>
  <si>
    <t>Output</t>
  </si>
  <si>
    <t>1kwh RMPA Consumption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</si>
</sst>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E5DC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0497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66">
    <xf numFmtId="0" fontId="0" fillId="0" borderId="0" xfId="0"/>
    <xf numFmtId="0" fontId="1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Fill="1"/>
    <xf numFmtId="0" fontId="2" fillId="0" borderId="1" xfId="0" applyFont="1" applyFill="1" applyBorder="1"/>
    <xf numFmtId="0" fontId="1" fillId="0" borderId="1" xfId="0" applyFont="1" applyFill="1" applyBorder="1"/>
    <xf numFmtId="0" fontId="5" fillId="0" borderId="1" xfId="0" applyFont="1" applyBorder="1" applyAlignment="1">
      <alignment horizontal="center"/>
    </xf>
    <xf numFmtId="0" fontId="8" fillId="12" borderId="1" xfId="0" applyFont="1" applyFill="1" applyBorder="1"/>
    <xf numFmtId="0" fontId="0" fillId="8" borderId="1" xfId="0" applyFill="1" applyBorder="1"/>
    <xf numFmtId="0" fontId="9" fillId="8" borderId="1" xfId="0" applyFont="1" applyFill="1" applyBorder="1"/>
    <xf numFmtId="0" fontId="0" fillId="0" borderId="1" xfId="0" applyBorder="1"/>
    <xf numFmtId="0" fontId="0" fillId="13" borderId="1" xfId="0" applyFill="1" applyBorder="1"/>
    <xf numFmtId="0" fontId="9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9" fillId="15" borderId="1" xfId="0" applyFont="1" applyFill="1" applyBorder="1"/>
    <xf numFmtId="0" fontId="1" fillId="16" borderId="1" xfId="0" applyFont="1" applyFill="1" applyBorder="1"/>
    <xf numFmtId="0" fontId="7" fillId="17" borderId="1" xfId="0" applyFont="1" applyFill="1" applyBorder="1"/>
    <xf numFmtId="0" fontId="0" fillId="18" borderId="1" xfId="0" applyFill="1" applyBorder="1"/>
    <xf numFmtId="0" fontId="0" fillId="19" borderId="1" xfId="0" applyFill="1" applyBorder="1"/>
    <xf numFmtId="0" fontId="9" fillId="19" borderId="1" xfId="0" applyFont="1" applyFill="1" applyBorder="1"/>
    <xf numFmtId="0" fontId="0" fillId="20" borderId="1" xfId="0" applyFill="1" applyBorder="1"/>
    <xf numFmtId="0" fontId="9" fillId="20" borderId="1" xfId="0" applyFont="1" applyFill="1" applyBorder="1"/>
    <xf numFmtId="0" fontId="0" fillId="21" borderId="1" xfId="0" applyFill="1" applyBorder="1"/>
    <xf numFmtId="0" fontId="9" fillId="21" borderId="1" xfId="0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9" fillId="24" borderId="1" xfId="0" applyFont="1" applyFill="1" applyBorder="1"/>
    <xf numFmtId="0" fontId="0" fillId="16" borderId="1" xfId="0" applyFill="1" applyBorder="1"/>
    <xf numFmtId="0" fontId="9" fillId="16" borderId="1" xfId="0" applyFont="1" applyFill="1" applyBorder="1"/>
    <xf numFmtId="0" fontId="0" fillId="26" borderId="1" xfId="0" applyFill="1" applyBorder="1"/>
    <xf numFmtId="0" fontId="9" fillId="14" borderId="1" xfId="0" applyFont="1" applyFill="1" applyBorder="1"/>
    <xf numFmtId="0" fontId="9" fillId="23" borderId="1" xfId="0" applyFont="1" applyFill="1" applyBorder="1"/>
    <xf numFmtId="0" fontId="0" fillId="27" borderId="1" xfId="0" applyFill="1" applyBorder="1"/>
    <xf numFmtId="0" fontId="9" fillId="22" borderId="1" xfId="0" applyFont="1" applyFill="1" applyBorder="1"/>
    <xf numFmtId="0" fontId="9" fillId="0" borderId="1" xfId="0" applyFont="1" applyFill="1" applyBorder="1"/>
    <xf numFmtId="0" fontId="9" fillId="10" borderId="1" xfId="0" applyFont="1" applyFill="1" applyBorder="1"/>
    <xf numFmtId="0" fontId="0" fillId="28" borderId="1" xfId="0" applyFill="1" applyBorder="1"/>
    <xf numFmtId="0" fontId="0" fillId="29" borderId="1" xfId="0" applyFill="1" applyBorder="1"/>
    <xf numFmtId="0" fontId="9" fillId="26" borderId="1" xfId="0" applyFont="1" applyFill="1" applyBorder="1"/>
    <xf numFmtId="0" fontId="9" fillId="29" borderId="1" xfId="0" applyFont="1" applyFill="1" applyBorder="1"/>
    <xf numFmtId="0" fontId="0" fillId="0" borderId="1" xfId="0" applyFill="1" applyBorder="1"/>
    <xf numFmtId="0" fontId="0" fillId="30" borderId="1" xfId="0" applyFill="1" applyBorder="1"/>
    <xf numFmtId="0" fontId="9" fillId="30" borderId="1" xfId="0" applyFont="1" applyFill="1" applyBorder="1"/>
    <xf numFmtId="0" fontId="0" fillId="30" borderId="0" xfId="0" applyFill="1" applyBorder="1"/>
    <xf numFmtId="0" fontId="9" fillId="28" borderId="1" xfId="0" applyFont="1" applyFill="1" applyBorder="1"/>
    <xf numFmtId="0" fontId="9" fillId="18" borderId="1" xfId="0" applyFont="1" applyFill="1" applyBorder="1"/>
    <xf numFmtId="0" fontId="9" fillId="31" borderId="1" xfId="0" applyFont="1" applyFill="1" applyBorder="1"/>
    <xf numFmtId="10" fontId="1" fillId="4" borderId="1" xfId="2" applyNumberFormat="1" applyFont="1" applyFill="1" applyBorder="1"/>
    <xf numFmtId="10" fontId="1" fillId="3" borderId="1" xfId="2" applyNumberFormat="1" applyFont="1" applyFill="1" applyBorder="1"/>
    <xf numFmtId="10" fontId="1" fillId="2" borderId="1" xfId="2" applyNumberFormat="1" applyFont="1" applyFill="1" applyBorder="1"/>
    <xf numFmtId="10" fontId="1" fillId="6" borderId="1" xfId="2" applyNumberFormat="1" applyFont="1" applyFill="1" applyBorder="1"/>
    <xf numFmtId="10" fontId="1" fillId="7" borderId="1" xfId="2" applyNumberFormat="1" applyFont="1" applyFill="1" applyBorder="1"/>
    <xf numFmtId="10" fontId="1" fillId="8" borderId="1" xfId="2" applyNumberFormat="1" applyFont="1" applyFill="1" applyBorder="1"/>
    <xf numFmtId="10" fontId="1" fillId="9" borderId="1" xfId="2" applyNumberFormat="1" applyFont="1" applyFill="1" applyBorder="1"/>
    <xf numFmtId="10" fontId="1" fillId="10" borderId="1" xfId="2" applyNumberFormat="1" applyFont="1" applyFill="1" applyBorder="1"/>
    <xf numFmtId="10" fontId="1" fillId="11" borderId="1" xfId="2" applyNumberFormat="1" applyFont="1" applyFill="1" applyBorder="1"/>
    <xf numFmtId="10" fontId="0" fillId="0" borderId="0" xfId="0" applyNumberFormat="1"/>
    <xf numFmtId="0" fontId="0" fillId="10" borderId="1" xfId="0" applyFill="1" applyBorder="1"/>
    <xf numFmtId="0" fontId="0" fillId="32" borderId="1" xfId="0" applyFill="1" applyBorder="1"/>
    <xf numFmtId="0" fontId="0" fillId="33" borderId="1" xfId="0" applyFill="1" applyBorder="1"/>
    <xf numFmtId="0" fontId="9" fillId="33" borderId="1" xfId="0" applyFont="1" applyFill="1" applyBorder="1"/>
    <xf numFmtId="0" fontId="1" fillId="0" borderId="0" xfId="0" applyFont="1" applyBorder="1"/>
    <xf numFmtId="164" fontId="1" fillId="0" borderId="1" xfId="1" applyNumberFormat="1" applyFont="1" applyBorder="1"/>
    <xf numFmtId="164" fontId="1" fillId="0" borderId="2" xfId="1" applyNumberFormat="1" applyFont="1" applyBorder="1"/>
    <xf numFmtId="164" fontId="2" fillId="0" borderId="0" xfId="1" applyNumberFormat="1" applyFont="1" applyBorder="1"/>
    <xf numFmtId="164" fontId="1" fillId="4" borderId="1" xfId="1" applyNumberFormat="1" applyFont="1" applyFill="1" applyBorder="1"/>
    <xf numFmtId="164" fontId="1" fillId="3" borderId="1" xfId="1" applyNumberFormat="1" applyFont="1" applyFill="1" applyBorder="1"/>
    <xf numFmtId="164" fontId="1" fillId="2" borderId="1" xfId="1" applyNumberFormat="1" applyFont="1" applyFill="1" applyBorder="1"/>
    <xf numFmtId="164" fontId="1" fillId="6" borderId="1" xfId="1" applyNumberFormat="1" applyFont="1" applyFill="1" applyBorder="1"/>
    <xf numFmtId="164" fontId="1" fillId="7" borderId="1" xfId="1" applyNumberFormat="1" applyFont="1" applyFill="1" applyBorder="1"/>
    <xf numFmtId="164" fontId="1" fillId="8" borderId="1" xfId="1" applyNumberFormat="1" applyFont="1" applyFill="1" applyBorder="1"/>
    <xf numFmtId="164" fontId="1" fillId="9" borderId="1" xfId="1" applyNumberFormat="1" applyFont="1" applyFill="1" applyBorder="1"/>
    <xf numFmtId="164" fontId="1" fillId="10" borderId="1" xfId="1" applyNumberFormat="1" applyFont="1" applyFill="1" applyBorder="1"/>
    <xf numFmtId="164" fontId="1" fillId="11" borderId="1" xfId="1" applyNumberFormat="1" applyFont="1" applyFill="1" applyBorder="1"/>
    <xf numFmtId="0" fontId="2" fillId="0" borderId="0" xfId="0" applyFont="1" applyFill="1" applyBorder="1"/>
    <xf numFmtId="164" fontId="0" fillId="0" borderId="0" xfId="0" applyNumberFormat="1"/>
    <xf numFmtId="164" fontId="0" fillId="0" borderId="1" xfId="0" applyNumberFormat="1" applyBorder="1"/>
    <xf numFmtId="164" fontId="2" fillId="0" borderId="0" xfId="1" applyNumberFormat="1" applyFont="1"/>
    <xf numFmtId="0" fontId="2" fillId="0" borderId="0" xfId="0" applyFont="1"/>
    <xf numFmtId="164" fontId="0" fillId="0" borderId="0" xfId="0" applyNumberFormat="1" applyBorder="1"/>
    <xf numFmtId="164" fontId="0" fillId="0" borderId="0" xfId="0" applyNumberFormat="1" applyFont="1"/>
    <xf numFmtId="10" fontId="0" fillId="0" borderId="0" xfId="2" applyNumberFormat="1" applyFont="1"/>
    <xf numFmtId="0" fontId="11" fillId="5" borderId="1" xfId="0" applyFont="1" applyFill="1" applyBorder="1"/>
    <xf numFmtId="164" fontId="11" fillId="5" borderId="1" xfId="1" applyNumberFormat="1" applyFont="1" applyFill="1" applyBorder="1"/>
    <xf numFmtId="10" fontId="11" fillId="5" borderId="1" xfId="2" applyNumberFormat="1" applyFont="1" applyFill="1" applyBorder="1"/>
    <xf numFmtId="0" fontId="5" fillId="0" borderId="1" xfId="0" applyFont="1" applyBorder="1"/>
    <xf numFmtId="10" fontId="0" fillId="0" borderId="1" xfId="2" applyNumberFormat="1" applyFont="1" applyBorder="1"/>
    <xf numFmtId="164" fontId="12" fillId="0" borderId="0" xfId="0" applyNumberFormat="1" applyFont="1"/>
    <xf numFmtId="164" fontId="13" fillId="0" borderId="0" xfId="0" applyNumberFormat="1" applyFont="1"/>
    <xf numFmtId="0" fontId="5" fillId="11" borderId="1" xfId="0" applyFont="1" applyFill="1" applyBorder="1"/>
    <xf numFmtId="164" fontId="2" fillId="11" borderId="1" xfId="1" applyNumberFormat="1" applyFont="1" applyFill="1" applyBorder="1"/>
    <xf numFmtId="0" fontId="0" fillId="11" borderId="1" xfId="0" applyFill="1" applyBorder="1"/>
    <xf numFmtId="9" fontId="1" fillId="11" borderId="1" xfId="2" applyFont="1" applyFill="1" applyBorder="1"/>
    <xf numFmtId="0" fontId="5" fillId="8" borderId="1" xfId="0" applyFont="1" applyFill="1" applyBorder="1"/>
    <xf numFmtId="164" fontId="5" fillId="8" borderId="1" xfId="1" applyNumberFormat="1" applyFont="1" applyFill="1" applyBorder="1"/>
    <xf numFmtId="9" fontId="0" fillId="8" borderId="1" xfId="2" applyFont="1" applyFill="1" applyBorder="1"/>
    <xf numFmtId="0" fontId="2" fillId="7" borderId="1" xfId="0" applyFont="1" applyFill="1" applyBorder="1"/>
    <xf numFmtId="164" fontId="5" fillId="7" borderId="1" xfId="1" applyNumberFormat="1" applyFont="1" applyFill="1" applyBorder="1"/>
    <xf numFmtId="0" fontId="0" fillId="7" borderId="1" xfId="0" applyFill="1" applyBorder="1"/>
    <xf numFmtId="9" fontId="0" fillId="7" borderId="1" xfId="2" applyFont="1" applyFill="1" applyBorder="1"/>
    <xf numFmtId="0" fontId="0" fillId="6" borderId="1" xfId="0" applyFill="1" applyBorder="1"/>
    <xf numFmtId="0" fontId="5" fillId="6" borderId="1" xfId="0" applyFont="1" applyFill="1" applyBorder="1"/>
    <xf numFmtId="164" fontId="2" fillId="6" borderId="1" xfId="0" applyNumberFormat="1" applyFont="1" applyFill="1" applyBorder="1"/>
    <xf numFmtId="0" fontId="0" fillId="6" borderId="1" xfId="0" applyFont="1" applyFill="1" applyBorder="1"/>
    <xf numFmtId="9" fontId="1" fillId="6" borderId="1" xfId="2" applyFont="1" applyFill="1" applyBorder="1"/>
    <xf numFmtId="0" fontId="5" fillId="2" borderId="1" xfId="0" applyFont="1" applyFill="1" applyBorder="1"/>
    <xf numFmtId="164" fontId="2" fillId="2" borderId="1" xfId="0" applyNumberFormat="1" applyFont="1" applyFill="1" applyBorder="1"/>
    <xf numFmtId="0" fontId="0" fillId="2" borderId="1" xfId="0" applyFont="1" applyFill="1" applyBorder="1"/>
    <xf numFmtId="9" fontId="1" fillId="2" borderId="1" xfId="2" applyFont="1" applyFill="1" applyBorder="1"/>
    <xf numFmtId="9" fontId="1" fillId="2" borderId="1" xfId="2" applyNumberFormat="1" applyFont="1" applyFill="1" applyBorder="1"/>
    <xf numFmtId="0" fontId="0" fillId="0" borderId="1" xfId="0" applyBorder="1" applyAlignment="1">
      <alignment horizontal="center"/>
    </xf>
    <xf numFmtId="0" fontId="9" fillId="0" borderId="3" xfId="0" applyFont="1" applyFill="1" applyBorder="1"/>
    <xf numFmtId="0" fontId="1" fillId="26" borderId="1" xfId="0" applyFont="1" applyFill="1" applyBorder="1"/>
    <xf numFmtId="0" fontId="0" fillId="34" borderId="1" xfId="0" applyFill="1" applyBorder="1"/>
    <xf numFmtId="0" fontId="9" fillId="34" borderId="1" xfId="0" applyFont="1" applyFill="1" applyBorder="1"/>
    <xf numFmtId="0" fontId="0" fillId="35" borderId="1" xfId="0" applyFill="1" applyBorder="1"/>
    <xf numFmtId="0" fontId="5" fillId="9" borderId="1" xfId="0" applyFont="1" applyFill="1" applyBorder="1"/>
    <xf numFmtId="164" fontId="2" fillId="9" borderId="1" xfId="1" applyNumberFormat="1" applyFont="1" applyFill="1" applyBorder="1"/>
    <xf numFmtId="0" fontId="0" fillId="9" borderId="1" xfId="0" applyFill="1" applyBorder="1"/>
    <xf numFmtId="9" fontId="1" fillId="9" borderId="1" xfId="2" applyFont="1" applyFill="1" applyBorder="1"/>
    <xf numFmtId="0" fontId="1" fillId="4" borderId="0" xfId="0" applyFont="1" applyFill="1" applyBorder="1"/>
    <xf numFmtId="0" fontId="11" fillId="5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0" fontId="1" fillId="10" borderId="0" xfId="0" applyFont="1" applyFill="1" applyBorder="1"/>
    <xf numFmtId="0" fontId="1" fillId="11" borderId="0" xfId="0" applyFont="1" applyFill="1" applyBorder="1"/>
    <xf numFmtId="9" fontId="0" fillId="0" borderId="0" xfId="2" applyFont="1"/>
    <xf numFmtId="165" fontId="0" fillId="0" borderId="0" xfId="0" applyNumberFormat="1"/>
    <xf numFmtId="165" fontId="0" fillId="0" borderId="0" xfId="0" applyNumberFormat="1" applyBorder="1"/>
    <xf numFmtId="165" fontId="0" fillId="0" borderId="0" xfId="2" applyNumberFormat="1" applyFont="1"/>
    <xf numFmtId="9" fontId="0" fillId="0" borderId="0" xfId="2" applyNumberFormat="1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9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00FF"/>
      <color rgb="FF60497A"/>
      <color rgb="FF666699"/>
      <color rgb="FFCC6600"/>
      <color rgb="FF66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C1" workbookViewId="0">
      <selection sqref="A1:U29"/>
    </sheetView>
  </sheetViews>
  <sheetFormatPr defaultRowHeight="14.4" x14ac:dyDescent="0.3"/>
  <cols>
    <col min="2" max="2" width="15.5546875" customWidth="1"/>
    <col min="4" max="4" width="19.5546875" customWidth="1"/>
    <col min="5" max="5" width="14.109375" customWidth="1"/>
    <col min="6" max="6" width="16.6640625" customWidth="1"/>
  </cols>
  <sheetData>
    <row r="1" spans="1:21" x14ac:dyDescent="0.3">
      <c r="G1" s="156" t="s">
        <v>468</v>
      </c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</row>
    <row r="2" spans="1:21" x14ac:dyDescent="0.3">
      <c r="A2" s="156" t="s">
        <v>464</v>
      </c>
      <c r="B2" s="156"/>
      <c r="C2" s="156"/>
      <c r="D2" s="156"/>
      <c r="E2" s="156" t="s">
        <v>465</v>
      </c>
      <c r="F2" s="156"/>
      <c r="G2" s="158" t="s">
        <v>466</v>
      </c>
      <c r="H2" s="158"/>
      <c r="I2" s="158"/>
      <c r="J2" s="158"/>
      <c r="K2" s="158"/>
      <c r="L2" s="158"/>
      <c r="M2" s="158"/>
      <c r="N2" t="s">
        <v>56</v>
      </c>
      <c r="O2" s="157" t="s">
        <v>467</v>
      </c>
      <c r="P2" s="157"/>
      <c r="Q2" s="157"/>
      <c r="R2" s="157"/>
      <c r="S2" s="157"/>
      <c r="T2" s="157"/>
      <c r="U2" s="157"/>
    </row>
    <row r="3" spans="1:21" x14ac:dyDescent="0.3">
      <c r="A3" t="s">
        <v>460</v>
      </c>
      <c r="B3" t="s">
        <v>463</v>
      </c>
      <c r="C3" t="s">
        <v>461</v>
      </c>
      <c r="D3" t="s">
        <v>462</v>
      </c>
      <c r="E3" t="s">
        <v>477</v>
      </c>
      <c r="F3" t="s">
        <v>476</v>
      </c>
      <c r="G3" s="82" t="s">
        <v>39</v>
      </c>
      <c r="H3" s="82" t="s">
        <v>40</v>
      </c>
      <c r="I3" s="82" t="s">
        <v>41</v>
      </c>
      <c r="J3" s="82" t="s">
        <v>42</v>
      </c>
      <c r="K3" s="82" t="s">
        <v>43</v>
      </c>
      <c r="L3" s="82" t="s">
        <v>44</v>
      </c>
      <c r="M3" s="82" t="s">
        <v>45</v>
      </c>
      <c r="N3" t="s">
        <v>56</v>
      </c>
      <c r="O3" s="7" t="s">
        <v>23</v>
      </c>
      <c r="P3" s="7" t="s">
        <v>24</v>
      </c>
      <c r="Q3" s="7" t="s">
        <v>25</v>
      </c>
      <c r="R3" s="8" t="s">
        <v>20</v>
      </c>
      <c r="S3" s="10" t="s">
        <v>5</v>
      </c>
      <c r="T3" s="10" t="s">
        <v>12</v>
      </c>
      <c r="U3" s="10" t="s">
        <v>19</v>
      </c>
    </row>
    <row r="4" spans="1:21" x14ac:dyDescent="0.3">
      <c r="A4" s="141" t="s">
        <v>27</v>
      </c>
      <c r="B4" t="s">
        <v>425</v>
      </c>
      <c r="C4" t="s">
        <v>3</v>
      </c>
      <c r="D4" t="s">
        <v>425</v>
      </c>
      <c r="E4" s="151">
        <f>IF(Totals!C3/Totals!O3&gt;=1, 1, Totals!C3/Totals!O3)</f>
        <v>1</v>
      </c>
      <c r="F4" s="151">
        <f>1-E4</f>
        <v>0</v>
      </c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</row>
    <row r="5" spans="1:21" x14ac:dyDescent="0.3">
      <c r="A5" s="141" t="s">
        <v>27</v>
      </c>
      <c r="B5" t="s">
        <v>425</v>
      </c>
      <c r="C5" t="s">
        <v>4</v>
      </c>
      <c r="D5" t="s">
        <v>426</v>
      </c>
      <c r="E5" s="151">
        <f>IF(Totals!C4/Totals!O4&gt;=1, 1, Totals!C4/Totals!O4)</f>
        <v>1</v>
      </c>
      <c r="F5" s="151">
        <f t="shared" ref="F5:F29" si="0">1-E5</f>
        <v>0</v>
      </c>
      <c r="G5" s="152"/>
      <c r="H5" s="152"/>
      <c r="I5" s="152"/>
      <c r="J5" s="152"/>
      <c r="K5" s="152"/>
      <c r="L5" s="152"/>
      <c r="M5" s="152"/>
      <c r="N5" s="153"/>
      <c r="O5" s="152"/>
      <c r="P5" s="152"/>
      <c r="Q5" s="152"/>
      <c r="R5" s="152"/>
      <c r="S5" s="152"/>
      <c r="T5" s="152"/>
      <c r="U5" s="152"/>
    </row>
    <row r="6" spans="1:21" x14ac:dyDescent="0.3">
      <c r="A6" s="142" t="s">
        <v>8</v>
      </c>
      <c r="B6" t="s">
        <v>451</v>
      </c>
      <c r="C6" t="s">
        <v>8</v>
      </c>
      <c r="D6" t="s">
        <v>430</v>
      </c>
      <c r="E6" s="155">
        <f>IF(Totals!C5/Totals!O5&gt;=1, 1, Totals!C5/Totals!O5)</f>
        <v>0.98942293550012295</v>
      </c>
      <c r="F6" s="151">
        <f t="shared" si="0"/>
        <v>1.0577064499877054E-2</v>
      </c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</row>
    <row r="7" spans="1:21" x14ac:dyDescent="0.3">
      <c r="A7" s="143" t="s">
        <v>30</v>
      </c>
      <c r="B7" t="s">
        <v>452</v>
      </c>
      <c r="C7" t="s">
        <v>9</v>
      </c>
      <c r="D7" t="s">
        <v>431</v>
      </c>
      <c r="E7" s="151">
        <f>IF(Totals!C6/Totals!O6&gt;=1, 1, Totals!C6/Totals!O6)</f>
        <v>1</v>
      </c>
      <c r="F7" s="151">
        <f t="shared" si="0"/>
        <v>0</v>
      </c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</row>
    <row r="8" spans="1:21" x14ac:dyDescent="0.3">
      <c r="A8" s="143" t="s">
        <v>30</v>
      </c>
      <c r="B8" t="s">
        <v>452</v>
      </c>
      <c r="C8" t="s">
        <v>31</v>
      </c>
      <c r="D8" t="s">
        <v>432</v>
      </c>
      <c r="E8" s="151">
        <f>IF(Totals!C7/Totals!O7&gt;=1, 1, Totals!C7/Totals!O7)</f>
        <v>1</v>
      </c>
      <c r="F8" s="151">
        <f t="shared" si="0"/>
        <v>0</v>
      </c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</row>
    <row r="9" spans="1:21" x14ac:dyDescent="0.3">
      <c r="A9" s="144" t="s">
        <v>33</v>
      </c>
      <c r="B9" t="s">
        <v>453</v>
      </c>
      <c r="C9" t="s">
        <v>32</v>
      </c>
      <c r="D9" t="s">
        <v>433</v>
      </c>
      <c r="E9" s="151">
        <f>IF(Totals!C8/Totals!O8&gt;=1, 1, Totals!C8/Totals!O8)</f>
        <v>0.96847386627010246</v>
      </c>
      <c r="F9" s="151">
        <f t="shared" si="0"/>
        <v>3.1526133729897543E-2</v>
      </c>
      <c r="G9" s="152"/>
      <c r="H9" s="152"/>
      <c r="I9" s="154">
        <v>4.066930048803161E-3</v>
      </c>
      <c r="J9" s="154">
        <v>0.99593306995119679</v>
      </c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</row>
    <row r="10" spans="1:21" x14ac:dyDescent="0.3">
      <c r="A10" s="144" t="s">
        <v>33</v>
      </c>
      <c r="B10" t="s">
        <v>453</v>
      </c>
      <c r="C10" t="s">
        <v>10</v>
      </c>
      <c r="D10" t="s">
        <v>434</v>
      </c>
      <c r="E10" s="151">
        <f>IF(Totals!C9/Totals!O9&gt;=1, 1, Totals!C9/Totals!O9)</f>
        <v>0.96536053329419147</v>
      </c>
      <c r="F10" s="151">
        <f t="shared" si="0"/>
        <v>3.463946670580853E-2</v>
      </c>
      <c r="G10" s="152"/>
      <c r="H10" s="152"/>
      <c r="I10" s="154">
        <v>4.066930048803161E-3</v>
      </c>
      <c r="J10" s="154">
        <v>0.99593306995119679</v>
      </c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</row>
    <row r="11" spans="1:21" x14ac:dyDescent="0.3">
      <c r="A11" s="145" t="s">
        <v>35</v>
      </c>
      <c r="B11" t="s">
        <v>454</v>
      </c>
      <c r="C11" t="s">
        <v>11</v>
      </c>
      <c r="D11" t="s">
        <v>435</v>
      </c>
      <c r="E11" s="151">
        <f>IF(Totals!C10/Totals!O10&gt;=1, 1, Totals!C10/Totals!O10)</f>
        <v>0.82997687625982741</v>
      </c>
      <c r="F11" s="151">
        <f t="shared" si="0"/>
        <v>0.17002312374017259</v>
      </c>
      <c r="G11" s="152"/>
      <c r="H11" s="152"/>
      <c r="I11" s="152"/>
      <c r="J11" s="152"/>
      <c r="K11" s="152">
        <v>0.4</v>
      </c>
      <c r="L11" s="152">
        <v>0.55000000000000004</v>
      </c>
      <c r="M11" s="152">
        <v>0.05</v>
      </c>
      <c r="N11" s="152"/>
      <c r="O11" s="152"/>
      <c r="P11" s="152"/>
      <c r="Q11" s="152"/>
      <c r="R11" s="152"/>
      <c r="S11" s="152"/>
      <c r="T11" s="152"/>
      <c r="U11" s="152"/>
    </row>
    <row r="12" spans="1:21" x14ac:dyDescent="0.3">
      <c r="A12" s="145" t="s">
        <v>35</v>
      </c>
      <c r="B12" t="s">
        <v>454</v>
      </c>
      <c r="C12" t="s">
        <v>13</v>
      </c>
      <c r="D12" t="s">
        <v>437</v>
      </c>
      <c r="E12" s="151">
        <f>IF(Totals!C11/Totals!O11&gt;=1, 1, Totals!C11/Totals!O11)</f>
        <v>0.64950978302617068</v>
      </c>
      <c r="F12" s="151">
        <f t="shared" si="0"/>
        <v>0.35049021697382932</v>
      </c>
      <c r="G12" s="152"/>
      <c r="H12" s="152"/>
      <c r="I12" s="152"/>
      <c r="J12" s="152"/>
      <c r="K12" s="152">
        <v>0.4</v>
      </c>
      <c r="L12" s="152">
        <v>0.55000000000000004</v>
      </c>
      <c r="M12" s="152">
        <v>0.05</v>
      </c>
      <c r="N12" s="152"/>
      <c r="O12" s="152"/>
      <c r="P12" s="152"/>
      <c r="Q12" s="152"/>
      <c r="R12" s="152"/>
      <c r="S12" s="152"/>
      <c r="T12" s="152"/>
      <c r="U12" s="152"/>
    </row>
    <row r="13" spans="1:21" x14ac:dyDescent="0.3">
      <c r="A13" s="145" t="s">
        <v>35</v>
      </c>
      <c r="B13" t="s">
        <v>454</v>
      </c>
      <c r="C13" t="s">
        <v>14</v>
      </c>
      <c r="D13" t="s">
        <v>438</v>
      </c>
      <c r="E13" s="151">
        <f>IF(Totals!C12/Totals!O12&gt;=1, 1, Totals!C12/Totals!O12)</f>
        <v>0.85502609032650656</v>
      </c>
      <c r="F13" s="151">
        <f t="shared" si="0"/>
        <v>0.14497390967349344</v>
      </c>
      <c r="G13" s="152"/>
      <c r="H13" s="152"/>
      <c r="I13" s="152"/>
      <c r="J13" s="152"/>
      <c r="K13" s="152">
        <v>0.4</v>
      </c>
      <c r="L13" s="152">
        <v>0.55000000000000004</v>
      </c>
      <c r="M13" s="152">
        <v>0.05</v>
      </c>
      <c r="N13" s="152"/>
      <c r="O13" s="152"/>
      <c r="P13" s="152"/>
      <c r="Q13" s="152"/>
      <c r="R13" s="152"/>
      <c r="S13" s="152"/>
      <c r="T13" s="152"/>
      <c r="U13" s="152"/>
    </row>
    <row r="14" spans="1:21" x14ac:dyDescent="0.3">
      <c r="A14" s="145" t="s">
        <v>35</v>
      </c>
      <c r="B14" t="s">
        <v>454</v>
      </c>
      <c r="C14" t="s">
        <v>15</v>
      </c>
      <c r="D14" t="s">
        <v>439</v>
      </c>
      <c r="E14" s="151">
        <f>IF(Totals!C13/Totals!O13&gt;=1, 1, Totals!C13/Totals!O13)</f>
        <v>0.85502609032650656</v>
      </c>
      <c r="F14" s="151">
        <f t="shared" si="0"/>
        <v>0.14497390967349344</v>
      </c>
      <c r="G14" s="152"/>
      <c r="H14" s="152"/>
      <c r="I14" s="152"/>
      <c r="J14" s="152"/>
      <c r="K14" s="152">
        <v>0.4</v>
      </c>
      <c r="L14" s="152">
        <v>0.55000000000000004</v>
      </c>
      <c r="M14" s="152">
        <v>0.05</v>
      </c>
      <c r="N14" s="152"/>
      <c r="O14" s="152"/>
      <c r="P14" s="152"/>
      <c r="Q14" s="152"/>
      <c r="R14" s="152"/>
      <c r="S14" s="152"/>
      <c r="T14" s="152"/>
      <c r="U14" s="152"/>
    </row>
    <row r="15" spans="1:21" x14ac:dyDescent="0.3">
      <c r="A15" s="146" t="s">
        <v>34</v>
      </c>
      <c r="B15" t="s">
        <v>455</v>
      </c>
      <c r="C15" t="s">
        <v>16</v>
      </c>
      <c r="D15" t="s">
        <v>440</v>
      </c>
      <c r="E15" s="151">
        <f>IF(Totals!C14/Totals!O14&gt;=1, 1, Totals!C14/Totals!O14)</f>
        <v>0.97967953704898292</v>
      </c>
      <c r="F15" s="151">
        <f t="shared" si="0"/>
        <v>2.0320462951017082E-2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</row>
    <row r="16" spans="1:21" x14ac:dyDescent="0.3">
      <c r="A16" s="146" t="s">
        <v>34</v>
      </c>
      <c r="B16" t="s">
        <v>455</v>
      </c>
      <c r="C16" t="s">
        <v>17</v>
      </c>
      <c r="D16" t="s">
        <v>441</v>
      </c>
      <c r="E16" s="151">
        <f>IF(Totals!C15/Totals!O15&gt;=1, 1, Totals!C15/Totals!O15)</f>
        <v>1</v>
      </c>
      <c r="F16" s="151">
        <f t="shared" si="0"/>
        <v>0</v>
      </c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</row>
    <row r="17" spans="1:21" x14ac:dyDescent="0.3">
      <c r="A17" s="146" t="s">
        <v>34</v>
      </c>
      <c r="B17" t="s">
        <v>455</v>
      </c>
      <c r="C17" t="s">
        <v>18</v>
      </c>
      <c r="D17" t="s">
        <v>442</v>
      </c>
      <c r="E17" s="151">
        <f>IF(Totals!C16/Totals!O16&gt;=1, 1, Totals!C16/Totals!O16)</f>
        <v>0.98559833688562515</v>
      </c>
      <c r="F17" s="151">
        <f t="shared" si="0"/>
        <v>1.4401663114374852E-2</v>
      </c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</row>
    <row r="18" spans="1:21" x14ac:dyDescent="0.3">
      <c r="A18" s="147" t="s">
        <v>37</v>
      </c>
      <c r="B18" t="s">
        <v>456</v>
      </c>
      <c r="C18" t="s">
        <v>22</v>
      </c>
      <c r="D18" t="s">
        <v>446</v>
      </c>
      <c r="E18" s="151">
        <f>IF(Totals!C17/Totals!O17&gt;=1, 1, Totals!C17/Totals!O17)</f>
        <v>1</v>
      </c>
      <c r="F18" s="151">
        <f t="shared" si="0"/>
        <v>0</v>
      </c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</row>
    <row r="19" spans="1:21" x14ac:dyDescent="0.3">
      <c r="A19" s="147" t="s">
        <v>37</v>
      </c>
      <c r="B19" t="s">
        <v>456</v>
      </c>
      <c r="C19" t="s">
        <v>23</v>
      </c>
      <c r="D19" t="s">
        <v>447</v>
      </c>
      <c r="E19" s="151">
        <f>IF(Totals!C18/Totals!O18&gt;=1, 1, Totals!C18/Totals!O18)</f>
        <v>1</v>
      </c>
      <c r="F19" s="151">
        <f t="shared" si="0"/>
        <v>0</v>
      </c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</row>
    <row r="20" spans="1:21" x14ac:dyDescent="0.3">
      <c r="A20" s="147" t="s">
        <v>37</v>
      </c>
      <c r="B20" t="s">
        <v>456</v>
      </c>
      <c r="C20" t="s">
        <v>24</v>
      </c>
      <c r="D20" t="s">
        <v>448</v>
      </c>
      <c r="E20" s="151">
        <f>IF(Totals!C19/Totals!O19&gt;=1, 1, Totals!C19/Totals!O19)</f>
        <v>1</v>
      </c>
      <c r="F20" s="151">
        <f t="shared" si="0"/>
        <v>0</v>
      </c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</row>
    <row r="21" spans="1:21" x14ac:dyDescent="0.3">
      <c r="A21" s="147" t="s">
        <v>37</v>
      </c>
      <c r="B21" t="s">
        <v>456</v>
      </c>
      <c r="C21" t="s">
        <v>25</v>
      </c>
      <c r="D21" t="s">
        <v>449</v>
      </c>
      <c r="E21" s="151">
        <f>IF(Totals!C20/Totals!O20&gt;=1, 1, Totals!C20/Totals!O20)</f>
        <v>1</v>
      </c>
      <c r="F21" s="151">
        <f t="shared" si="0"/>
        <v>0</v>
      </c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</row>
    <row r="22" spans="1:21" x14ac:dyDescent="0.3">
      <c r="A22" s="147" t="s">
        <v>37</v>
      </c>
      <c r="B22" t="s">
        <v>456</v>
      </c>
      <c r="C22" t="s">
        <v>26</v>
      </c>
      <c r="D22" t="s">
        <v>450</v>
      </c>
      <c r="E22" s="151">
        <f>IF(Totals!C21/Totals!O21&gt;=1, 1, Totals!C21/Totals!O21)</f>
        <v>0.99031843912838846</v>
      </c>
      <c r="F22" s="151">
        <f t="shared" si="0"/>
        <v>9.6815608716115387E-3</v>
      </c>
      <c r="G22" s="152"/>
      <c r="H22" s="152"/>
      <c r="I22" s="152"/>
      <c r="J22" s="152"/>
      <c r="K22" s="152"/>
      <c r="L22" s="152"/>
      <c r="M22" s="152"/>
      <c r="N22" s="152"/>
      <c r="O22" s="152">
        <v>0.13428262071356839</v>
      </c>
      <c r="P22" s="152">
        <v>0.2311990809104881</v>
      </c>
      <c r="Q22" s="152">
        <v>0.63451829837594353</v>
      </c>
      <c r="R22" s="152"/>
      <c r="S22" s="152"/>
      <c r="T22" s="152"/>
      <c r="U22" s="152"/>
    </row>
    <row r="23" spans="1:21" x14ac:dyDescent="0.3">
      <c r="A23" s="148" t="s">
        <v>36</v>
      </c>
      <c r="B23" t="s">
        <v>457</v>
      </c>
      <c r="C23" t="s">
        <v>20</v>
      </c>
      <c r="D23" t="s">
        <v>444</v>
      </c>
      <c r="E23" s="151">
        <f>IF(Totals!C22/Totals!O22&gt;=1, 1, Totals!C22/Totals!O22)</f>
        <v>0.98730462008093378</v>
      </c>
      <c r="F23" s="151">
        <f t="shared" si="0"/>
        <v>1.2695379919066219E-2</v>
      </c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4">
        <v>1</v>
      </c>
      <c r="S23" s="152"/>
      <c r="T23" s="152"/>
      <c r="U23" s="152"/>
    </row>
    <row r="24" spans="1:21" x14ac:dyDescent="0.3">
      <c r="A24" s="148" t="s">
        <v>36</v>
      </c>
      <c r="B24" t="s">
        <v>457</v>
      </c>
      <c r="C24" t="s">
        <v>21</v>
      </c>
      <c r="D24" t="s">
        <v>445</v>
      </c>
      <c r="E24" s="151">
        <f>IF(Totals!C23/Totals!O23&gt;=1, 1, Totals!C23/Totals!O23)</f>
        <v>1</v>
      </c>
      <c r="F24" s="151">
        <f t="shared" si="0"/>
        <v>0</v>
      </c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4"/>
      <c r="S24" s="152"/>
      <c r="T24" s="152"/>
      <c r="U24" s="152"/>
    </row>
    <row r="25" spans="1:21" x14ac:dyDescent="0.3">
      <c r="A25" s="149" t="s">
        <v>29</v>
      </c>
      <c r="B25" t="s">
        <v>458</v>
      </c>
      <c r="C25" t="s">
        <v>7</v>
      </c>
      <c r="D25" t="s">
        <v>429</v>
      </c>
      <c r="E25" s="151">
        <f>IF(Totals!C24/Totals!O24&gt;=1, 1, Totals!C24/Totals!O24)</f>
        <v>1</v>
      </c>
      <c r="F25" s="151">
        <f t="shared" si="0"/>
        <v>0</v>
      </c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</row>
    <row r="26" spans="1:21" x14ac:dyDescent="0.3">
      <c r="A26" s="150" t="s">
        <v>28</v>
      </c>
      <c r="B26" t="s">
        <v>459</v>
      </c>
      <c r="C26" t="s">
        <v>5</v>
      </c>
      <c r="D26" t="s">
        <v>427</v>
      </c>
      <c r="E26" s="151">
        <f>IF(Totals!C25/Totals!O25&gt;=1, 1, Totals!C25/Totals!O25)</f>
        <v>1</v>
      </c>
      <c r="F26" s="151">
        <f t="shared" si="0"/>
        <v>0</v>
      </c>
      <c r="G26" s="154"/>
      <c r="H26" s="154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4"/>
      <c r="T26" s="154"/>
      <c r="U26" s="154"/>
    </row>
    <row r="27" spans="1:21" x14ac:dyDescent="0.3">
      <c r="A27" s="150" t="s">
        <v>28</v>
      </c>
      <c r="B27" t="s">
        <v>459</v>
      </c>
      <c r="C27" t="s">
        <v>6</v>
      </c>
      <c r="D27" t="s">
        <v>428</v>
      </c>
      <c r="E27" s="151">
        <f>IF(Totals!C26/Totals!O26&gt;=1, 1, Totals!C26/Totals!O26)</f>
        <v>0.71452048457503836</v>
      </c>
      <c r="F27" s="151">
        <f t="shared" si="0"/>
        <v>0.28547951542496164</v>
      </c>
      <c r="G27" s="154">
        <v>9.1497658921968275E-2</v>
      </c>
      <c r="H27" s="154">
        <v>6.4339124596921569E-4</v>
      </c>
      <c r="I27" s="152"/>
      <c r="J27" s="152"/>
      <c r="K27" s="152"/>
      <c r="L27" s="152"/>
      <c r="M27" s="152"/>
      <c r="N27" s="152">
        <v>1.1822314144684338E-2</v>
      </c>
      <c r="O27" s="152"/>
      <c r="P27" s="152"/>
      <c r="Q27" s="152"/>
      <c r="R27" s="152"/>
      <c r="S27" s="154">
        <v>0.28861313799975108</v>
      </c>
      <c r="T27" s="154">
        <v>0.51082351109986002</v>
      </c>
      <c r="U27" s="154">
        <v>9.6599986587767098E-2</v>
      </c>
    </row>
    <row r="28" spans="1:21" x14ac:dyDescent="0.3">
      <c r="A28" s="150" t="s">
        <v>28</v>
      </c>
      <c r="B28" t="s">
        <v>459</v>
      </c>
      <c r="C28" t="s">
        <v>12</v>
      </c>
      <c r="D28" t="s">
        <v>436</v>
      </c>
      <c r="E28" s="151">
        <f>IF(Totals!C27/Totals!O27&gt;=1, 1, Totals!C27/Totals!O27)</f>
        <v>1</v>
      </c>
      <c r="F28" s="151">
        <f t="shared" si="0"/>
        <v>0</v>
      </c>
      <c r="G28" s="154"/>
      <c r="H28" s="154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4"/>
      <c r="T28" s="154"/>
      <c r="U28" s="154"/>
    </row>
    <row r="29" spans="1:21" x14ac:dyDescent="0.3">
      <c r="A29" s="150" t="s">
        <v>28</v>
      </c>
      <c r="B29" t="s">
        <v>459</v>
      </c>
      <c r="C29" t="s">
        <v>19</v>
      </c>
      <c r="D29" t="s">
        <v>443</v>
      </c>
      <c r="E29" s="151">
        <f>IF(Totals!C28/Totals!O28&gt;=1, 1, Totals!C28/Totals!O28)</f>
        <v>1</v>
      </c>
      <c r="F29" s="151">
        <f t="shared" si="0"/>
        <v>0</v>
      </c>
      <c r="G29" s="154"/>
      <c r="H29" s="154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4"/>
      <c r="T29" s="154"/>
      <c r="U29" s="154"/>
    </row>
    <row r="35" spans="2:7" x14ac:dyDescent="0.3">
      <c r="B35" t="s">
        <v>478</v>
      </c>
      <c r="C35" t="s">
        <v>474</v>
      </c>
    </row>
    <row r="36" spans="2:7" x14ac:dyDescent="0.3">
      <c r="B36" t="s">
        <v>479</v>
      </c>
      <c r="C36" t="s">
        <v>475</v>
      </c>
    </row>
    <row r="37" spans="2:7" x14ac:dyDescent="0.3">
      <c r="B37" t="s">
        <v>480</v>
      </c>
      <c r="C37" t="s">
        <v>473</v>
      </c>
    </row>
    <row r="38" spans="2:7" x14ac:dyDescent="0.3">
      <c r="D38" t="s">
        <v>469</v>
      </c>
    </row>
    <row r="39" spans="2:7" x14ac:dyDescent="0.3">
      <c r="E39" t="s">
        <v>472</v>
      </c>
    </row>
    <row r="40" spans="2:7" x14ac:dyDescent="0.3">
      <c r="D40" t="s">
        <v>470</v>
      </c>
    </row>
    <row r="41" spans="2:7" x14ac:dyDescent="0.3">
      <c r="E41" t="s">
        <v>471</v>
      </c>
    </row>
    <row r="42" spans="2:7" x14ac:dyDescent="0.3">
      <c r="F42" t="s">
        <v>482</v>
      </c>
    </row>
    <row r="43" spans="2:7" x14ac:dyDescent="0.3">
      <c r="G43" t="s">
        <v>481</v>
      </c>
    </row>
    <row r="44" spans="2:7" x14ac:dyDescent="0.3">
      <c r="F44" t="s">
        <v>483</v>
      </c>
    </row>
    <row r="45" spans="2:7" x14ac:dyDescent="0.3">
      <c r="G45" t="s">
        <v>484</v>
      </c>
    </row>
  </sheetData>
  <autoFilter ref="A3:F3"/>
  <mergeCells count="5">
    <mergeCell ref="A2:D2"/>
    <mergeCell ref="E2:F2"/>
    <mergeCell ref="O2:U2"/>
    <mergeCell ref="G2:M2"/>
    <mergeCell ref="G1:U1"/>
  </mergeCells>
  <conditionalFormatting sqref="F4:F29">
    <cfRule type="colorScale" priority="2">
      <colorScale>
        <cfvo type="min"/>
        <cfvo type="max"/>
        <color rgb="FFFCFCFF"/>
        <color rgb="FFF8696B"/>
      </colorScale>
    </cfRule>
  </conditionalFormatting>
  <conditionalFormatting sqref="G4:U29">
    <cfRule type="containsBlanks" dxfId="3" priority="1">
      <formula>LEN(TRIM(G4))=0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0"/>
  <sheetViews>
    <sheetView workbookViewId="0">
      <selection activeCell="D20" sqref="D20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36.44140625" bestFit="1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9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9" x14ac:dyDescent="0.3">
      <c r="A2" s="28">
        <v>257</v>
      </c>
      <c r="B2" s="55" t="s">
        <v>36</v>
      </c>
      <c r="C2" s="56" t="s">
        <v>173</v>
      </c>
      <c r="D2" s="50" t="s">
        <v>174</v>
      </c>
      <c r="E2" s="50"/>
      <c r="F2" s="28">
        <v>253287</v>
      </c>
      <c r="G2" s="28">
        <v>13050</v>
      </c>
      <c r="H2" s="59" t="s">
        <v>36</v>
      </c>
      <c r="I2" s="59" t="s">
        <v>21</v>
      </c>
    </row>
    <row r="3" spans="1:9" x14ac:dyDescent="0.3">
      <c r="A3" s="28">
        <v>257</v>
      </c>
      <c r="B3" s="55" t="s">
        <v>36</v>
      </c>
      <c r="C3" s="56" t="s">
        <v>20</v>
      </c>
      <c r="D3" s="57" t="s">
        <v>175</v>
      </c>
      <c r="E3" s="57"/>
      <c r="F3" s="28">
        <v>33639</v>
      </c>
      <c r="G3" s="28">
        <v>13290</v>
      </c>
      <c r="H3" s="65" t="s">
        <v>28</v>
      </c>
      <c r="I3" s="65" t="s">
        <v>19</v>
      </c>
    </row>
    <row r="4" spans="1:9" x14ac:dyDescent="0.3">
      <c r="A4" s="28">
        <v>257</v>
      </c>
      <c r="B4" s="55" t="s">
        <v>36</v>
      </c>
      <c r="C4" s="56" t="s">
        <v>20</v>
      </c>
      <c r="D4" s="57" t="s">
        <v>176</v>
      </c>
      <c r="E4" s="57">
        <v>273</v>
      </c>
      <c r="F4" s="28">
        <v>12100</v>
      </c>
      <c r="G4" s="28">
        <v>83005</v>
      </c>
      <c r="H4" s="65" t="s">
        <v>28</v>
      </c>
      <c r="I4" s="65" t="s">
        <v>19</v>
      </c>
    </row>
    <row r="5" spans="1:9" x14ac:dyDescent="0.3">
      <c r="A5" s="28">
        <v>257</v>
      </c>
      <c r="B5" s="55" t="s">
        <v>36</v>
      </c>
      <c r="C5" s="56" t="s">
        <v>173</v>
      </c>
      <c r="D5" s="50" t="s">
        <v>177</v>
      </c>
      <c r="E5" s="50">
        <v>258</v>
      </c>
      <c r="F5" s="28">
        <v>1924873</v>
      </c>
      <c r="G5" s="28">
        <v>540934</v>
      </c>
      <c r="H5" s="59" t="s">
        <v>36</v>
      </c>
      <c r="I5" s="59" t="s">
        <v>21</v>
      </c>
    </row>
    <row r="6" spans="1:9" x14ac:dyDescent="0.3">
      <c r="A6" s="28">
        <v>257</v>
      </c>
      <c r="B6" s="55" t="s">
        <v>36</v>
      </c>
      <c r="C6" s="56" t="s">
        <v>173</v>
      </c>
      <c r="D6" s="78" t="s">
        <v>137</v>
      </c>
      <c r="E6" s="78">
        <v>321</v>
      </c>
      <c r="F6" s="78">
        <v>1421261</v>
      </c>
      <c r="G6" s="78">
        <v>1711525</v>
      </c>
    </row>
    <row r="7" spans="1:9" x14ac:dyDescent="0.3">
      <c r="A7" s="28">
        <v>257</v>
      </c>
      <c r="B7" s="55" t="s">
        <v>36</v>
      </c>
      <c r="C7" s="56" t="s">
        <v>20</v>
      </c>
      <c r="D7" s="32" t="s">
        <v>178</v>
      </c>
      <c r="E7" s="32">
        <v>272</v>
      </c>
      <c r="F7" s="28">
        <v>2508865</v>
      </c>
      <c r="G7" s="28">
        <v>1732279</v>
      </c>
      <c r="H7" s="33" t="s">
        <v>33</v>
      </c>
      <c r="I7" s="33" t="s">
        <v>10</v>
      </c>
    </row>
    <row r="8" spans="1:9" x14ac:dyDescent="0.3">
      <c r="A8" s="28">
        <v>257</v>
      </c>
      <c r="B8" s="55" t="s">
        <v>36</v>
      </c>
      <c r="C8" s="56" t="s">
        <v>21</v>
      </c>
      <c r="D8" s="58" t="s">
        <v>179</v>
      </c>
      <c r="E8" s="58"/>
      <c r="F8" s="28">
        <v>58049</v>
      </c>
      <c r="G8" s="28">
        <v>2029865</v>
      </c>
      <c r="H8" s="60" t="s">
        <v>29</v>
      </c>
      <c r="I8" s="60" t="s">
        <v>7</v>
      </c>
    </row>
    <row r="9" spans="1:9" x14ac:dyDescent="0.3">
      <c r="A9" s="28">
        <v>257</v>
      </c>
      <c r="B9" s="55" t="s">
        <v>36</v>
      </c>
      <c r="C9" s="56" t="s">
        <v>173</v>
      </c>
      <c r="D9" s="48" t="s">
        <v>148</v>
      </c>
      <c r="E9" s="48">
        <v>118</v>
      </c>
      <c r="F9" s="28">
        <v>2029929</v>
      </c>
      <c r="G9" s="28">
        <v>2271122</v>
      </c>
      <c r="H9" s="49" t="s">
        <v>37</v>
      </c>
      <c r="I9" s="49" t="s">
        <v>23</v>
      </c>
    </row>
    <row r="10" spans="1:9" x14ac:dyDescent="0.3">
      <c r="A10" s="50">
        <v>258</v>
      </c>
      <c r="B10" s="59" t="s">
        <v>36</v>
      </c>
      <c r="C10" s="59" t="s">
        <v>21</v>
      </c>
      <c r="D10" s="26" t="s">
        <v>137</v>
      </c>
      <c r="E10" s="26">
        <v>321</v>
      </c>
      <c r="F10" s="26">
        <v>1697377</v>
      </c>
      <c r="G10" s="26">
        <v>3320327</v>
      </c>
      <c r="H10" t="s">
        <v>419</v>
      </c>
    </row>
    <row r="11" spans="1:9" x14ac:dyDescent="0.3">
      <c r="A11" s="50">
        <v>258</v>
      </c>
      <c r="B11" s="59" t="s">
        <v>36</v>
      </c>
      <c r="C11" s="59" t="s">
        <v>21</v>
      </c>
      <c r="D11" s="48" t="s">
        <v>148</v>
      </c>
      <c r="E11" s="48">
        <v>118</v>
      </c>
      <c r="F11" s="28">
        <v>3807475</v>
      </c>
      <c r="G11" s="28">
        <v>4501235</v>
      </c>
      <c r="H11" s="49" t="s">
        <v>37</v>
      </c>
      <c r="I11" s="49" t="s">
        <v>23</v>
      </c>
    </row>
    <row r="12" spans="1:9" x14ac:dyDescent="0.3">
      <c r="A12" s="50">
        <v>258</v>
      </c>
      <c r="B12" s="59" t="s">
        <v>36</v>
      </c>
      <c r="C12" s="59" t="s">
        <v>21</v>
      </c>
      <c r="D12" s="26" t="s">
        <v>180</v>
      </c>
      <c r="E12" s="26">
        <v>257</v>
      </c>
      <c r="F12" s="26">
        <v>3382727</v>
      </c>
      <c r="G12" s="26">
        <v>4652557</v>
      </c>
      <c r="H12" t="s">
        <v>419</v>
      </c>
    </row>
    <row r="14" spans="1:9" x14ac:dyDescent="0.3">
      <c r="A14" s="28">
        <v>321</v>
      </c>
      <c r="B14" s="59" t="s">
        <v>36</v>
      </c>
      <c r="C14" s="59" t="s">
        <v>21</v>
      </c>
      <c r="D14" s="136" t="s">
        <v>421</v>
      </c>
      <c r="E14" s="136">
        <v>188</v>
      </c>
      <c r="F14" s="28">
        <v>285009</v>
      </c>
      <c r="G14" s="28">
        <v>28204</v>
      </c>
      <c r="H14" s="136" t="s">
        <v>36</v>
      </c>
      <c r="I14" s="136" t="s">
        <v>20</v>
      </c>
    </row>
    <row r="15" spans="1:9" x14ac:dyDescent="0.3">
      <c r="A15" s="28">
        <v>321</v>
      </c>
      <c r="B15" s="59" t="s">
        <v>36</v>
      </c>
      <c r="C15" s="59" t="s">
        <v>21</v>
      </c>
      <c r="D15" s="136" t="s">
        <v>422</v>
      </c>
      <c r="E15" s="136">
        <v>113</v>
      </c>
      <c r="F15" s="28">
        <v>75182</v>
      </c>
      <c r="G15" s="28">
        <v>47870</v>
      </c>
      <c r="H15" s="136" t="s">
        <v>36</v>
      </c>
      <c r="I15" s="136" t="s">
        <v>20</v>
      </c>
    </row>
    <row r="16" spans="1:9" x14ac:dyDescent="0.3">
      <c r="A16" s="28">
        <v>321</v>
      </c>
      <c r="B16" s="59" t="s">
        <v>36</v>
      </c>
      <c r="C16" s="59" t="s">
        <v>21</v>
      </c>
      <c r="D16" s="136" t="s">
        <v>423</v>
      </c>
      <c r="E16" s="136">
        <v>190</v>
      </c>
      <c r="F16" s="28">
        <v>21551</v>
      </c>
      <c r="G16" s="28">
        <v>166974</v>
      </c>
      <c r="H16" s="136" t="s">
        <v>36</v>
      </c>
      <c r="I16" s="136" t="s">
        <v>20</v>
      </c>
    </row>
    <row r="17" spans="1:8" x14ac:dyDescent="0.3">
      <c r="A17" s="28">
        <v>321</v>
      </c>
      <c r="B17" s="59" t="s">
        <v>36</v>
      </c>
      <c r="C17" s="59" t="s">
        <v>21</v>
      </c>
      <c r="D17" s="50" t="s">
        <v>177</v>
      </c>
      <c r="E17" s="50">
        <v>258</v>
      </c>
      <c r="F17" s="26">
        <v>3320327</v>
      </c>
      <c r="G17" s="26">
        <v>1697377</v>
      </c>
      <c r="H17" t="s">
        <v>419</v>
      </c>
    </row>
    <row r="18" spans="1:8" x14ac:dyDescent="0.3">
      <c r="A18" s="28">
        <v>321</v>
      </c>
      <c r="B18" s="59" t="s">
        <v>36</v>
      </c>
      <c r="C18" s="59" t="s">
        <v>21</v>
      </c>
      <c r="D18" s="50" t="s">
        <v>360</v>
      </c>
      <c r="E18" s="50">
        <v>259</v>
      </c>
      <c r="F18" s="26">
        <v>0</v>
      </c>
      <c r="G18" s="26">
        <v>124033</v>
      </c>
      <c r="H18" t="s">
        <v>419</v>
      </c>
    </row>
    <row r="19" spans="1:8" x14ac:dyDescent="0.3">
      <c r="A19" s="28">
        <v>321</v>
      </c>
      <c r="B19" s="59" t="s">
        <v>36</v>
      </c>
      <c r="C19" s="59" t="s">
        <v>21</v>
      </c>
      <c r="D19" s="133" t="s">
        <v>363</v>
      </c>
      <c r="E19" s="133">
        <v>220</v>
      </c>
      <c r="F19" s="26">
        <v>22333</v>
      </c>
      <c r="G19" s="26">
        <v>430385</v>
      </c>
      <c r="H19" t="s">
        <v>419</v>
      </c>
    </row>
    <row r="20" spans="1:8" x14ac:dyDescent="0.3">
      <c r="A20" s="78">
        <v>321</v>
      </c>
      <c r="B20" s="78" t="s">
        <v>354</v>
      </c>
      <c r="C20" s="56" t="s">
        <v>355</v>
      </c>
      <c r="D20" s="78" t="s">
        <v>180</v>
      </c>
      <c r="E20" s="78">
        <v>257</v>
      </c>
      <c r="F20" s="78">
        <v>13101647</v>
      </c>
      <c r="G20" s="78">
        <v>12893796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"/>
  <sheetViews>
    <sheetView workbookViewId="0">
      <selection activeCell="B4" sqref="B4:C4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38.33203125" bestFit="1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8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8" x14ac:dyDescent="0.3">
      <c r="A2" s="58">
        <v>165</v>
      </c>
      <c r="B2" s="60" t="s">
        <v>29</v>
      </c>
      <c r="C2" s="60" t="s">
        <v>7</v>
      </c>
      <c r="D2" s="35" t="s">
        <v>181</v>
      </c>
      <c r="E2" s="28"/>
      <c r="F2" s="28">
        <v>12886</v>
      </c>
      <c r="G2" s="28">
        <v>437366</v>
      </c>
    </row>
    <row r="3" spans="1:8" x14ac:dyDescent="0.3">
      <c r="A3" s="58">
        <v>165</v>
      </c>
      <c r="B3" s="60" t="s">
        <v>29</v>
      </c>
      <c r="C3" s="60" t="s">
        <v>7</v>
      </c>
      <c r="D3" s="26" t="s">
        <v>111</v>
      </c>
      <c r="E3" s="26">
        <v>257</v>
      </c>
      <c r="F3" s="26">
        <v>2145909</v>
      </c>
      <c r="G3" s="26">
        <v>530896</v>
      </c>
      <c r="H3" t="s">
        <v>419</v>
      </c>
    </row>
    <row r="4" spans="1:8" x14ac:dyDescent="0.3">
      <c r="A4" s="58">
        <v>323</v>
      </c>
      <c r="B4" s="60" t="s">
        <v>29</v>
      </c>
      <c r="C4" s="60" t="s">
        <v>7</v>
      </c>
      <c r="D4" s="58" t="s">
        <v>182</v>
      </c>
      <c r="E4" s="58">
        <v>323</v>
      </c>
      <c r="F4" s="28">
        <v>0</v>
      </c>
      <c r="G4" s="28">
        <v>3102311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215"/>
  <sheetViews>
    <sheetView topLeftCell="B172" workbookViewId="0">
      <selection activeCell="D74" sqref="D74:I75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46.109375" bestFit="1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9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9" x14ac:dyDescent="0.3">
      <c r="A2" s="62">
        <v>236</v>
      </c>
      <c r="B2" s="63" t="s">
        <v>28</v>
      </c>
      <c r="C2" s="63" t="s">
        <v>5</v>
      </c>
      <c r="D2" s="62" t="s">
        <v>183</v>
      </c>
      <c r="E2" s="62">
        <v>244</v>
      </c>
      <c r="F2" s="28">
        <v>82024</v>
      </c>
      <c r="G2" s="28">
        <v>0</v>
      </c>
    </row>
    <row r="3" spans="1:9" x14ac:dyDescent="0.3">
      <c r="A3" s="62">
        <v>274</v>
      </c>
      <c r="B3" s="63" t="s">
        <v>28</v>
      </c>
      <c r="C3" s="63" t="s">
        <v>5</v>
      </c>
      <c r="D3" s="62" t="s">
        <v>184</v>
      </c>
      <c r="E3" s="62">
        <v>182</v>
      </c>
      <c r="F3" s="28">
        <v>176219</v>
      </c>
      <c r="G3" s="28">
        <v>0</v>
      </c>
    </row>
    <row r="4" spans="1:9" x14ac:dyDescent="0.3">
      <c r="A4" s="62">
        <v>274</v>
      </c>
      <c r="B4" s="63" t="s">
        <v>28</v>
      </c>
      <c r="C4" s="63" t="s">
        <v>5</v>
      </c>
      <c r="D4" s="36" t="s">
        <v>185</v>
      </c>
      <c r="E4" s="36"/>
      <c r="F4" s="28">
        <v>334840</v>
      </c>
      <c r="G4" s="28">
        <v>0</v>
      </c>
      <c r="H4" s="66" t="s">
        <v>28</v>
      </c>
      <c r="I4" s="66" t="s">
        <v>12</v>
      </c>
    </row>
    <row r="5" spans="1:9" x14ac:dyDescent="0.3">
      <c r="A5" s="62">
        <v>266</v>
      </c>
      <c r="B5" s="63" t="s">
        <v>28</v>
      </c>
      <c r="C5" s="63" t="s">
        <v>5</v>
      </c>
      <c r="D5" s="62" t="s">
        <v>186</v>
      </c>
      <c r="E5" s="62">
        <v>236</v>
      </c>
      <c r="F5" s="28">
        <v>768478</v>
      </c>
      <c r="G5" s="28">
        <v>0</v>
      </c>
    </row>
    <row r="6" spans="1:9" x14ac:dyDescent="0.3">
      <c r="A6" s="62">
        <v>266</v>
      </c>
      <c r="B6" s="63" t="s">
        <v>28</v>
      </c>
      <c r="C6" s="63" t="s">
        <v>5</v>
      </c>
      <c r="D6" s="62" t="s">
        <v>183</v>
      </c>
      <c r="E6" s="62">
        <v>244</v>
      </c>
      <c r="F6" s="28">
        <v>1064309</v>
      </c>
      <c r="G6" s="28">
        <v>0</v>
      </c>
    </row>
    <row r="7" spans="1:9" x14ac:dyDescent="0.3">
      <c r="A7" s="62">
        <v>236</v>
      </c>
      <c r="B7" s="63" t="s">
        <v>28</v>
      </c>
      <c r="C7" s="63" t="s">
        <v>5</v>
      </c>
      <c r="D7" s="57" t="s">
        <v>187</v>
      </c>
      <c r="E7" s="57">
        <v>235</v>
      </c>
      <c r="F7" s="28">
        <v>1089983</v>
      </c>
      <c r="G7" s="28">
        <v>0</v>
      </c>
      <c r="H7" s="65" t="s">
        <v>28</v>
      </c>
      <c r="I7" s="65" t="s">
        <v>19</v>
      </c>
    </row>
    <row r="8" spans="1:9" x14ac:dyDescent="0.3">
      <c r="A8" s="62">
        <v>274</v>
      </c>
      <c r="B8" s="63" t="s">
        <v>28</v>
      </c>
      <c r="C8" s="63" t="s">
        <v>5</v>
      </c>
      <c r="D8" s="62" t="s">
        <v>188</v>
      </c>
      <c r="E8" s="62">
        <v>315</v>
      </c>
      <c r="F8" s="28">
        <v>2406167</v>
      </c>
      <c r="G8" s="28">
        <v>0</v>
      </c>
    </row>
    <row r="9" spans="1:9" x14ac:dyDescent="0.3">
      <c r="A9" s="62">
        <v>266</v>
      </c>
      <c r="B9" s="63" t="s">
        <v>28</v>
      </c>
      <c r="C9" s="63" t="s">
        <v>5</v>
      </c>
      <c r="D9" s="57" t="s">
        <v>189</v>
      </c>
      <c r="E9" s="57">
        <v>273</v>
      </c>
      <c r="F9" s="28">
        <v>2541993</v>
      </c>
      <c r="G9" s="28">
        <v>0</v>
      </c>
      <c r="H9" s="65" t="s">
        <v>28</v>
      </c>
      <c r="I9" s="65" t="s">
        <v>19</v>
      </c>
    </row>
    <row r="10" spans="1:9" x14ac:dyDescent="0.3">
      <c r="A10" s="62">
        <v>266</v>
      </c>
      <c r="B10" s="63" t="s">
        <v>28</v>
      </c>
      <c r="C10" s="63" t="s">
        <v>5</v>
      </c>
      <c r="D10" s="62" t="s">
        <v>190</v>
      </c>
      <c r="E10" s="62">
        <v>274</v>
      </c>
      <c r="F10" s="28">
        <v>2697056</v>
      </c>
      <c r="G10" s="28">
        <v>0</v>
      </c>
    </row>
    <row r="11" spans="1:9" x14ac:dyDescent="0.3">
      <c r="A11" s="62">
        <v>266</v>
      </c>
      <c r="B11" s="63" t="s">
        <v>28</v>
      </c>
      <c r="C11" s="63" t="s">
        <v>5</v>
      </c>
      <c r="D11" s="62" t="s">
        <v>191</v>
      </c>
      <c r="E11" s="62">
        <v>116</v>
      </c>
      <c r="F11" s="28">
        <v>3442884</v>
      </c>
      <c r="G11" s="28">
        <v>0</v>
      </c>
    </row>
    <row r="12" spans="1:9" x14ac:dyDescent="0.3">
      <c r="A12" s="62">
        <v>274</v>
      </c>
      <c r="B12" s="63" t="s">
        <v>28</v>
      </c>
      <c r="C12" s="63" t="s">
        <v>5</v>
      </c>
      <c r="D12" s="57" t="s">
        <v>192</v>
      </c>
      <c r="E12" s="57">
        <v>273</v>
      </c>
      <c r="F12" s="28">
        <v>3798689</v>
      </c>
      <c r="G12" s="28">
        <v>0</v>
      </c>
      <c r="H12" s="65" t="s">
        <v>28</v>
      </c>
      <c r="I12" s="65" t="s">
        <v>19</v>
      </c>
    </row>
    <row r="13" spans="1:9" x14ac:dyDescent="0.3">
      <c r="A13" s="62">
        <v>274</v>
      </c>
      <c r="B13" s="63" t="s">
        <v>28</v>
      </c>
      <c r="C13" s="63" t="s">
        <v>5</v>
      </c>
      <c r="D13" s="62" t="s">
        <v>193</v>
      </c>
      <c r="E13" s="62">
        <v>116</v>
      </c>
      <c r="F13" s="28">
        <v>7728964</v>
      </c>
      <c r="G13" s="28">
        <v>0</v>
      </c>
    </row>
    <row r="14" spans="1:9" x14ac:dyDescent="0.3">
      <c r="A14" s="62">
        <v>244</v>
      </c>
      <c r="B14" s="63" t="s">
        <v>28</v>
      </c>
      <c r="C14" s="63" t="s">
        <v>5</v>
      </c>
      <c r="D14" s="57" t="s">
        <v>194</v>
      </c>
      <c r="E14" s="57">
        <v>273</v>
      </c>
      <c r="F14" s="28">
        <v>24223</v>
      </c>
      <c r="G14" s="28">
        <v>17</v>
      </c>
      <c r="H14" s="65" t="s">
        <v>28</v>
      </c>
      <c r="I14" s="65" t="s">
        <v>19</v>
      </c>
    </row>
    <row r="15" spans="1:9" x14ac:dyDescent="0.3">
      <c r="A15" s="62">
        <v>266</v>
      </c>
      <c r="B15" s="63" t="s">
        <v>28</v>
      </c>
      <c r="C15" s="63" t="s">
        <v>5</v>
      </c>
      <c r="D15" s="62" t="s">
        <v>195</v>
      </c>
      <c r="E15" s="62">
        <v>154</v>
      </c>
      <c r="F15" s="28">
        <v>0</v>
      </c>
      <c r="G15" s="28">
        <v>1001</v>
      </c>
    </row>
    <row r="16" spans="1:9" x14ac:dyDescent="0.3">
      <c r="A16" s="62">
        <v>116</v>
      </c>
      <c r="B16" s="63" t="s">
        <v>28</v>
      </c>
      <c r="C16" s="63" t="s">
        <v>5</v>
      </c>
      <c r="D16" s="62" t="s">
        <v>196</v>
      </c>
      <c r="E16" s="62">
        <v>182</v>
      </c>
      <c r="F16" s="28">
        <v>336423</v>
      </c>
      <c r="G16" s="28">
        <v>6895</v>
      </c>
    </row>
    <row r="17" spans="1:9" x14ac:dyDescent="0.3">
      <c r="A17" s="62">
        <v>244</v>
      </c>
      <c r="B17" s="63" t="s">
        <v>28</v>
      </c>
      <c r="C17" s="63" t="s">
        <v>5</v>
      </c>
      <c r="D17" s="62" t="s">
        <v>197</v>
      </c>
      <c r="E17" s="62">
        <v>153</v>
      </c>
      <c r="F17" s="28">
        <v>1130467</v>
      </c>
      <c r="G17" s="28">
        <v>8766</v>
      </c>
    </row>
    <row r="18" spans="1:9" x14ac:dyDescent="0.3">
      <c r="A18" s="62">
        <v>236</v>
      </c>
      <c r="B18" s="63" t="s">
        <v>28</v>
      </c>
      <c r="C18" s="63" t="s">
        <v>5</v>
      </c>
      <c r="D18" s="62" t="s">
        <v>198</v>
      </c>
      <c r="E18" s="62">
        <v>116</v>
      </c>
      <c r="F18" s="28">
        <v>2840123</v>
      </c>
      <c r="G18" s="28">
        <v>9608</v>
      </c>
    </row>
    <row r="19" spans="1:9" x14ac:dyDescent="0.3">
      <c r="A19" s="62">
        <v>244</v>
      </c>
      <c r="B19" s="63" t="s">
        <v>28</v>
      </c>
      <c r="C19" s="63" t="s">
        <v>5</v>
      </c>
      <c r="D19" s="62" t="s">
        <v>199</v>
      </c>
      <c r="E19" s="62">
        <v>293</v>
      </c>
      <c r="F19" s="28">
        <v>1313362</v>
      </c>
      <c r="G19" s="28">
        <v>15610</v>
      </c>
    </row>
    <row r="20" spans="1:9" x14ac:dyDescent="0.3">
      <c r="A20" s="62">
        <v>244</v>
      </c>
      <c r="B20" s="63" t="s">
        <v>28</v>
      </c>
      <c r="C20" s="63" t="s">
        <v>5</v>
      </c>
      <c r="D20" s="36" t="s">
        <v>200</v>
      </c>
      <c r="E20" s="36">
        <v>324</v>
      </c>
      <c r="F20" s="28">
        <v>20924</v>
      </c>
      <c r="G20" s="28">
        <v>20887</v>
      </c>
      <c r="H20" s="66" t="s">
        <v>28</v>
      </c>
      <c r="I20" s="66" t="s">
        <v>12</v>
      </c>
    </row>
    <row r="21" spans="1:9" x14ac:dyDescent="0.3">
      <c r="A21" s="62">
        <v>116</v>
      </c>
      <c r="B21" s="63" t="s">
        <v>28</v>
      </c>
      <c r="C21" s="63" t="s">
        <v>5</v>
      </c>
      <c r="D21" s="36" t="s">
        <v>201</v>
      </c>
      <c r="E21" s="36"/>
      <c r="F21" s="28">
        <v>2208751</v>
      </c>
      <c r="G21" s="28">
        <v>28536</v>
      </c>
      <c r="H21" s="66" t="s">
        <v>28</v>
      </c>
      <c r="I21" s="66" t="s">
        <v>12</v>
      </c>
    </row>
    <row r="22" spans="1:9" x14ac:dyDescent="0.3">
      <c r="A22" s="62">
        <v>210</v>
      </c>
      <c r="B22" s="63" t="s">
        <v>28</v>
      </c>
      <c r="C22" s="63" t="s">
        <v>5</v>
      </c>
      <c r="D22" s="36" t="s">
        <v>202</v>
      </c>
      <c r="E22" s="36">
        <v>228</v>
      </c>
      <c r="F22" s="28">
        <v>1531268</v>
      </c>
      <c r="G22" s="28">
        <v>35039</v>
      </c>
      <c r="H22" s="66" t="s">
        <v>28</v>
      </c>
      <c r="I22" s="66" t="s">
        <v>12</v>
      </c>
    </row>
    <row r="23" spans="1:9" x14ac:dyDescent="0.3">
      <c r="A23" s="62">
        <v>244</v>
      </c>
      <c r="B23" s="63" t="s">
        <v>28</v>
      </c>
      <c r="C23" s="63" t="s">
        <v>5</v>
      </c>
      <c r="D23" s="62" t="s">
        <v>203</v>
      </c>
      <c r="E23" s="62">
        <v>236</v>
      </c>
      <c r="F23" s="28">
        <v>0</v>
      </c>
      <c r="G23" s="28">
        <v>81808</v>
      </c>
    </row>
    <row r="24" spans="1:9" x14ac:dyDescent="0.3">
      <c r="A24" s="62">
        <v>116</v>
      </c>
      <c r="B24" s="63" t="s">
        <v>28</v>
      </c>
      <c r="C24" s="63" t="s">
        <v>5</v>
      </c>
      <c r="D24" s="36" t="s">
        <v>204</v>
      </c>
      <c r="E24" s="36">
        <v>228</v>
      </c>
      <c r="F24" s="28">
        <v>3758696</v>
      </c>
      <c r="G24" s="28">
        <v>103422</v>
      </c>
      <c r="H24" s="66" t="s">
        <v>28</v>
      </c>
      <c r="I24" s="66" t="s">
        <v>12</v>
      </c>
    </row>
    <row r="25" spans="1:9" x14ac:dyDescent="0.3">
      <c r="A25" s="62">
        <v>244</v>
      </c>
      <c r="B25" s="63" t="s">
        <v>28</v>
      </c>
      <c r="C25" s="63" t="s">
        <v>5</v>
      </c>
      <c r="D25" s="36" t="s">
        <v>205</v>
      </c>
      <c r="E25" s="36">
        <v>228</v>
      </c>
      <c r="F25" s="28">
        <v>2</v>
      </c>
      <c r="G25" s="28">
        <v>165100</v>
      </c>
      <c r="H25" s="66" t="s">
        <v>28</v>
      </c>
      <c r="I25" s="66" t="s">
        <v>12</v>
      </c>
    </row>
    <row r="26" spans="1:9" x14ac:dyDescent="0.3">
      <c r="A26" s="62">
        <v>182</v>
      </c>
      <c r="B26" s="63" t="s">
        <v>28</v>
      </c>
      <c r="C26" s="63" t="s">
        <v>5</v>
      </c>
      <c r="D26" s="62" t="s">
        <v>206</v>
      </c>
      <c r="E26" s="62">
        <v>274</v>
      </c>
      <c r="F26" s="28">
        <v>0</v>
      </c>
      <c r="G26" s="28">
        <v>176236</v>
      </c>
    </row>
    <row r="27" spans="1:9" x14ac:dyDescent="0.3">
      <c r="A27" s="62">
        <v>244</v>
      </c>
      <c r="B27" s="63" t="s">
        <v>28</v>
      </c>
      <c r="C27" s="63" t="s">
        <v>5</v>
      </c>
      <c r="D27" s="62" t="s">
        <v>207</v>
      </c>
      <c r="E27" s="62">
        <v>274</v>
      </c>
      <c r="F27" s="28">
        <v>3288887</v>
      </c>
      <c r="G27" s="28">
        <v>192176</v>
      </c>
    </row>
    <row r="28" spans="1:9" x14ac:dyDescent="0.3">
      <c r="A28" s="62">
        <v>116</v>
      </c>
      <c r="B28" s="63" t="s">
        <v>28</v>
      </c>
      <c r="C28" s="63" t="s">
        <v>5</v>
      </c>
      <c r="D28" s="58" t="s">
        <v>208</v>
      </c>
      <c r="E28" s="58">
        <v>323</v>
      </c>
      <c r="F28" s="28">
        <v>4447540</v>
      </c>
      <c r="G28" s="28">
        <v>212771</v>
      </c>
      <c r="H28" s="60" t="s">
        <v>29</v>
      </c>
      <c r="I28" s="60" t="s">
        <v>7</v>
      </c>
    </row>
    <row r="29" spans="1:9" x14ac:dyDescent="0.3">
      <c r="A29" s="62">
        <v>236</v>
      </c>
      <c r="B29" s="63" t="s">
        <v>28</v>
      </c>
      <c r="C29" s="63" t="s">
        <v>5</v>
      </c>
      <c r="D29" s="50" t="s">
        <v>209</v>
      </c>
      <c r="E29" s="50">
        <v>259</v>
      </c>
      <c r="F29" s="28">
        <v>39047</v>
      </c>
      <c r="G29" s="28">
        <v>277327</v>
      </c>
      <c r="H29" s="59" t="s">
        <v>36</v>
      </c>
      <c r="I29" s="59" t="s">
        <v>21</v>
      </c>
    </row>
    <row r="30" spans="1:9" x14ac:dyDescent="0.3">
      <c r="A30" s="62">
        <v>182</v>
      </c>
      <c r="B30" s="63" t="s">
        <v>28</v>
      </c>
      <c r="C30" s="63" t="s">
        <v>5</v>
      </c>
      <c r="D30" s="62" t="s">
        <v>210</v>
      </c>
      <c r="E30" s="62">
        <v>116</v>
      </c>
      <c r="F30" s="28">
        <v>0</v>
      </c>
      <c r="G30" s="28">
        <v>329517</v>
      </c>
    </row>
    <row r="31" spans="1:9" x14ac:dyDescent="0.3">
      <c r="A31" s="62">
        <v>160</v>
      </c>
      <c r="B31" s="63" t="s">
        <v>28</v>
      </c>
      <c r="C31" s="63" t="s">
        <v>5</v>
      </c>
      <c r="D31" s="62" t="s">
        <v>211</v>
      </c>
      <c r="E31" s="62">
        <v>266</v>
      </c>
      <c r="F31" s="28">
        <v>2778605</v>
      </c>
      <c r="G31" s="28">
        <v>476556</v>
      </c>
    </row>
    <row r="32" spans="1:9" x14ac:dyDescent="0.3">
      <c r="A32" s="62">
        <v>236</v>
      </c>
      <c r="B32" s="63" t="s">
        <v>28</v>
      </c>
      <c r="C32" s="63" t="s">
        <v>5</v>
      </c>
      <c r="D32" s="62" t="s">
        <v>212</v>
      </c>
      <c r="E32" s="62">
        <v>266</v>
      </c>
      <c r="F32" s="28">
        <v>200031</v>
      </c>
      <c r="G32" s="28">
        <v>968509</v>
      </c>
    </row>
    <row r="33" spans="1:9" x14ac:dyDescent="0.3">
      <c r="A33" s="62">
        <v>210</v>
      </c>
      <c r="B33" s="63" t="s">
        <v>28</v>
      </c>
      <c r="C33" s="63" t="s">
        <v>5</v>
      </c>
      <c r="D33" s="80" t="s">
        <v>213</v>
      </c>
      <c r="E33" s="80">
        <v>125</v>
      </c>
      <c r="F33" s="28">
        <v>1692524</v>
      </c>
      <c r="G33" s="28">
        <v>1017492</v>
      </c>
      <c r="H33" s="81" t="s">
        <v>28</v>
      </c>
      <c r="I33" s="81" t="s">
        <v>6</v>
      </c>
    </row>
    <row r="34" spans="1:9" x14ac:dyDescent="0.3">
      <c r="A34" s="62">
        <v>153</v>
      </c>
      <c r="B34" s="63" t="s">
        <v>28</v>
      </c>
      <c r="C34" s="63" t="s">
        <v>5</v>
      </c>
      <c r="D34" s="62" t="s">
        <v>214</v>
      </c>
      <c r="E34" s="62">
        <v>244</v>
      </c>
      <c r="F34" s="28">
        <v>0</v>
      </c>
      <c r="G34" s="28">
        <v>1130725</v>
      </c>
    </row>
    <row r="35" spans="1:9" x14ac:dyDescent="0.3">
      <c r="A35" s="62">
        <v>293</v>
      </c>
      <c r="B35" s="63" t="s">
        <v>28</v>
      </c>
      <c r="C35" s="63" t="s">
        <v>5</v>
      </c>
      <c r="D35" s="62" t="s">
        <v>214</v>
      </c>
      <c r="E35" s="62">
        <v>244</v>
      </c>
      <c r="F35" s="28">
        <v>0</v>
      </c>
      <c r="G35" s="28">
        <v>1313145</v>
      </c>
    </row>
    <row r="36" spans="1:9" x14ac:dyDescent="0.3">
      <c r="A36" s="62">
        <v>244</v>
      </c>
      <c r="B36" s="63" t="s">
        <v>28</v>
      </c>
      <c r="C36" s="63" t="s">
        <v>5</v>
      </c>
      <c r="D36" s="62" t="s">
        <v>211</v>
      </c>
      <c r="E36" s="62">
        <v>266</v>
      </c>
      <c r="F36" s="28">
        <v>354946</v>
      </c>
      <c r="G36" s="28">
        <v>1380055</v>
      </c>
    </row>
    <row r="37" spans="1:9" x14ac:dyDescent="0.3">
      <c r="A37" s="62">
        <v>274</v>
      </c>
      <c r="B37" s="63" t="s">
        <v>28</v>
      </c>
      <c r="C37" s="63" t="s">
        <v>5</v>
      </c>
      <c r="D37" s="80" t="s">
        <v>213</v>
      </c>
      <c r="E37" s="80">
        <v>125</v>
      </c>
      <c r="F37" s="28">
        <v>0</v>
      </c>
      <c r="G37" s="28">
        <v>1476779</v>
      </c>
      <c r="H37" s="81" t="s">
        <v>28</v>
      </c>
      <c r="I37" s="81" t="s">
        <v>6</v>
      </c>
    </row>
    <row r="38" spans="1:9" x14ac:dyDescent="0.3">
      <c r="A38" s="62">
        <v>160</v>
      </c>
      <c r="B38" s="63" t="s">
        <v>28</v>
      </c>
      <c r="C38" s="63" t="s">
        <v>5</v>
      </c>
      <c r="D38" s="62" t="s">
        <v>186</v>
      </c>
      <c r="E38" s="62">
        <v>236</v>
      </c>
      <c r="F38" s="28">
        <v>3881886</v>
      </c>
      <c r="G38" s="28">
        <v>1931347</v>
      </c>
    </row>
    <row r="39" spans="1:9" x14ac:dyDescent="0.3">
      <c r="A39" s="62">
        <v>182</v>
      </c>
      <c r="B39" s="63" t="s">
        <v>28</v>
      </c>
      <c r="C39" s="63" t="s">
        <v>5</v>
      </c>
      <c r="D39" s="80" t="s">
        <v>215</v>
      </c>
      <c r="E39" s="80">
        <v>125</v>
      </c>
      <c r="F39" s="28">
        <v>0</v>
      </c>
      <c r="G39" s="28">
        <v>1946437</v>
      </c>
      <c r="H39" s="81" t="s">
        <v>28</v>
      </c>
      <c r="I39" s="81" t="s">
        <v>6</v>
      </c>
    </row>
    <row r="40" spans="1:9" x14ac:dyDescent="0.3">
      <c r="A40" s="62">
        <v>236</v>
      </c>
      <c r="B40" s="63" t="s">
        <v>28</v>
      </c>
      <c r="C40" s="63" t="s">
        <v>5</v>
      </c>
      <c r="D40" s="62" t="s">
        <v>216</v>
      </c>
      <c r="E40" s="62">
        <v>160</v>
      </c>
      <c r="F40" s="28">
        <v>13513</v>
      </c>
      <c r="G40" s="28">
        <v>1964052</v>
      </c>
    </row>
    <row r="41" spans="1:9" x14ac:dyDescent="0.3">
      <c r="A41" s="62">
        <v>266</v>
      </c>
      <c r="B41" s="63" t="s">
        <v>28</v>
      </c>
      <c r="C41" s="63" t="s">
        <v>5</v>
      </c>
      <c r="D41" s="62" t="s">
        <v>217</v>
      </c>
      <c r="E41" s="62">
        <v>160</v>
      </c>
      <c r="F41" s="28">
        <v>0</v>
      </c>
      <c r="G41" s="28">
        <v>2302049</v>
      </c>
    </row>
    <row r="42" spans="1:9" x14ac:dyDescent="0.3">
      <c r="A42" s="62">
        <v>244</v>
      </c>
      <c r="B42" s="63" t="s">
        <v>28</v>
      </c>
      <c r="C42" s="63" t="s">
        <v>5</v>
      </c>
      <c r="D42" s="62" t="s">
        <v>218</v>
      </c>
      <c r="E42" s="62">
        <v>116</v>
      </c>
      <c r="F42" s="28">
        <v>5504927</v>
      </c>
      <c r="G42" s="28">
        <v>2313345</v>
      </c>
    </row>
    <row r="43" spans="1:9" x14ac:dyDescent="0.3">
      <c r="A43" s="62">
        <v>315</v>
      </c>
      <c r="B43" s="63" t="s">
        <v>28</v>
      </c>
      <c r="C43" s="63" t="s">
        <v>5</v>
      </c>
      <c r="D43" s="62" t="s">
        <v>219</v>
      </c>
      <c r="E43" s="62">
        <v>315</v>
      </c>
      <c r="F43" s="28">
        <v>0</v>
      </c>
      <c r="G43" s="28">
        <v>2419829</v>
      </c>
    </row>
    <row r="44" spans="1:9" x14ac:dyDescent="0.3">
      <c r="A44" s="62">
        <v>236</v>
      </c>
      <c r="B44" s="63" t="s">
        <v>28</v>
      </c>
      <c r="C44" s="63" t="s">
        <v>5</v>
      </c>
      <c r="D44" s="57" t="s">
        <v>220</v>
      </c>
      <c r="E44" s="57">
        <v>273</v>
      </c>
      <c r="F44" s="28">
        <v>31389</v>
      </c>
      <c r="G44" s="28">
        <v>2538362</v>
      </c>
      <c r="H44" s="65" t="s">
        <v>28</v>
      </c>
      <c r="I44" s="65" t="s">
        <v>19</v>
      </c>
    </row>
    <row r="45" spans="1:9" x14ac:dyDescent="0.3">
      <c r="A45" s="62">
        <v>274</v>
      </c>
      <c r="B45" s="63" t="s">
        <v>28</v>
      </c>
      <c r="C45" s="63" t="s">
        <v>5</v>
      </c>
      <c r="D45" s="62" t="s">
        <v>221</v>
      </c>
      <c r="E45" s="62">
        <v>266</v>
      </c>
      <c r="F45" s="28">
        <v>0</v>
      </c>
      <c r="G45" s="28">
        <v>2697056</v>
      </c>
    </row>
    <row r="46" spans="1:9" x14ac:dyDescent="0.3">
      <c r="A46" s="62">
        <v>116</v>
      </c>
      <c r="B46" s="63" t="s">
        <v>28</v>
      </c>
      <c r="C46" s="63" t="s">
        <v>5</v>
      </c>
      <c r="D46" s="62" t="s">
        <v>222</v>
      </c>
      <c r="E46" s="64">
        <v>236</v>
      </c>
      <c r="F46" s="28">
        <v>16663</v>
      </c>
      <c r="G46" s="28">
        <v>2847178</v>
      </c>
    </row>
    <row r="47" spans="1:9" x14ac:dyDescent="0.3">
      <c r="A47" s="62">
        <v>116</v>
      </c>
      <c r="B47" s="63" t="s">
        <v>28</v>
      </c>
      <c r="C47" s="63" t="s">
        <v>5</v>
      </c>
      <c r="D47" s="62" t="s">
        <v>223</v>
      </c>
      <c r="E47" s="62">
        <v>266</v>
      </c>
      <c r="F47" s="28">
        <v>171901</v>
      </c>
      <c r="G47" s="28">
        <v>3647334</v>
      </c>
    </row>
    <row r="48" spans="1:9" x14ac:dyDescent="0.3">
      <c r="A48" s="62">
        <v>274</v>
      </c>
      <c r="B48" s="63" t="s">
        <v>28</v>
      </c>
      <c r="C48" s="63" t="s">
        <v>5</v>
      </c>
      <c r="D48" s="62" t="s">
        <v>224</v>
      </c>
      <c r="E48" s="62">
        <v>244</v>
      </c>
      <c r="F48" s="28">
        <v>0</v>
      </c>
      <c r="G48" s="28">
        <v>4068136</v>
      </c>
    </row>
    <row r="49" spans="1:9" x14ac:dyDescent="0.3">
      <c r="A49" s="62">
        <v>154</v>
      </c>
      <c r="B49" s="63" t="s">
        <v>28</v>
      </c>
      <c r="C49" s="63" t="s">
        <v>5</v>
      </c>
      <c r="D49" s="62" t="s">
        <v>225</v>
      </c>
      <c r="E49" s="62">
        <v>116</v>
      </c>
      <c r="F49" s="28">
        <v>0</v>
      </c>
      <c r="G49" s="28">
        <v>4398190</v>
      </c>
    </row>
    <row r="50" spans="1:9" x14ac:dyDescent="0.3">
      <c r="A50" s="62">
        <v>210</v>
      </c>
      <c r="B50" s="63" t="s">
        <v>28</v>
      </c>
      <c r="C50" s="63" t="s">
        <v>5</v>
      </c>
      <c r="D50" s="62" t="s">
        <v>226</v>
      </c>
      <c r="E50" s="62">
        <v>274</v>
      </c>
      <c r="F50" s="28">
        <v>4835412</v>
      </c>
      <c r="G50" s="28">
        <v>5170025</v>
      </c>
    </row>
    <row r="51" spans="1:9" x14ac:dyDescent="0.3">
      <c r="A51" s="62">
        <v>266</v>
      </c>
      <c r="B51" s="63" t="s">
        <v>28</v>
      </c>
      <c r="C51" s="63" t="s">
        <v>5</v>
      </c>
      <c r="D51" s="28" t="s">
        <v>227</v>
      </c>
      <c r="E51" s="28"/>
      <c r="F51" s="28">
        <v>645473</v>
      </c>
      <c r="G51" s="28">
        <v>5575215</v>
      </c>
    </row>
    <row r="52" spans="1:9" x14ac:dyDescent="0.3">
      <c r="A52" s="62">
        <v>210</v>
      </c>
      <c r="B52" s="63" t="s">
        <v>28</v>
      </c>
      <c r="C52" s="63" t="s">
        <v>5</v>
      </c>
      <c r="D52" s="80" t="s">
        <v>228</v>
      </c>
      <c r="E52" s="80">
        <v>194</v>
      </c>
      <c r="F52" s="28">
        <v>9109143</v>
      </c>
      <c r="G52" s="28">
        <v>8024941</v>
      </c>
      <c r="H52" s="81" t="s">
        <v>28</v>
      </c>
      <c r="I52" s="81" t="s">
        <v>6</v>
      </c>
    </row>
    <row r="53" spans="1:9" x14ac:dyDescent="0.3">
      <c r="A53" s="62">
        <v>116</v>
      </c>
      <c r="B53" s="63" t="s">
        <v>28</v>
      </c>
      <c r="C53" s="63" t="s">
        <v>5</v>
      </c>
      <c r="D53" s="80" t="s">
        <v>229</v>
      </c>
      <c r="E53" s="80">
        <v>194</v>
      </c>
      <c r="F53" s="28">
        <v>8</v>
      </c>
      <c r="G53" s="28">
        <v>8092705</v>
      </c>
      <c r="H53" s="81" t="s">
        <v>28</v>
      </c>
      <c r="I53" s="81" t="s">
        <v>6</v>
      </c>
    </row>
    <row r="54" spans="1:9" x14ac:dyDescent="0.3">
      <c r="A54" s="62">
        <v>274</v>
      </c>
      <c r="B54" s="63" t="s">
        <v>28</v>
      </c>
      <c r="C54" s="63" t="s">
        <v>5</v>
      </c>
      <c r="D54" s="80" t="s">
        <v>230</v>
      </c>
      <c r="E54" s="80">
        <v>194</v>
      </c>
      <c r="F54" s="28">
        <v>0</v>
      </c>
      <c r="G54" s="28">
        <v>8257016</v>
      </c>
      <c r="H54" s="81" t="s">
        <v>28</v>
      </c>
      <c r="I54" s="81" t="s">
        <v>6</v>
      </c>
    </row>
    <row r="55" spans="1:9" x14ac:dyDescent="0.3">
      <c r="A55" s="62">
        <v>116</v>
      </c>
      <c r="B55" s="63" t="s">
        <v>28</v>
      </c>
      <c r="C55" s="63" t="s">
        <v>5</v>
      </c>
      <c r="D55" s="80" t="s">
        <v>231</v>
      </c>
      <c r="E55" s="80">
        <v>125</v>
      </c>
      <c r="F55" s="28">
        <v>1174904</v>
      </c>
      <c r="G55" s="28">
        <v>8571542</v>
      </c>
      <c r="H55" s="81" t="s">
        <v>28</v>
      </c>
      <c r="I55" s="81" t="s">
        <v>6</v>
      </c>
    </row>
    <row r="56" spans="1:9" x14ac:dyDescent="0.3">
      <c r="A56" s="62">
        <v>116</v>
      </c>
      <c r="B56" s="63" t="s">
        <v>28</v>
      </c>
      <c r="C56" s="63" t="s">
        <v>5</v>
      </c>
      <c r="D56" s="62" t="s">
        <v>232</v>
      </c>
      <c r="E56" s="62">
        <v>274</v>
      </c>
      <c r="F56" s="28">
        <v>2794654</v>
      </c>
      <c r="G56" s="28">
        <v>10056652</v>
      </c>
    </row>
    <row r="57" spans="1:9" x14ac:dyDescent="0.3">
      <c r="A57" s="62">
        <v>244</v>
      </c>
      <c r="B57" s="63" t="s">
        <v>28</v>
      </c>
      <c r="C57" s="63" t="s">
        <v>5</v>
      </c>
      <c r="D57" s="80" t="s">
        <v>233</v>
      </c>
      <c r="E57" s="80">
        <v>125</v>
      </c>
      <c r="F57" s="28">
        <v>56701</v>
      </c>
      <c r="G57" s="28">
        <v>14418468</v>
      </c>
      <c r="H57" s="81" t="s">
        <v>28</v>
      </c>
      <c r="I57" s="81" t="s">
        <v>6</v>
      </c>
    </row>
    <row r="58" spans="1:9" x14ac:dyDescent="0.3">
      <c r="A58" s="62">
        <v>116</v>
      </c>
      <c r="B58" s="63" t="s">
        <v>28</v>
      </c>
      <c r="C58" s="63" t="s">
        <v>5</v>
      </c>
      <c r="D58" s="28" t="s">
        <v>234</v>
      </c>
      <c r="E58" s="28"/>
      <c r="F58" s="28">
        <v>41652442</v>
      </c>
      <c r="G58" s="28">
        <v>18561125</v>
      </c>
    </row>
    <row r="59" spans="1:9" x14ac:dyDescent="0.3">
      <c r="A59" s="62">
        <v>116</v>
      </c>
      <c r="B59" s="63" t="s">
        <v>28</v>
      </c>
      <c r="C59" s="63" t="s">
        <v>5</v>
      </c>
      <c r="D59" s="62" t="s">
        <v>235</v>
      </c>
      <c r="E59" s="62">
        <v>244</v>
      </c>
      <c r="F59" s="28">
        <v>41883044</v>
      </c>
      <c r="G59" s="28">
        <v>44989982</v>
      </c>
    </row>
    <row r="60" spans="1:9" x14ac:dyDescent="0.3">
      <c r="A60" s="80">
        <v>125</v>
      </c>
      <c r="B60" s="81" t="s">
        <v>28</v>
      </c>
      <c r="C60" s="81" t="s">
        <v>6</v>
      </c>
      <c r="D60" s="36" t="s">
        <v>236</v>
      </c>
      <c r="E60" s="36">
        <v>229</v>
      </c>
      <c r="F60" s="28">
        <v>369684</v>
      </c>
      <c r="G60" s="28">
        <v>0</v>
      </c>
      <c r="H60" s="66" t="s">
        <v>28</v>
      </c>
      <c r="I60" s="66" t="s">
        <v>12</v>
      </c>
    </row>
    <row r="61" spans="1:9" x14ac:dyDescent="0.3">
      <c r="A61" s="80">
        <v>125</v>
      </c>
      <c r="B61" s="81" t="s">
        <v>28</v>
      </c>
      <c r="C61" s="81" t="s">
        <v>6</v>
      </c>
      <c r="D61" s="62" t="s">
        <v>237</v>
      </c>
      <c r="E61" s="62">
        <v>274</v>
      </c>
      <c r="F61" s="28">
        <v>1476779</v>
      </c>
      <c r="G61" s="28">
        <v>0</v>
      </c>
      <c r="H61" s="63" t="s">
        <v>28</v>
      </c>
      <c r="I61" s="63" t="s">
        <v>5</v>
      </c>
    </row>
    <row r="62" spans="1:9" x14ac:dyDescent="0.3">
      <c r="A62" s="80">
        <v>125</v>
      </c>
      <c r="B62" s="81" t="s">
        <v>28</v>
      </c>
      <c r="C62" s="81" t="s">
        <v>6</v>
      </c>
      <c r="D62" s="62" t="s">
        <v>238</v>
      </c>
      <c r="E62" s="62">
        <v>182</v>
      </c>
      <c r="F62" s="28">
        <v>1946596</v>
      </c>
      <c r="G62" s="28">
        <v>0</v>
      </c>
      <c r="H62" s="63" t="s">
        <v>28</v>
      </c>
      <c r="I62" s="63" t="s">
        <v>5</v>
      </c>
    </row>
    <row r="63" spans="1:9" x14ac:dyDescent="0.3">
      <c r="A63" s="80">
        <v>125</v>
      </c>
      <c r="B63" s="81" t="s">
        <v>28</v>
      </c>
      <c r="C63" s="81" t="s">
        <v>6</v>
      </c>
      <c r="D63" s="62" t="s">
        <v>239</v>
      </c>
      <c r="E63" s="62">
        <v>116</v>
      </c>
      <c r="F63" s="28">
        <v>7400051</v>
      </c>
      <c r="G63" s="28">
        <v>0</v>
      </c>
      <c r="H63" s="63" t="s">
        <v>28</v>
      </c>
      <c r="I63" s="63" t="s">
        <v>5</v>
      </c>
    </row>
    <row r="64" spans="1:9" x14ac:dyDescent="0.3">
      <c r="A64" s="80">
        <v>243</v>
      </c>
      <c r="B64" s="81" t="s">
        <v>28</v>
      </c>
      <c r="C64" s="81" t="s">
        <v>6</v>
      </c>
      <c r="D64" s="36" t="s">
        <v>240</v>
      </c>
      <c r="E64" s="36">
        <v>122</v>
      </c>
      <c r="F64" s="28">
        <v>7447688</v>
      </c>
      <c r="G64" s="28">
        <v>0</v>
      </c>
      <c r="H64" s="66" t="s">
        <v>28</v>
      </c>
      <c r="I64" s="66" t="s">
        <v>12</v>
      </c>
    </row>
    <row r="65" spans="1:9" x14ac:dyDescent="0.3">
      <c r="A65" s="80">
        <v>194</v>
      </c>
      <c r="B65" s="81" t="s">
        <v>28</v>
      </c>
      <c r="C65" s="81" t="s">
        <v>6</v>
      </c>
      <c r="D65" s="62" t="s">
        <v>210</v>
      </c>
      <c r="E65" s="62">
        <v>116</v>
      </c>
      <c r="F65" s="28">
        <v>8092575</v>
      </c>
      <c r="G65" s="28">
        <v>0</v>
      </c>
      <c r="H65" s="63" t="s">
        <v>28</v>
      </c>
      <c r="I65" s="63" t="s">
        <v>5</v>
      </c>
    </row>
    <row r="66" spans="1:9" x14ac:dyDescent="0.3">
      <c r="A66" s="80">
        <v>125</v>
      </c>
      <c r="B66" s="81" t="s">
        <v>28</v>
      </c>
      <c r="C66" s="81" t="s">
        <v>6</v>
      </c>
      <c r="D66" s="62" t="s">
        <v>241</v>
      </c>
      <c r="E66" s="62">
        <v>244</v>
      </c>
      <c r="F66" s="28">
        <v>14230993</v>
      </c>
      <c r="G66" s="28">
        <v>0</v>
      </c>
      <c r="H66" s="63" t="s">
        <v>28</v>
      </c>
      <c r="I66" s="63" t="s">
        <v>5</v>
      </c>
    </row>
    <row r="67" spans="1:9" x14ac:dyDescent="0.3">
      <c r="A67" s="80">
        <v>125</v>
      </c>
      <c r="B67" s="81" t="s">
        <v>28</v>
      </c>
      <c r="C67" s="81" t="s">
        <v>6</v>
      </c>
      <c r="D67" s="36" t="s">
        <v>242</v>
      </c>
      <c r="E67" s="36">
        <v>122</v>
      </c>
      <c r="F67" s="28">
        <v>14241127</v>
      </c>
      <c r="G67" s="28">
        <v>0</v>
      </c>
      <c r="H67" s="66" t="s">
        <v>28</v>
      </c>
      <c r="I67" s="66" t="s">
        <v>12</v>
      </c>
    </row>
    <row r="68" spans="1:9" x14ac:dyDescent="0.3">
      <c r="A68" s="80">
        <v>125</v>
      </c>
      <c r="B68" s="81" t="s">
        <v>28</v>
      </c>
      <c r="C68" s="81" t="s">
        <v>6</v>
      </c>
      <c r="D68" s="80" t="s">
        <v>243</v>
      </c>
      <c r="E68" s="80">
        <v>194</v>
      </c>
      <c r="F68" s="28">
        <v>21964164</v>
      </c>
      <c r="G68" s="28">
        <v>0</v>
      </c>
    </row>
    <row r="69" spans="1:9" x14ac:dyDescent="0.3">
      <c r="A69" s="80">
        <v>125</v>
      </c>
      <c r="B69" s="81" t="s">
        <v>28</v>
      </c>
      <c r="C69" s="81" t="s">
        <v>6</v>
      </c>
      <c r="D69" s="28" t="s">
        <v>244</v>
      </c>
      <c r="E69" s="28"/>
      <c r="F69" s="28">
        <v>0</v>
      </c>
      <c r="G69" s="28">
        <v>10</v>
      </c>
    </row>
    <row r="70" spans="1:9" x14ac:dyDescent="0.3">
      <c r="A70" s="80">
        <v>267</v>
      </c>
      <c r="B70" s="81" t="s">
        <v>28</v>
      </c>
      <c r="C70" s="81" t="s">
        <v>6</v>
      </c>
      <c r="D70" s="80" t="s">
        <v>245</v>
      </c>
      <c r="E70" s="80">
        <v>125</v>
      </c>
      <c r="F70" s="28">
        <v>616018</v>
      </c>
      <c r="G70" s="28">
        <v>639</v>
      </c>
    </row>
    <row r="71" spans="1:9" x14ac:dyDescent="0.3">
      <c r="A71" s="80">
        <v>194</v>
      </c>
      <c r="B71" s="81" t="s">
        <v>28</v>
      </c>
      <c r="C71" s="81" t="s">
        <v>6</v>
      </c>
      <c r="D71" s="36" t="s">
        <v>246</v>
      </c>
      <c r="E71" s="36">
        <v>228</v>
      </c>
      <c r="F71" s="28">
        <v>2074538</v>
      </c>
      <c r="G71" s="28">
        <v>52950</v>
      </c>
      <c r="H71" s="66" t="s">
        <v>28</v>
      </c>
      <c r="I71" s="66" t="s">
        <v>12</v>
      </c>
    </row>
    <row r="72" spans="1:9" x14ac:dyDescent="0.3">
      <c r="A72" s="80">
        <v>194</v>
      </c>
      <c r="B72" s="81" t="s">
        <v>28</v>
      </c>
      <c r="C72" s="81" t="s">
        <v>6</v>
      </c>
      <c r="D72" s="36" t="s">
        <v>247</v>
      </c>
      <c r="E72" s="36">
        <v>122</v>
      </c>
      <c r="F72" s="28">
        <v>13259942</v>
      </c>
      <c r="G72" s="28">
        <v>79327</v>
      </c>
      <c r="H72" s="66" t="s">
        <v>28</v>
      </c>
      <c r="I72" s="66" t="s">
        <v>12</v>
      </c>
    </row>
    <row r="73" spans="1:9" x14ac:dyDescent="0.3">
      <c r="A73" s="80">
        <v>267</v>
      </c>
      <c r="B73" s="81" t="s">
        <v>28</v>
      </c>
      <c r="C73" s="81" t="s">
        <v>6</v>
      </c>
      <c r="D73" s="80" t="s">
        <v>248</v>
      </c>
      <c r="E73" s="80"/>
      <c r="F73" s="28">
        <v>238643</v>
      </c>
      <c r="G73" s="28">
        <v>87664</v>
      </c>
    </row>
    <row r="74" spans="1:9" x14ac:dyDescent="0.3">
      <c r="A74" s="80">
        <v>125</v>
      </c>
      <c r="B74" s="81" t="s">
        <v>28</v>
      </c>
      <c r="C74" s="81" t="s">
        <v>6</v>
      </c>
      <c r="D74" s="28" t="s">
        <v>249</v>
      </c>
      <c r="E74" s="28"/>
      <c r="F74" s="28">
        <v>299205</v>
      </c>
      <c r="G74" s="28">
        <v>106864</v>
      </c>
    </row>
    <row r="75" spans="1:9" x14ac:dyDescent="0.3">
      <c r="A75" s="80">
        <v>243</v>
      </c>
      <c r="B75" s="81" t="s">
        <v>28</v>
      </c>
      <c r="C75" s="81" t="s">
        <v>6</v>
      </c>
      <c r="D75" s="28" t="s">
        <v>250</v>
      </c>
      <c r="E75" s="28"/>
      <c r="F75" s="28">
        <v>87664</v>
      </c>
      <c r="G75" s="28">
        <v>238643</v>
      </c>
    </row>
    <row r="76" spans="1:9" x14ac:dyDescent="0.3">
      <c r="A76" s="80">
        <v>194</v>
      </c>
      <c r="B76" s="81" t="s">
        <v>28</v>
      </c>
      <c r="C76" s="81" t="s">
        <v>6</v>
      </c>
      <c r="D76" s="62" t="s">
        <v>251</v>
      </c>
      <c r="E76" s="62">
        <v>274</v>
      </c>
      <c r="F76" s="28">
        <v>8552433</v>
      </c>
      <c r="G76" s="28">
        <v>295586</v>
      </c>
      <c r="H76" s="63" t="s">
        <v>28</v>
      </c>
      <c r="I76" s="63" t="s">
        <v>5</v>
      </c>
    </row>
    <row r="77" spans="1:9" x14ac:dyDescent="0.3">
      <c r="A77" s="80">
        <v>125</v>
      </c>
      <c r="B77" s="81" t="s">
        <v>28</v>
      </c>
      <c r="C77" s="81" t="s">
        <v>6</v>
      </c>
      <c r="D77" s="80" t="s">
        <v>248</v>
      </c>
      <c r="E77" s="80"/>
      <c r="F77" s="28">
        <v>3320092</v>
      </c>
      <c r="G77" s="28">
        <v>363963</v>
      </c>
    </row>
    <row r="78" spans="1:9" x14ac:dyDescent="0.3">
      <c r="A78" s="80">
        <v>125</v>
      </c>
      <c r="B78" s="81" t="s">
        <v>28</v>
      </c>
      <c r="C78" s="81" t="s">
        <v>6</v>
      </c>
      <c r="D78" s="80" t="s">
        <v>252</v>
      </c>
      <c r="E78" s="80">
        <v>267</v>
      </c>
      <c r="F78" s="28">
        <v>621</v>
      </c>
      <c r="G78" s="28">
        <v>616011</v>
      </c>
    </row>
    <row r="79" spans="1:9" x14ac:dyDescent="0.3">
      <c r="A79" s="80">
        <v>125</v>
      </c>
      <c r="B79" s="81" t="s">
        <v>28</v>
      </c>
      <c r="C79" s="81" t="s">
        <v>6</v>
      </c>
      <c r="D79" s="62" t="s">
        <v>253</v>
      </c>
      <c r="E79" s="62">
        <v>122</v>
      </c>
      <c r="F79" s="28">
        <v>0</v>
      </c>
      <c r="G79" s="28">
        <v>706181</v>
      </c>
      <c r="H79" s="63" t="s">
        <v>28</v>
      </c>
      <c r="I79" s="63" t="s">
        <v>5</v>
      </c>
    </row>
    <row r="80" spans="1:9" x14ac:dyDescent="0.3">
      <c r="A80" s="80">
        <v>243</v>
      </c>
      <c r="B80" s="81" t="s">
        <v>28</v>
      </c>
      <c r="C80" s="81" t="s">
        <v>6</v>
      </c>
      <c r="D80" s="80" t="s">
        <v>245</v>
      </c>
      <c r="E80" s="80">
        <v>125</v>
      </c>
      <c r="F80" s="28">
        <v>365784</v>
      </c>
      <c r="G80" s="28">
        <v>1893447</v>
      </c>
    </row>
    <row r="81" spans="1:9" x14ac:dyDescent="0.3">
      <c r="A81" s="80">
        <v>194</v>
      </c>
      <c r="B81" s="81" t="s">
        <v>28</v>
      </c>
      <c r="C81" s="81" t="s">
        <v>6</v>
      </c>
      <c r="D81" s="62" t="s">
        <v>254</v>
      </c>
      <c r="E81" s="62">
        <v>122</v>
      </c>
      <c r="F81" s="28">
        <v>8024677</v>
      </c>
      <c r="G81" s="28">
        <v>9711755</v>
      </c>
      <c r="H81" s="63" t="s">
        <v>28</v>
      </c>
      <c r="I81" s="63" t="s">
        <v>5</v>
      </c>
    </row>
    <row r="82" spans="1:9" x14ac:dyDescent="0.3">
      <c r="A82" s="80">
        <v>194</v>
      </c>
      <c r="B82" s="81" t="s">
        <v>28</v>
      </c>
      <c r="C82" s="81" t="s">
        <v>6</v>
      </c>
      <c r="D82" s="80" t="s">
        <v>255</v>
      </c>
      <c r="E82" s="80">
        <v>125</v>
      </c>
      <c r="F82" s="28">
        <v>413322</v>
      </c>
      <c r="G82" s="28">
        <v>22378788</v>
      </c>
    </row>
    <row r="83" spans="1:9" x14ac:dyDescent="0.3">
      <c r="A83" s="36">
        <v>239</v>
      </c>
      <c r="B83" s="66" t="s">
        <v>28</v>
      </c>
      <c r="C83" s="66" t="s">
        <v>12</v>
      </c>
      <c r="D83" s="36" t="s">
        <v>256</v>
      </c>
      <c r="E83" s="36">
        <v>119</v>
      </c>
      <c r="F83" s="28">
        <v>0</v>
      </c>
      <c r="G83" s="28">
        <v>325586</v>
      </c>
    </row>
    <row r="84" spans="1:9" x14ac:dyDescent="0.3">
      <c r="A84" s="36">
        <v>239</v>
      </c>
      <c r="B84" s="66" t="s">
        <v>28</v>
      </c>
      <c r="C84" s="66" t="s">
        <v>12</v>
      </c>
      <c r="D84" s="36" t="s">
        <v>257</v>
      </c>
      <c r="E84" s="36">
        <v>119</v>
      </c>
      <c r="F84" s="28">
        <v>1018830</v>
      </c>
      <c r="G84" s="28">
        <v>251328</v>
      </c>
    </row>
    <row r="85" spans="1:9" x14ac:dyDescent="0.3">
      <c r="A85" s="36">
        <v>239</v>
      </c>
      <c r="B85" s="66" t="s">
        <v>28</v>
      </c>
      <c r="C85" s="66" t="s">
        <v>12</v>
      </c>
      <c r="D85" s="36" t="s">
        <v>258</v>
      </c>
      <c r="E85" s="36">
        <v>119</v>
      </c>
      <c r="F85" s="28">
        <v>376026</v>
      </c>
      <c r="G85" s="28">
        <v>5306</v>
      </c>
    </row>
    <row r="86" spans="1:9" x14ac:dyDescent="0.3">
      <c r="A86" s="36">
        <v>239</v>
      </c>
      <c r="B86" s="66" t="s">
        <v>28</v>
      </c>
      <c r="C86" s="66" t="s">
        <v>12</v>
      </c>
      <c r="D86" s="36" t="s">
        <v>259</v>
      </c>
      <c r="E86" s="36">
        <v>122</v>
      </c>
      <c r="F86" s="28">
        <v>26487</v>
      </c>
      <c r="G86" s="28">
        <v>0</v>
      </c>
    </row>
    <row r="87" spans="1:9" x14ac:dyDescent="0.3">
      <c r="A87" s="36">
        <v>239</v>
      </c>
      <c r="B87" s="66" t="s">
        <v>28</v>
      </c>
      <c r="C87" s="66" t="s">
        <v>12</v>
      </c>
      <c r="D87" s="36" t="s">
        <v>260</v>
      </c>
      <c r="E87" s="36">
        <v>122</v>
      </c>
      <c r="F87" s="28">
        <v>20461</v>
      </c>
      <c r="G87" s="28">
        <v>0</v>
      </c>
    </row>
    <row r="88" spans="1:9" x14ac:dyDescent="0.3">
      <c r="A88" s="36">
        <v>237</v>
      </c>
      <c r="B88" s="66" t="s">
        <v>28</v>
      </c>
      <c r="C88" s="66" t="s">
        <v>12</v>
      </c>
      <c r="D88" s="58" t="s">
        <v>261</v>
      </c>
      <c r="E88" s="58">
        <v>323</v>
      </c>
      <c r="F88" s="28">
        <v>7980</v>
      </c>
      <c r="G88" s="28">
        <v>0</v>
      </c>
      <c r="H88" s="60" t="s">
        <v>29</v>
      </c>
      <c r="I88" s="60" t="s">
        <v>7</v>
      </c>
    </row>
    <row r="89" spans="1:9" x14ac:dyDescent="0.3">
      <c r="A89" s="36">
        <v>239</v>
      </c>
      <c r="B89" s="66" t="s">
        <v>28</v>
      </c>
      <c r="C89" s="66" t="s">
        <v>12</v>
      </c>
      <c r="D89" s="36" t="s">
        <v>262</v>
      </c>
      <c r="E89" s="36">
        <v>119</v>
      </c>
      <c r="F89" s="28">
        <v>41104</v>
      </c>
      <c r="G89" s="28">
        <v>0</v>
      </c>
    </row>
    <row r="90" spans="1:9" x14ac:dyDescent="0.3">
      <c r="A90" s="36">
        <v>239</v>
      </c>
      <c r="B90" s="66" t="s">
        <v>28</v>
      </c>
      <c r="C90" s="66" t="s">
        <v>12</v>
      </c>
      <c r="D90" s="36" t="s">
        <v>263</v>
      </c>
      <c r="E90" s="36">
        <v>119</v>
      </c>
      <c r="F90" s="28">
        <v>51454</v>
      </c>
      <c r="G90" s="28">
        <v>0</v>
      </c>
    </row>
    <row r="91" spans="1:9" x14ac:dyDescent="0.3">
      <c r="A91" s="36">
        <v>180</v>
      </c>
      <c r="B91" s="66" t="s">
        <v>28</v>
      </c>
      <c r="C91" s="66" t="s">
        <v>12</v>
      </c>
      <c r="D91" s="36" t="s">
        <v>264</v>
      </c>
      <c r="E91" s="36">
        <v>217</v>
      </c>
      <c r="F91" s="28">
        <v>101077</v>
      </c>
      <c r="G91" s="28">
        <v>0</v>
      </c>
    </row>
    <row r="92" spans="1:9" x14ac:dyDescent="0.3">
      <c r="A92" s="36">
        <v>237</v>
      </c>
      <c r="B92" s="66" t="s">
        <v>28</v>
      </c>
      <c r="C92" s="66" t="s">
        <v>12</v>
      </c>
      <c r="D92" s="36" t="s">
        <v>265</v>
      </c>
      <c r="E92" s="36">
        <v>232</v>
      </c>
      <c r="F92" s="28">
        <v>139939</v>
      </c>
      <c r="G92" s="28">
        <v>0</v>
      </c>
    </row>
    <row r="93" spans="1:9" x14ac:dyDescent="0.3">
      <c r="A93" s="36">
        <v>119</v>
      </c>
      <c r="B93" s="66" t="s">
        <v>28</v>
      </c>
      <c r="C93" s="66" t="s">
        <v>12</v>
      </c>
      <c r="D93" s="36" t="s">
        <v>266</v>
      </c>
      <c r="E93" s="36">
        <v>238</v>
      </c>
      <c r="F93" s="28">
        <v>256735</v>
      </c>
      <c r="G93" s="28">
        <v>0</v>
      </c>
    </row>
    <row r="94" spans="1:9" x14ac:dyDescent="0.3">
      <c r="A94" s="36">
        <v>119</v>
      </c>
      <c r="B94" s="66" t="s">
        <v>28</v>
      </c>
      <c r="C94" s="66" t="s">
        <v>12</v>
      </c>
      <c r="D94" s="36" t="s">
        <v>267</v>
      </c>
      <c r="E94" s="36">
        <v>139</v>
      </c>
      <c r="F94" s="28">
        <v>256738</v>
      </c>
      <c r="G94" s="28">
        <v>0</v>
      </c>
    </row>
    <row r="95" spans="1:9" x14ac:dyDescent="0.3">
      <c r="A95" s="36">
        <v>239</v>
      </c>
      <c r="B95" s="66" t="s">
        <v>28</v>
      </c>
      <c r="C95" s="66" t="s">
        <v>12</v>
      </c>
      <c r="D95" s="28" t="s">
        <v>268</v>
      </c>
      <c r="E95" s="28"/>
      <c r="F95" s="28">
        <v>322083</v>
      </c>
      <c r="G95" s="28">
        <v>0</v>
      </c>
    </row>
    <row r="96" spans="1:9" x14ac:dyDescent="0.3">
      <c r="A96" s="36">
        <v>240</v>
      </c>
      <c r="B96" s="66" t="s">
        <v>28</v>
      </c>
      <c r="C96" s="66" t="s">
        <v>12</v>
      </c>
      <c r="D96" s="36" t="s">
        <v>267</v>
      </c>
      <c r="E96" s="36">
        <v>139</v>
      </c>
      <c r="F96" s="28">
        <v>512063</v>
      </c>
      <c r="G96" s="28">
        <v>0</v>
      </c>
    </row>
    <row r="97" spans="1:9" x14ac:dyDescent="0.3">
      <c r="A97" s="36">
        <v>217</v>
      </c>
      <c r="B97" s="66" t="s">
        <v>28</v>
      </c>
      <c r="C97" s="66" t="s">
        <v>12</v>
      </c>
      <c r="D97" s="36" t="s">
        <v>269</v>
      </c>
      <c r="E97" s="36">
        <v>229</v>
      </c>
      <c r="F97" s="28">
        <v>992140</v>
      </c>
      <c r="G97" s="28">
        <v>0</v>
      </c>
    </row>
    <row r="98" spans="1:9" x14ac:dyDescent="0.3">
      <c r="A98" s="36">
        <v>239</v>
      </c>
      <c r="B98" s="66" t="s">
        <v>28</v>
      </c>
      <c r="C98" s="66" t="s">
        <v>12</v>
      </c>
      <c r="D98" s="36" t="s">
        <v>270</v>
      </c>
      <c r="E98" s="36">
        <v>122</v>
      </c>
      <c r="F98" s="28">
        <v>1457236</v>
      </c>
      <c r="G98" s="28">
        <v>0</v>
      </c>
    </row>
    <row r="99" spans="1:9" x14ac:dyDescent="0.3">
      <c r="A99" s="36">
        <v>217</v>
      </c>
      <c r="B99" s="66" t="s">
        <v>28</v>
      </c>
      <c r="C99" s="66" t="s">
        <v>12</v>
      </c>
      <c r="D99" s="36" t="s">
        <v>271</v>
      </c>
      <c r="E99" s="36">
        <v>232</v>
      </c>
      <c r="F99" s="28">
        <v>1869157</v>
      </c>
      <c r="G99" s="28">
        <v>0</v>
      </c>
    </row>
    <row r="100" spans="1:9" x14ac:dyDescent="0.3">
      <c r="A100" s="36">
        <v>217</v>
      </c>
      <c r="B100" s="66" t="s">
        <v>28</v>
      </c>
      <c r="C100" s="66" t="s">
        <v>12</v>
      </c>
      <c r="D100" s="36" t="s">
        <v>272</v>
      </c>
      <c r="E100" s="36">
        <v>240</v>
      </c>
      <c r="F100" s="28">
        <v>4417194</v>
      </c>
      <c r="G100" s="28">
        <v>0</v>
      </c>
    </row>
    <row r="101" spans="1:9" x14ac:dyDescent="0.3">
      <c r="A101" s="36">
        <v>228</v>
      </c>
      <c r="B101" s="66" t="s">
        <v>28</v>
      </c>
      <c r="C101" s="66" t="s">
        <v>12</v>
      </c>
      <c r="D101" s="62" t="s">
        <v>273</v>
      </c>
      <c r="E101" s="62">
        <v>244</v>
      </c>
      <c r="F101" s="28">
        <v>165100</v>
      </c>
      <c r="G101" s="28">
        <v>2</v>
      </c>
      <c r="H101" s="63" t="s">
        <v>28</v>
      </c>
      <c r="I101" s="63" t="s">
        <v>5</v>
      </c>
    </row>
    <row r="102" spans="1:9" x14ac:dyDescent="0.3">
      <c r="A102" s="36">
        <v>239</v>
      </c>
      <c r="B102" s="66" t="s">
        <v>28</v>
      </c>
      <c r="C102" s="66" t="s">
        <v>12</v>
      </c>
      <c r="D102" s="36" t="s">
        <v>274</v>
      </c>
      <c r="E102" s="36">
        <v>122</v>
      </c>
      <c r="F102" s="28">
        <v>1096751</v>
      </c>
      <c r="G102" s="28">
        <v>13</v>
      </c>
    </row>
    <row r="103" spans="1:9" x14ac:dyDescent="0.3">
      <c r="A103" s="36">
        <v>249</v>
      </c>
      <c r="B103" s="66" t="s">
        <v>28</v>
      </c>
      <c r="C103" s="66" t="s">
        <v>12</v>
      </c>
      <c r="D103" s="80" t="s">
        <v>275</v>
      </c>
      <c r="E103" s="80">
        <v>194</v>
      </c>
      <c r="F103" s="28">
        <v>603890</v>
      </c>
      <c r="G103" s="28">
        <v>1150</v>
      </c>
      <c r="H103" s="81" t="s">
        <v>28</v>
      </c>
      <c r="I103" s="81" t="s">
        <v>6</v>
      </c>
    </row>
    <row r="104" spans="1:9" x14ac:dyDescent="0.3">
      <c r="A104" s="36">
        <v>228</v>
      </c>
      <c r="B104" s="66" t="s">
        <v>28</v>
      </c>
      <c r="C104" s="66" t="s">
        <v>12</v>
      </c>
      <c r="D104" s="36" t="s">
        <v>276</v>
      </c>
      <c r="E104" s="36">
        <v>229</v>
      </c>
      <c r="F104" s="28">
        <v>6604450</v>
      </c>
      <c r="G104" s="28">
        <v>1260</v>
      </c>
    </row>
    <row r="105" spans="1:9" x14ac:dyDescent="0.3">
      <c r="A105" s="36">
        <v>217</v>
      </c>
      <c r="B105" s="66" t="s">
        <v>28</v>
      </c>
      <c r="C105" s="66" t="s">
        <v>12</v>
      </c>
      <c r="D105" s="36" t="s">
        <v>277</v>
      </c>
      <c r="E105" s="36">
        <v>324</v>
      </c>
      <c r="F105" s="28">
        <v>568133</v>
      </c>
      <c r="G105" s="28">
        <v>2874</v>
      </c>
    </row>
    <row r="106" spans="1:9" x14ac:dyDescent="0.3">
      <c r="A106" s="36">
        <v>122</v>
      </c>
      <c r="B106" s="66" t="s">
        <v>28</v>
      </c>
      <c r="C106" s="66" t="s">
        <v>12</v>
      </c>
      <c r="D106" s="58" t="s">
        <v>208</v>
      </c>
      <c r="E106" s="58">
        <v>323</v>
      </c>
      <c r="F106" s="28">
        <v>3094097</v>
      </c>
      <c r="G106" s="28">
        <v>3481</v>
      </c>
      <c r="H106" s="60" t="s">
        <v>29</v>
      </c>
      <c r="I106" s="60" t="s">
        <v>7</v>
      </c>
    </row>
    <row r="107" spans="1:9" x14ac:dyDescent="0.3">
      <c r="A107" s="36">
        <v>239</v>
      </c>
      <c r="B107" s="66" t="s">
        <v>28</v>
      </c>
      <c r="C107" s="66" t="s">
        <v>12</v>
      </c>
      <c r="D107" s="36" t="s">
        <v>278</v>
      </c>
      <c r="E107" s="36">
        <v>122</v>
      </c>
      <c r="F107" s="28">
        <v>0</v>
      </c>
      <c r="G107" s="28">
        <v>7108</v>
      </c>
    </row>
    <row r="108" spans="1:9" x14ac:dyDescent="0.3">
      <c r="A108" s="36">
        <v>249</v>
      </c>
      <c r="B108" s="66" t="s">
        <v>28</v>
      </c>
      <c r="C108" s="66" t="s">
        <v>12</v>
      </c>
      <c r="D108" s="80" t="s">
        <v>279</v>
      </c>
      <c r="E108" s="80">
        <v>310</v>
      </c>
      <c r="F108" s="28">
        <v>24768</v>
      </c>
      <c r="G108" s="28">
        <v>7483</v>
      </c>
      <c r="H108" s="81" t="s">
        <v>28</v>
      </c>
      <c r="I108" s="81" t="s">
        <v>6</v>
      </c>
    </row>
    <row r="109" spans="1:9" x14ac:dyDescent="0.3">
      <c r="A109" s="36">
        <v>249</v>
      </c>
      <c r="B109" s="66" t="s">
        <v>28</v>
      </c>
      <c r="C109" s="66" t="s">
        <v>12</v>
      </c>
      <c r="D109" s="36" t="s">
        <v>280</v>
      </c>
      <c r="E109" s="36">
        <v>228</v>
      </c>
      <c r="F109" s="28">
        <v>436561</v>
      </c>
      <c r="G109" s="28">
        <v>11487</v>
      </c>
    </row>
    <row r="110" spans="1:9" x14ac:dyDescent="0.3">
      <c r="A110" s="36">
        <v>239</v>
      </c>
      <c r="B110" s="66" t="s">
        <v>28</v>
      </c>
      <c r="C110" s="66" t="s">
        <v>12</v>
      </c>
      <c r="D110" s="36" t="s">
        <v>281</v>
      </c>
      <c r="E110" s="36">
        <v>240</v>
      </c>
      <c r="F110" s="28">
        <v>844867</v>
      </c>
      <c r="G110" s="28">
        <v>22079</v>
      </c>
    </row>
    <row r="111" spans="1:9" x14ac:dyDescent="0.3">
      <c r="A111" s="36">
        <v>139</v>
      </c>
      <c r="B111" s="66" t="s">
        <v>28</v>
      </c>
      <c r="C111" s="66" t="s">
        <v>12</v>
      </c>
      <c r="D111" s="36" t="s">
        <v>282</v>
      </c>
      <c r="E111" s="36">
        <v>239</v>
      </c>
      <c r="F111" s="28">
        <v>2078</v>
      </c>
      <c r="G111" s="28">
        <v>22793</v>
      </c>
    </row>
    <row r="112" spans="1:9" x14ac:dyDescent="0.3">
      <c r="A112" s="36">
        <v>180</v>
      </c>
      <c r="B112" s="66" t="s">
        <v>28</v>
      </c>
      <c r="C112" s="66" t="s">
        <v>12</v>
      </c>
      <c r="D112" s="36" t="s">
        <v>283</v>
      </c>
      <c r="E112" s="36">
        <v>228</v>
      </c>
      <c r="F112" s="28">
        <v>2273380</v>
      </c>
      <c r="G112" s="28">
        <v>26250</v>
      </c>
    </row>
    <row r="113" spans="1:9" x14ac:dyDescent="0.3">
      <c r="A113" s="36">
        <v>237</v>
      </c>
      <c r="B113" s="66" t="s">
        <v>28</v>
      </c>
      <c r="C113" s="66" t="s">
        <v>12</v>
      </c>
      <c r="D113" s="36" t="s">
        <v>284</v>
      </c>
      <c r="E113" s="36">
        <v>119</v>
      </c>
      <c r="F113" s="28">
        <v>162997</v>
      </c>
      <c r="G113" s="28">
        <v>35078</v>
      </c>
    </row>
    <row r="114" spans="1:9" x14ac:dyDescent="0.3">
      <c r="A114" s="36">
        <v>229</v>
      </c>
      <c r="B114" s="66" t="s">
        <v>28</v>
      </c>
      <c r="C114" s="66" t="s">
        <v>12</v>
      </c>
      <c r="D114" s="36" t="s">
        <v>285</v>
      </c>
      <c r="E114" s="36">
        <v>239</v>
      </c>
      <c r="F114" s="28">
        <v>935740</v>
      </c>
      <c r="G114" s="28">
        <v>35221</v>
      </c>
    </row>
    <row r="115" spans="1:9" x14ac:dyDescent="0.3">
      <c r="A115" s="36">
        <v>122</v>
      </c>
      <c r="B115" s="66" t="s">
        <v>28</v>
      </c>
      <c r="C115" s="66" t="s">
        <v>12</v>
      </c>
      <c r="D115" s="36" t="s">
        <v>286</v>
      </c>
      <c r="E115" s="36">
        <v>217</v>
      </c>
      <c r="F115" s="28">
        <v>8130273</v>
      </c>
      <c r="G115" s="28">
        <v>36785</v>
      </c>
    </row>
    <row r="116" spans="1:9" x14ac:dyDescent="0.3">
      <c r="A116" s="36">
        <v>217</v>
      </c>
      <c r="B116" s="66" t="s">
        <v>28</v>
      </c>
      <c r="C116" s="66" t="s">
        <v>12</v>
      </c>
      <c r="D116" s="36" t="s">
        <v>287</v>
      </c>
      <c r="E116" s="36">
        <v>324</v>
      </c>
      <c r="F116" s="28">
        <v>571598</v>
      </c>
      <c r="G116" s="28">
        <v>38429</v>
      </c>
    </row>
    <row r="117" spans="1:9" x14ac:dyDescent="0.3">
      <c r="A117" s="36">
        <v>239</v>
      </c>
      <c r="B117" s="66" t="s">
        <v>28</v>
      </c>
      <c r="C117" s="66" t="s">
        <v>12</v>
      </c>
      <c r="D117" s="36" t="s">
        <v>288</v>
      </c>
      <c r="E117" s="36">
        <v>122</v>
      </c>
      <c r="F117" s="28">
        <v>0</v>
      </c>
      <c r="G117" s="28">
        <v>42691</v>
      </c>
    </row>
    <row r="118" spans="1:9" x14ac:dyDescent="0.3">
      <c r="A118" s="36">
        <v>249</v>
      </c>
      <c r="B118" s="66" t="s">
        <v>28</v>
      </c>
      <c r="C118" s="66" t="s">
        <v>12</v>
      </c>
      <c r="D118" s="36" t="s">
        <v>289</v>
      </c>
      <c r="E118" s="36">
        <v>122</v>
      </c>
      <c r="F118" s="28">
        <v>667742</v>
      </c>
      <c r="G118" s="28">
        <v>48887</v>
      </c>
    </row>
    <row r="119" spans="1:9" x14ac:dyDescent="0.3">
      <c r="A119" s="36">
        <v>122</v>
      </c>
      <c r="B119" s="66" t="s">
        <v>28</v>
      </c>
      <c r="C119" s="66" t="s">
        <v>12</v>
      </c>
      <c r="D119" s="36" t="s">
        <v>290</v>
      </c>
      <c r="E119" s="36">
        <v>237</v>
      </c>
      <c r="F119" s="28">
        <v>4430917</v>
      </c>
      <c r="G119" s="28">
        <v>54015</v>
      </c>
    </row>
    <row r="120" spans="1:9" x14ac:dyDescent="0.3">
      <c r="A120" s="36">
        <v>180</v>
      </c>
      <c r="B120" s="66" t="s">
        <v>28</v>
      </c>
      <c r="C120" s="66" t="s">
        <v>12</v>
      </c>
      <c r="D120" s="36" t="s">
        <v>291</v>
      </c>
      <c r="E120" s="36">
        <v>119</v>
      </c>
      <c r="F120" s="28">
        <v>910413</v>
      </c>
      <c r="G120" s="28">
        <v>67408</v>
      </c>
    </row>
    <row r="121" spans="1:9" x14ac:dyDescent="0.3">
      <c r="A121" s="36">
        <v>122</v>
      </c>
      <c r="B121" s="66" t="s">
        <v>28</v>
      </c>
      <c r="C121" s="66" t="s">
        <v>12</v>
      </c>
      <c r="D121" s="36" t="s">
        <v>282</v>
      </c>
      <c r="E121" s="36">
        <v>239</v>
      </c>
      <c r="F121" s="28">
        <v>3872002</v>
      </c>
      <c r="G121" s="28">
        <v>72661</v>
      </c>
    </row>
    <row r="122" spans="1:9" x14ac:dyDescent="0.3">
      <c r="A122" s="36">
        <v>122</v>
      </c>
      <c r="B122" s="66" t="s">
        <v>28</v>
      </c>
      <c r="C122" s="66" t="s">
        <v>12</v>
      </c>
      <c r="D122" s="36" t="s">
        <v>292</v>
      </c>
      <c r="E122" s="36">
        <v>238</v>
      </c>
      <c r="F122" s="28">
        <v>2737118</v>
      </c>
      <c r="G122" s="28">
        <v>95213</v>
      </c>
    </row>
    <row r="123" spans="1:9" x14ac:dyDescent="0.3">
      <c r="A123" s="36">
        <v>217</v>
      </c>
      <c r="B123" s="66" t="s">
        <v>28</v>
      </c>
      <c r="C123" s="66" t="s">
        <v>12</v>
      </c>
      <c r="D123" s="36" t="s">
        <v>293</v>
      </c>
      <c r="E123" s="36">
        <v>180</v>
      </c>
      <c r="F123" s="28">
        <v>91</v>
      </c>
      <c r="G123" s="28">
        <v>101168</v>
      </c>
    </row>
    <row r="124" spans="1:9" x14ac:dyDescent="0.3">
      <c r="A124" s="36">
        <v>229</v>
      </c>
      <c r="B124" s="66" t="s">
        <v>28</v>
      </c>
      <c r="C124" s="66" t="s">
        <v>12</v>
      </c>
      <c r="D124" s="36" t="s">
        <v>294</v>
      </c>
      <c r="E124" s="36">
        <v>238</v>
      </c>
      <c r="F124" s="28">
        <v>0</v>
      </c>
      <c r="G124" s="28">
        <v>112486</v>
      </c>
    </row>
    <row r="125" spans="1:9" x14ac:dyDescent="0.3">
      <c r="A125" s="36">
        <v>228</v>
      </c>
      <c r="B125" s="66" t="s">
        <v>28</v>
      </c>
      <c r="C125" s="66" t="s">
        <v>12</v>
      </c>
      <c r="D125" s="36" t="s">
        <v>295</v>
      </c>
      <c r="E125" s="36">
        <v>217</v>
      </c>
      <c r="F125" s="28">
        <v>882463</v>
      </c>
      <c r="G125" s="28">
        <v>119754</v>
      </c>
    </row>
    <row r="126" spans="1:9" x14ac:dyDescent="0.3">
      <c r="A126" s="36">
        <v>119</v>
      </c>
      <c r="B126" s="66" t="s">
        <v>28</v>
      </c>
      <c r="C126" s="66" t="s">
        <v>12</v>
      </c>
      <c r="D126" s="36" t="s">
        <v>296</v>
      </c>
      <c r="E126" s="36">
        <v>238</v>
      </c>
      <c r="F126" s="28">
        <v>0</v>
      </c>
      <c r="G126" s="28">
        <v>129739</v>
      </c>
    </row>
    <row r="127" spans="1:9" x14ac:dyDescent="0.3">
      <c r="A127" s="36">
        <v>249</v>
      </c>
      <c r="B127" s="66" t="s">
        <v>28</v>
      </c>
      <c r="C127" s="66" t="s">
        <v>12</v>
      </c>
      <c r="D127" s="80" t="s">
        <v>297</v>
      </c>
      <c r="E127" s="80">
        <v>227</v>
      </c>
      <c r="F127" s="28">
        <v>144368</v>
      </c>
      <c r="G127" s="28">
        <v>130368</v>
      </c>
      <c r="H127" s="81" t="s">
        <v>28</v>
      </c>
      <c r="I127" s="81" t="s">
        <v>6</v>
      </c>
    </row>
    <row r="128" spans="1:9" x14ac:dyDescent="0.3">
      <c r="A128" s="36">
        <v>239</v>
      </c>
      <c r="B128" s="66" t="s">
        <v>28</v>
      </c>
      <c r="C128" s="66" t="s">
        <v>12</v>
      </c>
      <c r="D128" s="36" t="s">
        <v>298</v>
      </c>
      <c r="E128" s="36">
        <v>122</v>
      </c>
      <c r="F128" s="28">
        <v>0</v>
      </c>
      <c r="G128" s="28">
        <v>137317</v>
      </c>
    </row>
    <row r="129" spans="1:9" x14ac:dyDescent="0.3">
      <c r="A129" s="36">
        <v>232</v>
      </c>
      <c r="B129" s="66" t="s">
        <v>28</v>
      </c>
      <c r="C129" s="66" t="s">
        <v>12</v>
      </c>
      <c r="D129" s="36" t="s">
        <v>299</v>
      </c>
      <c r="E129" s="36">
        <v>237</v>
      </c>
      <c r="F129" s="28">
        <v>0</v>
      </c>
      <c r="G129" s="28">
        <v>139939</v>
      </c>
    </row>
    <row r="130" spans="1:9" x14ac:dyDescent="0.3">
      <c r="A130" s="36">
        <v>122</v>
      </c>
      <c r="B130" s="66" t="s">
        <v>28</v>
      </c>
      <c r="C130" s="66" t="s">
        <v>12</v>
      </c>
      <c r="D130" s="36" t="s">
        <v>300</v>
      </c>
      <c r="E130" s="36">
        <v>180</v>
      </c>
      <c r="F130" s="28">
        <v>344990</v>
      </c>
      <c r="G130" s="28">
        <v>146262</v>
      </c>
    </row>
    <row r="131" spans="1:9" x14ac:dyDescent="0.3">
      <c r="A131" s="36">
        <v>229</v>
      </c>
      <c r="B131" s="66" t="s">
        <v>28</v>
      </c>
      <c r="C131" s="66" t="s">
        <v>12</v>
      </c>
      <c r="D131" s="36" t="s">
        <v>247</v>
      </c>
      <c r="E131" s="36">
        <v>122</v>
      </c>
      <c r="F131" s="28">
        <v>5945052</v>
      </c>
      <c r="G131" s="28">
        <v>162663</v>
      </c>
    </row>
    <row r="132" spans="1:9" x14ac:dyDescent="0.3">
      <c r="A132" s="36">
        <v>119</v>
      </c>
      <c r="B132" s="66" t="s">
        <v>28</v>
      </c>
      <c r="C132" s="66" t="s">
        <v>12</v>
      </c>
      <c r="D132" s="36" t="s">
        <v>290</v>
      </c>
      <c r="E132" s="36">
        <v>237</v>
      </c>
      <c r="F132" s="28">
        <v>35159</v>
      </c>
      <c r="G132" s="28">
        <v>163078</v>
      </c>
    </row>
    <row r="133" spans="1:9" x14ac:dyDescent="0.3">
      <c r="A133" s="36">
        <v>249</v>
      </c>
      <c r="B133" s="66" t="s">
        <v>28</v>
      </c>
      <c r="C133" s="66" t="s">
        <v>12</v>
      </c>
      <c r="D133" s="36" t="s">
        <v>301</v>
      </c>
      <c r="E133" s="36">
        <v>180</v>
      </c>
      <c r="F133" s="28">
        <v>505772</v>
      </c>
      <c r="G133" s="28">
        <v>170362</v>
      </c>
    </row>
    <row r="134" spans="1:9" x14ac:dyDescent="0.3">
      <c r="A134" s="36">
        <v>239</v>
      </c>
      <c r="B134" s="66" t="s">
        <v>28</v>
      </c>
      <c r="C134" s="66" t="s">
        <v>12</v>
      </c>
      <c r="D134" s="36" t="s">
        <v>302</v>
      </c>
      <c r="E134" s="36">
        <v>122</v>
      </c>
      <c r="F134" s="28">
        <v>205335</v>
      </c>
      <c r="G134" s="28">
        <v>173661</v>
      </c>
    </row>
    <row r="135" spans="1:9" x14ac:dyDescent="0.3">
      <c r="A135" s="36">
        <v>180</v>
      </c>
      <c r="B135" s="66" t="s">
        <v>28</v>
      </c>
      <c r="C135" s="66" t="s">
        <v>12</v>
      </c>
      <c r="D135" s="36" t="s">
        <v>303</v>
      </c>
      <c r="E135" s="36">
        <v>122</v>
      </c>
      <c r="F135" s="28">
        <v>13922</v>
      </c>
      <c r="G135" s="28">
        <v>212760</v>
      </c>
    </row>
    <row r="136" spans="1:9" x14ac:dyDescent="0.3">
      <c r="A136" s="36">
        <v>229</v>
      </c>
      <c r="B136" s="66" t="s">
        <v>28</v>
      </c>
      <c r="C136" s="66" t="s">
        <v>12</v>
      </c>
      <c r="D136" s="36" t="s">
        <v>304</v>
      </c>
      <c r="E136" s="36">
        <v>119</v>
      </c>
      <c r="F136" s="28">
        <v>473833</v>
      </c>
      <c r="G136" s="28">
        <v>215248</v>
      </c>
    </row>
    <row r="137" spans="1:9" x14ac:dyDescent="0.3">
      <c r="A137" s="36">
        <v>247</v>
      </c>
      <c r="B137" s="66" t="s">
        <v>28</v>
      </c>
      <c r="C137" s="66" t="s">
        <v>12</v>
      </c>
      <c r="D137" s="36" t="s">
        <v>305</v>
      </c>
      <c r="E137" s="36">
        <v>119</v>
      </c>
      <c r="F137" s="28">
        <v>0</v>
      </c>
      <c r="G137" s="28">
        <v>256735</v>
      </c>
    </row>
    <row r="138" spans="1:9" x14ac:dyDescent="0.3">
      <c r="A138" s="36">
        <v>139</v>
      </c>
      <c r="B138" s="66" t="s">
        <v>28</v>
      </c>
      <c r="C138" s="66" t="s">
        <v>12</v>
      </c>
      <c r="D138" s="36" t="s">
        <v>284</v>
      </c>
      <c r="E138" s="36">
        <v>119</v>
      </c>
      <c r="F138" s="28">
        <v>0</v>
      </c>
      <c r="G138" s="28">
        <v>256738</v>
      </c>
    </row>
    <row r="139" spans="1:9" x14ac:dyDescent="0.3">
      <c r="A139" s="36">
        <v>232</v>
      </c>
      <c r="B139" s="66" t="s">
        <v>28</v>
      </c>
      <c r="C139" s="66" t="s">
        <v>12</v>
      </c>
      <c r="D139" s="36" t="s">
        <v>306</v>
      </c>
      <c r="E139" s="36">
        <v>239</v>
      </c>
      <c r="F139" s="28">
        <v>0</v>
      </c>
      <c r="G139" s="28">
        <v>265111</v>
      </c>
    </row>
    <row r="140" spans="1:9" x14ac:dyDescent="0.3">
      <c r="A140" s="36">
        <v>239</v>
      </c>
      <c r="B140" s="66" t="s">
        <v>28</v>
      </c>
      <c r="C140" s="66" t="s">
        <v>12</v>
      </c>
      <c r="D140" s="36" t="s">
        <v>307</v>
      </c>
      <c r="E140" s="36">
        <v>122</v>
      </c>
      <c r="F140" s="28">
        <v>359637</v>
      </c>
      <c r="G140" s="28">
        <v>314991</v>
      </c>
    </row>
    <row r="141" spans="1:9" x14ac:dyDescent="0.3">
      <c r="A141" s="36">
        <v>232</v>
      </c>
      <c r="B141" s="66" t="s">
        <v>28</v>
      </c>
      <c r="C141" s="66" t="s">
        <v>12</v>
      </c>
      <c r="D141" s="36" t="s">
        <v>308</v>
      </c>
      <c r="E141" s="36">
        <v>238</v>
      </c>
      <c r="F141" s="28">
        <v>0</v>
      </c>
      <c r="G141" s="28">
        <v>335198</v>
      </c>
    </row>
    <row r="142" spans="1:9" x14ac:dyDescent="0.3">
      <c r="A142" s="36">
        <v>275</v>
      </c>
      <c r="B142" s="66" t="s">
        <v>28</v>
      </c>
      <c r="C142" s="66" t="s">
        <v>12</v>
      </c>
      <c r="D142" s="36" t="s">
        <v>309</v>
      </c>
      <c r="E142" s="36">
        <v>275</v>
      </c>
      <c r="F142" s="28">
        <v>55912</v>
      </c>
      <c r="G142" s="28">
        <v>361107</v>
      </c>
    </row>
    <row r="143" spans="1:9" x14ac:dyDescent="0.3">
      <c r="A143" s="36">
        <v>229</v>
      </c>
      <c r="B143" s="66" t="s">
        <v>28</v>
      </c>
      <c r="C143" s="66" t="s">
        <v>12</v>
      </c>
      <c r="D143" s="80" t="s">
        <v>310</v>
      </c>
      <c r="E143" s="80">
        <v>125</v>
      </c>
      <c r="F143" s="28">
        <v>414</v>
      </c>
      <c r="G143" s="28">
        <v>370216</v>
      </c>
      <c r="H143" s="81" t="s">
        <v>28</v>
      </c>
      <c r="I143" s="81" t="s">
        <v>6</v>
      </c>
    </row>
    <row r="144" spans="1:9" x14ac:dyDescent="0.3">
      <c r="A144" s="36">
        <v>237</v>
      </c>
      <c r="B144" s="66" t="s">
        <v>28</v>
      </c>
      <c r="C144" s="66" t="s">
        <v>12</v>
      </c>
      <c r="D144" s="36" t="s">
        <v>311</v>
      </c>
      <c r="E144" s="36">
        <v>238</v>
      </c>
      <c r="F144" s="28">
        <v>845296</v>
      </c>
      <c r="G144" s="28">
        <v>423039</v>
      </c>
    </row>
    <row r="145" spans="1:9" x14ac:dyDescent="0.3">
      <c r="A145" s="36">
        <v>240</v>
      </c>
      <c r="B145" s="66" t="s">
        <v>28</v>
      </c>
      <c r="C145" s="66" t="s">
        <v>12</v>
      </c>
      <c r="D145" s="36" t="s">
        <v>311</v>
      </c>
      <c r="E145" s="36">
        <v>238</v>
      </c>
      <c r="F145" s="28">
        <v>0</v>
      </c>
      <c r="G145" s="28">
        <v>424408</v>
      </c>
    </row>
    <row r="146" spans="1:9" x14ac:dyDescent="0.3">
      <c r="A146" s="36">
        <v>180</v>
      </c>
      <c r="B146" s="66" t="s">
        <v>28</v>
      </c>
      <c r="C146" s="66" t="s">
        <v>12</v>
      </c>
      <c r="D146" s="62" t="s">
        <v>312</v>
      </c>
      <c r="E146" s="62">
        <v>122</v>
      </c>
      <c r="F146" s="28">
        <v>169543</v>
      </c>
      <c r="G146" s="28">
        <v>504908</v>
      </c>
      <c r="H146" s="63" t="s">
        <v>28</v>
      </c>
      <c r="I146" s="63" t="s">
        <v>5</v>
      </c>
    </row>
    <row r="147" spans="1:9" x14ac:dyDescent="0.3">
      <c r="A147" s="36">
        <v>229</v>
      </c>
      <c r="B147" s="66" t="s">
        <v>28</v>
      </c>
      <c r="C147" s="66" t="s">
        <v>12</v>
      </c>
      <c r="D147" s="36" t="s">
        <v>293</v>
      </c>
      <c r="E147" s="36">
        <v>180</v>
      </c>
      <c r="F147" s="28">
        <v>1843046</v>
      </c>
      <c r="G147" s="28">
        <v>505262</v>
      </c>
    </row>
    <row r="148" spans="1:9" x14ac:dyDescent="0.3">
      <c r="A148" s="36">
        <v>119</v>
      </c>
      <c r="B148" s="66" t="s">
        <v>28</v>
      </c>
      <c r="C148" s="66" t="s">
        <v>12</v>
      </c>
      <c r="D148" s="36" t="s">
        <v>313</v>
      </c>
      <c r="E148" s="36">
        <v>228</v>
      </c>
      <c r="F148" s="28">
        <v>249403</v>
      </c>
      <c r="G148" s="28">
        <v>507988</v>
      </c>
    </row>
    <row r="149" spans="1:9" x14ac:dyDescent="0.3">
      <c r="A149" s="36">
        <v>139</v>
      </c>
      <c r="B149" s="66" t="s">
        <v>28</v>
      </c>
      <c r="C149" s="66" t="s">
        <v>12</v>
      </c>
      <c r="D149" s="36" t="s">
        <v>314</v>
      </c>
      <c r="E149" s="36">
        <v>240</v>
      </c>
      <c r="F149" s="28">
        <v>90</v>
      </c>
      <c r="G149" s="28">
        <v>512153</v>
      </c>
    </row>
    <row r="150" spans="1:9" x14ac:dyDescent="0.3">
      <c r="A150" s="36">
        <v>275</v>
      </c>
      <c r="B150" s="66" t="s">
        <v>28</v>
      </c>
      <c r="C150" s="66" t="s">
        <v>12</v>
      </c>
      <c r="D150" s="32" t="s">
        <v>315</v>
      </c>
      <c r="E150" s="32">
        <v>272</v>
      </c>
      <c r="F150" s="28">
        <v>74940</v>
      </c>
      <c r="G150" s="28">
        <v>545174</v>
      </c>
      <c r="H150" s="134" t="s">
        <v>33</v>
      </c>
      <c r="I150" s="135" t="s">
        <v>10</v>
      </c>
    </row>
    <row r="151" spans="1:9" x14ac:dyDescent="0.3">
      <c r="A151" s="36">
        <v>324</v>
      </c>
      <c r="B151" s="66" t="s">
        <v>28</v>
      </c>
      <c r="C151" s="66" t="s">
        <v>12</v>
      </c>
      <c r="D151" s="36" t="s">
        <v>316</v>
      </c>
      <c r="E151" s="36">
        <v>217</v>
      </c>
      <c r="F151" s="28">
        <v>20794</v>
      </c>
      <c r="G151" s="28">
        <v>588790</v>
      </c>
    </row>
    <row r="152" spans="1:9" x14ac:dyDescent="0.3">
      <c r="A152" s="36">
        <v>228</v>
      </c>
      <c r="B152" s="66" t="s">
        <v>28</v>
      </c>
      <c r="C152" s="66" t="s">
        <v>12</v>
      </c>
      <c r="D152" s="57" t="s">
        <v>317</v>
      </c>
      <c r="E152" s="57">
        <v>273</v>
      </c>
      <c r="F152" s="28">
        <v>1147504</v>
      </c>
      <c r="G152" s="28">
        <v>636434</v>
      </c>
      <c r="H152" s="65" t="s">
        <v>28</v>
      </c>
      <c r="I152" s="65" t="s">
        <v>19</v>
      </c>
    </row>
    <row r="153" spans="1:9" x14ac:dyDescent="0.3">
      <c r="A153" s="36">
        <v>238</v>
      </c>
      <c r="B153" s="66" t="s">
        <v>28</v>
      </c>
      <c r="C153" s="66" t="s">
        <v>12</v>
      </c>
      <c r="D153" s="36" t="s">
        <v>318</v>
      </c>
      <c r="E153" s="36">
        <v>237</v>
      </c>
      <c r="F153" s="28">
        <v>308525</v>
      </c>
      <c r="G153" s="28">
        <v>641510</v>
      </c>
    </row>
    <row r="154" spans="1:9" x14ac:dyDescent="0.3">
      <c r="A154" s="36">
        <v>217</v>
      </c>
      <c r="B154" s="66" t="s">
        <v>28</v>
      </c>
      <c r="C154" s="66" t="s">
        <v>12</v>
      </c>
      <c r="D154" s="36" t="s">
        <v>319</v>
      </c>
      <c r="E154" s="36">
        <v>119</v>
      </c>
      <c r="F154" s="28">
        <v>1550175</v>
      </c>
      <c r="G154" s="28">
        <v>664954</v>
      </c>
    </row>
    <row r="155" spans="1:9" x14ac:dyDescent="0.3">
      <c r="A155" s="36">
        <v>122</v>
      </c>
      <c r="B155" s="66" t="s">
        <v>28</v>
      </c>
      <c r="C155" s="66" t="s">
        <v>12</v>
      </c>
      <c r="D155" s="62" t="s">
        <v>320</v>
      </c>
      <c r="E155" s="62">
        <v>122</v>
      </c>
      <c r="F155" s="28">
        <v>48426</v>
      </c>
      <c r="G155" s="28">
        <v>667380</v>
      </c>
      <c r="H155" s="63" t="s">
        <v>28</v>
      </c>
      <c r="I155" s="63" t="s">
        <v>5</v>
      </c>
    </row>
    <row r="156" spans="1:9" x14ac:dyDescent="0.3">
      <c r="A156" s="36">
        <v>217</v>
      </c>
      <c r="B156" s="66" t="s">
        <v>28</v>
      </c>
      <c r="C156" s="66" t="s">
        <v>12</v>
      </c>
      <c r="D156" s="35" t="s">
        <v>321</v>
      </c>
      <c r="E156" s="28"/>
      <c r="F156" s="28">
        <v>15100</v>
      </c>
      <c r="G156" s="28">
        <v>667450</v>
      </c>
    </row>
    <row r="157" spans="1:9" x14ac:dyDescent="0.3">
      <c r="A157" s="36">
        <v>119</v>
      </c>
      <c r="B157" s="66" t="s">
        <v>28</v>
      </c>
      <c r="C157" s="66" t="s">
        <v>12</v>
      </c>
      <c r="D157" s="36" t="s">
        <v>293</v>
      </c>
      <c r="E157" s="36">
        <v>180</v>
      </c>
      <c r="F157" s="28">
        <v>67733</v>
      </c>
      <c r="G157" s="28">
        <v>910929</v>
      </c>
    </row>
    <row r="158" spans="1:9" x14ac:dyDescent="0.3">
      <c r="A158" s="36">
        <v>229</v>
      </c>
      <c r="B158" s="66" t="s">
        <v>28</v>
      </c>
      <c r="C158" s="66" t="s">
        <v>12</v>
      </c>
      <c r="D158" s="36" t="s">
        <v>295</v>
      </c>
      <c r="E158" s="36">
        <v>217</v>
      </c>
      <c r="F158" s="28">
        <v>2</v>
      </c>
      <c r="G158" s="28">
        <v>992215</v>
      </c>
    </row>
    <row r="159" spans="1:9" x14ac:dyDescent="0.3">
      <c r="A159" s="36">
        <v>119</v>
      </c>
      <c r="B159" s="66" t="s">
        <v>28</v>
      </c>
      <c r="C159" s="66" t="s">
        <v>12</v>
      </c>
      <c r="D159" s="36" t="s">
        <v>322</v>
      </c>
      <c r="E159" s="36">
        <v>239</v>
      </c>
      <c r="F159" s="28">
        <v>371667</v>
      </c>
      <c r="G159" s="28">
        <v>1004795</v>
      </c>
    </row>
    <row r="160" spans="1:9" x14ac:dyDescent="0.3">
      <c r="A160" s="36">
        <v>240</v>
      </c>
      <c r="B160" s="66" t="s">
        <v>28</v>
      </c>
      <c r="C160" s="66" t="s">
        <v>12</v>
      </c>
      <c r="D160" s="36" t="s">
        <v>323</v>
      </c>
      <c r="E160" s="36">
        <v>237</v>
      </c>
      <c r="F160" s="28">
        <v>1506357</v>
      </c>
      <c r="G160" s="28">
        <v>1057802</v>
      </c>
    </row>
    <row r="161" spans="1:9" x14ac:dyDescent="0.3">
      <c r="A161" s="36">
        <v>239</v>
      </c>
      <c r="B161" s="66" t="s">
        <v>28</v>
      </c>
      <c r="C161" s="66" t="s">
        <v>12</v>
      </c>
      <c r="D161" s="36" t="s">
        <v>324</v>
      </c>
      <c r="E161" s="36">
        <v>122</v>
      </c>
      <c r="F161" s="28">
        <v>0</v>
      </c>
      <c r="G161" s="28">
        <v>1143571</v>
      </c>
    </row>
    <row r="162" spans="1:9" x14ac:dyDescent="0.3">
      <c r="A162" s="36">
        <v>275</v>
      </c>
      <c r="B162" s="66" t="s">
        <v>28</v>
      </c>
      <c r="C162" s="66" t="s">
        <v>12</v>
      </c>
      <c r="D162" s="36" t="s">
        <v>325</v>
      </c>
      <c r="E162" s="36">
        <v>217</v>
      </c>
      <c r="F162" s="28">
        <v>2322667</v>
      </c>
      <c r="G162" s="28">
        <v>1212954</v>
      </c>
    </row>
    <row r="163" spans="1:9" x14ac:dyDescent="0.3">
      <c r="A163" s="36">
        <v>240</v>
      </c>
      <c r="B163" s="66" t="s">
        <v>28</v>
      </c>
      <c r="C163" s="66" t="s">
        <v>12</v>
      </c>
      <c r="D163" s="36" t="s">
        <v>266</v>
      </c>
      <c r="E163" s="36">
        <v>238</v>
      </c>
      <c r="F163" s="28">
        <v>1451553</v>
      </c>
      <c r="G163" s="28">
        <v>1244927</v>
      </c>
    </row>
    <row r="164" spans="1:9" x14ac:dyDescent="0.3">
      <c r="A164" s="36">
        <v>229</v>
      </c>
      <c r="B164" s="66" t="s">
        <v>28</v>
      </c>
      <c r="C164" s="66" t="s">
        <v>12</v>
      </c>
      <c r="D164" s="36" t="s">
        <v>271</v>
      </c>
      <c r="E164" s="36">
        <v>232</v>
      </c>
      <c r="F164" s="28">
        <v>3371</v>
      </c>
      <c r="G164" s="28">
        <v>1367887</v>
      </c>
    </row>
    <row r="165" spans="1:9" x14ac:dyDescent="0.3">
      <c r="A165" s="36">
        <v>237</v>
      </c>
      <c r="B165" s="66" t="s">
        <v>28</v>
      </c>
      <c r="C165" s="66" t="s">
        <v>12</v>
      </c>
      <c r="D165" s="36" t="s">
        <v>314</v>
      </c>
      <c r="E165" s="36">
        <v>240</v>
      </c>
      <c r="F165" s="28">
        <v>1065281</v>
      </c>
      <c r="G165" s="28">
        <v>1513836</v>
      </c>
    </row>
    <row r="166" spans="1:9" x14ac:dyDescent="0.3">
      <c r="A166" s="36">
        <v>217</v>
      </c>
      <c r="B166" s="66" t="s">
        <v>28</v>
      </c>
      <c r="C166" s="66" t="s">
        <v>12</v>
      </c>
      <c r="D166" s="36" t="s">
        <v>202</v>
      </c>
      <c r="E166" s="36">
        <v>228</v>
      </c>
      <c r="F166" s="28">
        <v>818289</v>
      </c>
      <c r="G166" s="28">
        <v>1580701</v>
      </c>
    </row>
    <row r="167" spans="1:9" x14ac:dyDescent="0.3">
      <c r="A167" s="36">
        <v>247</v>
      </c>
      <c r="B167" s="66" t="s">
        <v>28</v>
      </c>
      <c r="C167" s="66" t="s">
        <v>12</v>
      </c>
      <c r="D167" s="36" t="s">
        <v>314</v>
      </c>
      <c r="E167" s="36">
        <v>240</v>
      </c>
      <c r="F167" s="28">
        <v>1384892</v>
      </c>
      <c r="G167" s="28">
        <v>1591518</v>
      </c>
    </row>
    <row r="168" spans="1:9" x14ac:dyDescent="0.3">
      <c r="A168" s="36">
        <v>119</v>
      </c>
      <c r="B168" s="66" t="s">
        <v>28</v>
      </c>
      <c r="C168" s="66" t="s">
        <v>12</v>
      </c>
      <c r="D168" s="36" t="s">
        <v>295</v>
      </c>
      <c r="E168" s="36">
        <v>217</v>
      </c>
      <c r="F168" s="28">
        <v>707149</v>
      </c>
      <c r="G168" s="28">
        <v>1592388</v>
      </c>
    </row>
    <row r="169" spans="1:9" x14ac:dyDescent="0.3">
      <c r="A169" s="36">
        <v>232</v>
      </c>
      <c r="B169" s="66" t="s">
        <v>28</v>
      </c>
      <c r="C169" s="66" t="s">
        <v>12</v>
      </c>
      <c r="D169" s="36" t="s">
        <v>326</v>
      </c>
      <c r="E169" s="36">
        <v>217</v>
      </c>
      <c r="F169" s="28">
        <v>57258</v>
      </c>
      <c r="G169" s="28">
        <v>1926561</v>
      </c>
    </row>
    <row r="170" spans="1:9" x14ac:dyDescent="0.3">
      <c r="A170" s="36">
        <v>228</v>
      </c>
      <c r="B170" s="66" t="s">
        <v>28</v>
      </c>
      <c r="C170" s="66" t="s">
        <v>12</v>
      </c>
      <c r="D170" s="62" t="s">
        <v>254</v>
      </c>
      <c r="E170" s="62">
        <v>122</v>
      </c>
      <c r="F170" s="28">
        <v>17992</v>
      </c>
      <c r="G170" s="28">
        <v>1939711</v>
      </c>
      <c r="H170" s="63" t="s">
        <v>28</v>
      </c>
      <c r="I170" s="63" t="s">
        <v>5</v>
      </c>
    </row>
    <row r="171" spans="1:9" x14ac:dyDescent="0.3">
      <c r="A171" s="36">
        <v>232</v>
      </c>
      <c r="B171" s="66" t="s">
        <v>28</v>
      </c>
      <c r="C171" s="66" t="s">
        <v>12</v>
      </c>
      <c r="D171" s="36" t="s">
        <v>327</v>
      </c>
      <c r="E171" s="36">
        <v>229</v>
      </c>
      <c r="F171" s="28">
        <v>3389399</v>
      </c>
      <c r="G171" s="28">
        <v>2024883</v>
      </c>
    </row>
    <row r="172" spans="1:9" x14ac:dyDescent="0.3">
      <c r="A172" s="36">
        <v>228</v>
      </c>
      <c r="B172" s="66" t="s">
        <v>28</v>
      </c>
      <c r="C172" s="66" t="s">
        <v>12</v>
      </c>
      <c r="D172" s="80" t="s">
        <v>328</v>
      </c>
      <c r="E172" s="80">
        <v>194</v>
      </c>
      <c r="F172" s="28">
        <v>52584</v>
      </c>
      <c r="G172" s="28">
        <v>2074172</v>
      </c>
      <c r="H172" s="81" t="s">
        <v>28</v>
      </c>
      <c r="I172" s="81" t="s">
        <v>6</v>
      </c>
    </row>
    <row r="173" spans="1:9" x14ac:dyDescent="0.3">
      <c r="A173" s="36">
        <v>228</v>
      </c>
      <c r="B173" s="66" t="s">
        <v>28</v>
      </c>
      <c r="C173" s="66" t="s">
        <v>12</v>
      </c>
      <c r="D173" s="36" t="s">
        <v>293</v>
      </c>
      <c r="E173" s="36">
        <v>180</v>
      </c>
      <c r="F173" s="28">
        <v>32539</v>
      </c>
      <c r="G173" s="28">
        <v>2280650</v>
      </c>
    </row>
    <row r="174" spans="1:9" x14ac:dyDescent="0.3">
      <c r="A174" s="36">
        <v>122</v>
      </c>
      <c r="B174" s="66" t="s">
        <v>28</v>
      </c>
      <c r="C174" s="66" t="s">
        <v>12</v>
      </c>
      <c r="D174" s="36" t="s">
        <v>267</v>
      </c>
      <c r="E174" s="36">
        <v>139</v>
      </c>
      <c r="F174" s="28">
        <v>19500</v>
      </c>
      <c r="G174" s="28">
        <v>2317554</v>
      </c>
    </row>
    <row r="175" spans="1:9" x14ac:dyDescent="0.3">
      <c r="A175" s="36">
        <v>217</v>
      </c>
      <c r="B175" s="66" t="s">
        <v>28</v>
      </c>
      <c r="C175" s="66" t="s">
        <v>12</v>
      </c>
      <c r="D175" s="36" t="s">
        <v>329</v>
      </c>
      <c r="E175" s="36">
        <v>275</v>
      </c>
      <c r="F175" s="28">
        <v>1212951</v>
      </c>
      <c r="G175" s="28">
        <v>2322732</v>
      </c>
    </row>
    <row r="176" spans="1:9" x14ac:dyDescent="0.3">
      <c r="A176" s="36">
        <v>240</v>
      </c>
      <c r="B176" s="66" t="s">
        <v>28</v>
      </c>
      <c r="C176" s="66" t="s">
        <v>12</v>
      </c>
      <c r="D176" s="36" t="s">
        <v>330</v>
      </c>
      <c r="E176" s="36">
        <v>239</v>
      </c>
      <c r="F176" s="28">
        <v>0</v>
      </c>
      <c r="G176" s="28">
        <v>2765983</v>
      </c>
    </row>
    <row r="177" spans="1:9" x14ac:dyDescent="0.3">
      <c r="A177" s="36">
        <v>239</v>
      </c>
      <c r="B177" s="66" t="s">
        <v>28</v>
      </c>
      <c r="C177" s="66" t="s">
        <v>12</v>
      </c>
      <c r="D177" s="36" t="s">
        <v>331</v>
      </c>
      <c r="E177" s="36">
        <v>122</v>
      </c>
      <c r="F177" s="28">
        <v>0</v>
      </c>
      <c r="G177" s="28">
        <v>3220586</v>
      </c>
    </row>
    <row r="178" spans="1:9" x14ac:dyDescent="0.3">
      <c r="A178" s="36">
        <v>122</v>
      </c>
      <c r="B178" s="66" t="s">
        <v>28</v>
      </c>
      <c r="C178" s="66" t="s">
        <v>12</v>
      </c>
      <c r="D178" s="36" t="s">
        <v>266</v>
      </c>
      <c r="E178" s="36">
        <v>238</v>
      </c>
      <c r="F178" s="28">
        <v>448438</v>
      </c>
      <c r="G178" s="28">
        <v>3299087</v>
      </c>
    </row>
    <row r="179" spans="1:9" x14ac:dyDescent="0.3">
      <c r="A179" s="36">
        <v>238</v>
      </c>
      <c r="B179" s="66" t="s">
        <v>28</v>
      </c>
      <c r="C179" s="66" t="s">
        <v>12</v>
      </c>
      <c r="D179" s="36" t="s">
        <v>332</v>
      </c>
      <c r="E179" s="36">
        <v>122</v>
      </c>
      <c r="F179" s="28">
        <v>722837</v>
      </c>
      <c r="G179" s="28">
        <v>3364742</v>
      </c>
    </row>
    <row r="180" spans="1:9" x14ac:dyDescent="0.3">
      <c r="A180" s="36">
        <v>228</v>
      </c>
      <c r="B180" s="66" t="s">
        <v>28</v>
      </c>
      <c r="C180" s="66" t="s">
        <v>12</v>
      </c>
      <c r="D180" s="62" t="s">
        <v>333</v>
      </c>
      <c r="E180" s="62">
        <v>116</v>
      </c>
      <c r="F180" s="28">
        <v>14949</v>
      </c>
      <c r="G180" s="28">
        <v>3670382</v>
      </c>
      <c r="H180" s="63" t="s">
        <v>28</v>
      </c>
      <c r="I180" s="63" t="s">
        <v>5</v>
      </c>
    </row>
    <row r="181" spans="1:9" x14ac:dyDescent="0.3">
      <c r="A181" s="36">
        <v>237</v>
      </c>
      <c r="B181" s="66" t="s">
        <v>28</v>
      </c>
      <c r="C181" s="66" t="s">
        <v>12</v>
      </c>
      <c r="D181" s="36" t="s">
        <v>322</v>
      </c>
      <c r="E181" s="36">
        <v>239</v>
      </c>
      <c r="F181" s="28">
        <v>5297182</v>
      </c>
      <c r="G181" s="28">
        <v>3739797</v>
      </c>
    </row>
    <row r="182" spans="1:9" x14ac:dyDescent="0.3">
      <c r="A182" s="36">
        <v>122</v>
      </c>
      <c r="B182" s="66" t="s">
        <v>28</v>
      </c>
      <c r="C182" s="66" t="s">
        <v>12</v>
      </c>
      <c r="D182" s="35" t="s">
        <v>334</v>
      </c>
      <c r="E182" s="28"/>
      <c r="F182" s="28">
        <v>1810672</v>
      </c>
      <c r="G182" s="28">
        <v>3934588</v>
      </c>
    </row>
    <row r="183" spans="1:9" x14ac:dyDescent="0.3">
      <c r="A183" s="36">
        <v>240</v>
      </c>
      <c r="B183" s="66" t="s">
        <v>28</v>
      </c>
      <c r="C183" s="66" t="s">
        <v>12</v>
      </c>
      <c r="D183" s="36" t="s">
        <v>267</v>
      </c>
      <c r="E183" s="36">
        <v>139</v>
      </c>
      <c r="F183" s="28">
        <v>19214771</v>
      </c>
      <c r="G183" s="28">
        <v>3957613</v>
      </c>
    </row>
    <row r="184" spans="1:9" x14ac:dyDescent="0.3">
      <c r="A184" s="36">
        <v>139</v>
      </c>
      <c r="B184" s="66" t="s">
        <v>28</v>
      </c>
      <c r="C184" s="66" t="s">
        <v>12</v>
      </c>
      <c r="D184" s="36" t="s">
        <v>247</v>
      </c>
      <c r="E184" s="36">
        <v>122</v>
      </c>
      <c r="F184" s="28">
        <v>6295450</v>
      </c>
      <c r="G184" s="28">
        <v>3997396</v>
      </c>
    </row>
    <row r="185" spans="1:9" x14ac:dyDescent="0.3">
      <c r="A185" s="36">
        <v>122</v>
      </c>
      <c r="B185" s="66" t="s">
        <v>28</v>
      </c>
      <c r="C185" s="66" t="s">
        <v>12</v>
      </c>
      <c r="D185" s="36" t="s">
        <v>305</v>
      </c>
      <c r="E185" s="36">
        <v>119</v>
      </c>
      <c r="F185" s="28">
        <v>1779</v>
      </c>
      <c r="G185" s="28">
        <v>4266726</v>
      </c>
    </row>
    <row r="186" spans="1:9" x14ac:dyDescent="0.3">
      <c r="A186" s="36">
        <v>180</v>
      </c>
      <c r="B186" s="66" t="s">
        <v>28</v>
      </c>
      <c r="C186" s="66" t="s">
        <v>12</v>
      </c>
      <c r="D186" s="36" t="s">
        <v>335</v>
      </c>
      <c r="E186" s="36">
        <v>229</v>
      </c>
      <c r="F186" s="28">
        <v>2947333</v>
      </c>
      <c r="G186" s="28">
        <v>4284215</v>
      </c>
    </row>
    <row r="187" spans="1:9" x14ac:dyDescent="0.3">
      <c r="A187" s="36">
        <v>239</v>
      </c>
      <c r="B187" s="66" t="s">
        <v>28</v>
      </c>
      <c r="C187" s="66" t="s">
        <v>12</v>
      </c>
      <c r="D187" s="36" t="s">
        <v>336</v>
      </c>
      <c r="E187" s="36">
        <v>122</v>
      </c>
      <c r="F187" s="28">
        <v>9678</v>
      </c>
      <c r="G187" s="28">
        <v>4497103</v>
      </c>
    </row>
    <row r="188" spans="1:9" x14ac:dyDescent="0.3">
      <c r="A188" s="36">
        <v>240</v>
      </c>
      <c r="B188" s="66" t="s">
        <v>28</v>
      </c>
      <c r="C188" s="66" t="s">
        <v>12</v>
      </c>
      <c r="D188" s="36" t="s">
        <v>295</v>
      </c>
      <c r="E188" s="36">
        <v>217</v>
      </c>
      <c r="F188" s="28">
        <v>128257</v>
      </c>
      <c r="G188" s="28">
        <v>4545635</v>
      </c>
    </row>
    <row r="189" spans="1:9" x14ac:dyDescent="0.3">
      <c r="A189" s="36">
        <v>237</v>
      </c>
      <c r="B189" s="66" t="s">
        <v>28</v>
      </c>
      <c r="C189" s="66" t="s">
        <v>12</v>
      </c>
      <c r="D189" s="36" t="s">
        <v>247</v>
      </c>
      <c r="E189" s="36">
        <v>122</v>
      </c>
      <c r="F189" s="28">
        <v>351856</v>
      </c>
      <c r="G189" s="28">
        <v>4728758</v>
      </c>
    </row>
    <row r="190" spans="1:9" x14ac:dyDescent="0.3">
      <c r="A190" s="36">
        <v>247</v>
      </c>
      <c r="B190" s="66" t="s">
        <v>28</v>
      </c>
      <c r="C190" s="66" t="s">
        <v>12</v>
      </c>
      <c r="D190" s="36" t="s">
        <v>247</v>
      </c>
      <c r="E190" s="36">
        <v>122</v>
      </c>
      <c r="F190" s="28">
        <v>7884351</v>
      </c>
      <c r="G190" s="28">
        <v>5051395</v>
      </c>
    </row>
    <row r="191" spans="1:9" x14ac:dyDescent="0.3">
      <c r="A191" s="36">
        <v>119</v>
      </c>
      <c r="B191" s="66" t="s">
        <v>28</v>
      </c>
      <c r="C191" s="66" t="s">
        <v>12</v>
      </c>
      <c r="D191" s="36" t="s">
        <v>247</v>
      </c>
      <c r="E191" s="36">
        <v>122</v>
      </c>
      <c r="F191" s="28">
        <v>9730636</v>
      </c>
      <c r="G191" s="28">
        <v>5465689</v>
      </c>
    </row>
    <row r="192" spans="1:9" x14ac:dyDescent="0.3">
      <c r="A192" s="36">
        <v>122</v>
      </c>
      <c r="B192" s="66" t="s">
        <v>28</v>
      </c>
      <c r="C192" s="66" t="s">
        <v>12</v>
      </c>
      <c r="D192" s="36" t="s">
        <v>269</v>
      </c>
      <c r="E192" s="36">
        <v>229</v>
      </c>
      <c r="F192" s="28">
        <v>162663</v>
      </c>
      <c r="G192" s="28">
        <v>5945051</v>
      </c>
    </row>
    <row r="193" spans="1:9" x14ac:dyDescent="0.3">
      <c r="A193" s="36">
        <v>229</v>
      </c>
      <c r="B193" s="66" t="s">
        <v>28</v>
      </c>
      <c r="C193" s="66" t="s">
        <v>12</v>
      </c>
      <c r="D193" s="36" t="s">
        <v>337</v>
      </c>
      <c r="E193" s="36">
        <v>228</v>
      </c>
      <c r="F193" s="28">
        <v>1260</v>
      </c>
      <c r="G193" s="28">
        <v>6604450</v>
      </c>
    </row>
    <row r="194" spans="1:9" x14ac:dyDescent="0.3">
      <c r="A194" s="36">
        <v>122</v>
      </c>
      <c r="B194" s="66" t="s">
        <v>28</v>
      </c>
      <c r="C194" s="66" t="s">
        <v>12</v>
      </c>
      <c r="D194" s="80" t="s">
        <v>338</v>
      </c>
      <c r="E194" s="80"/>
      <c r="F194" s="28">
        <v>19137</v>
      </c>
      <c r="G194" s="28">
        <v>7466824</v>
      </c>
      <c r="H194" s="81" t="s">
        <v>28</v>
      </c>
      <c r="I194" s="81" t="s">
        <v>6</v>
      </c>
    </row>
    <row r="195" spans="1:9" x14ac:dyDescent="0.3">
      <c r="A195" s="36">
        <v>232</v>
      </c>
      <c r="B195" s="66" t="s">
        <v>28</v>
      </c>
      <c r="C195" s="66" t="s">
        <v>12</v>
      </c>
      <c r="D195" s="36" t="s">
        <v>339</v>
      </c>
      <c r="E195" s="36">
        <v>122</v>
      </c>
      <c r="F195" s="28">
        <v>18244312</v>
      </c>
      <c r="G195" s="28">
        <v>7494648</v>
      </c>
    </row>
    <row r="196" spans="1:9" x14ac:dyDescent="0.3">
      <c r="A196" s="36">
        <v>122</v>
      </c>
      <c r="B196" s="66" t="s">
        <v>28</v>
      </c>
      <c r="C196" s="66" t="s">
        <v>12</v>
      </c>
      <c r="D196" s="36" t="s">
        <v>271</v>
      </c>
      <c r="E196" s="36">
        <v>232</v>
      </c>
      <c r="F196" s="28">
        <v>0</v>
      </c>
      <c r="G196" s="28">
        <v>10749661</v>
      </c>
    </row>
    <row r="197" spans="1:9" x14ac:dyDescent="0.3">
      <c r="A197" s="36">
        <v>217</v>
      </c>
      <c r="B197" s="66" t="s">
        <v>28</v>
      </c>
      <c r="C197" s="66" t="s">
        <v>12</v>
      </c>
      <c r="D197" s="36" t="s">
        <v>247</v>
      </c>
      <c r="E197" s="36">
        <v>122</v>
      </c>
      <c r="F197" s="28">
        <v>2851705</v>
      </c>
      <c r="G197" s="28">
        <v>10944676</v>
      </c>
    </row>
    <row r="198" spans="1:9" x14ac:dyDescent="0.3">
      <c r="A198" s="36">
        <v>122</v>
      </c>
      <c r="B198" s="66" t="s">
        <v>28</v>
      </c>
      <c r="C198" s="66" t="s">
        <v>12</v>
      </c>
      <c r="D198" s="80" t="s">
        <v>340</v>
      </c>
      <c r="E198" s="80">
        <v>194</v>
      </c>
      <c r="F198" s="28">
        <v>77338</v>
      </c>
      <c r="G198" s="28">
        <v>13257954</v>
      </c>
      <c r="H198" s="81" t="s">
        <v>28</v>
      </c>
      <c r="I198" s="81" t="s">
        <v>6</v>
      </c>
    </row>
    <row r="199" spans="1:9" x14ac:dyDescent="0.3">
      <c r="A199" s="36">
        <v>122</v>
      </c>
      <c r="B199" s="66" t="s">
        <v>28</v>
      </c>
      <c r="C199" s="66" t="s">
        <v>12</v>
      </c>
      <c r="D199" s="36" t="s">
        <v>314</v>
      </c>
      <c r="E199" s="36">
        <v>240</v>
      </c>
      <c r="F199" s="28">
        <v>0</v>
      </c>
      <c r="G199" s="28">
        <v>15257157</v>
      </c>
    </row>
    <row r="200" spans="1:9" x14ac:dyDescent="0.3">
      <c r="A200" s="36">
        <v>122</v>
      </c>
      <c r="B200" s="66" t="s">
        <v>28</v>
      </c>
      <c r="C200" s="66" t="s">
        <v>12</v>
      </c>
      <c r="D200" s="80" t="s">
        <v>310</v>
      </c>
      <c r="E200" s="80">
        <v>125</v>
      </c>
      <c r="F200" s="28">
        <v>23767</v>
      </c>
      <c r="G200" s="28">
        <v>15696803</v>
      </c>
      <c r="H200" s="81" t="s">
        <v>28</v>
      </c>
      <c r="I200" s="81" t="s">
        <v>6</v>
      </c>
    </row>
    <row r="201" spans="1:9" x14ac:dyDescent="0.3">
      <c r="A201" s="36">
        <v>312</v>
      </c>
      <c r="B201" s="66" t="s">
        <v>28</v>
      </c>
      <c r="C201" s="66" t="s">
        <v>12</v>
      </c>
      <c r="D201" s="36" t="s">
        <v>341</v>
      </c>
      <c r="E201" s="36">
        <v>217</v>
      </c>
      <c r="F201" s="28">
        <v>237350</v>
      </c>
      <c r="G201" s="28">
        <v>770340</v>
      </c>
    </row>
    <row r="202" spans="1:9" x14ac:dyDescent="0.3">
      <c r="A202" s="57">
        <v>273</v>
      </c>
      <c r="B202" s="65" t="s">
        <v>28</v>
      </c>
      <c r="C202" s="65" t="s">
        <v>19</v>
      </c>
      <c r="D202" s="32" t="s">
        <v>342</v>
      </c>
      <c r="E202" s="32">
        <v>209</v>
      </c>
      <c r="F202" s="28">
        <v>1281</v>
      </c>
      <c r="G202" s="28">
        <v>0</v>
      </c>
      <c r="H202" s="134" t="s">
        <v>33</v>
      </c>
      <c r="I202" s="135" t="s">
        <v>10</v>
      </c>
    </row>
    <row r="203" spans="1:9" x14ac:dyDescent="0.3">
      <c r="A203" s="57">
        <v>273</v>
      </c>
      <c r="B203" s="65" t="s">
        <v>28</v>
      </c>
      <c r="C203" s="65" t="s">
        <v>19</v>
      </c>
      <c r="D203" s="26" t="s">
        <v>138</v>
      </c>
      <c r="E203" s="26">
        <v>257</v>
      </c>
      <c r="F203" s="26">
        <v>73800</v>
      </c>
      <c r="G203" s="26">
        <v>0</v>
      </c>
      <c r="H203" t="s">
        <v>419</v>
      </c>
    </row>
    <row r="204" spans="1:9" x14ac:dyDescent="0.3">
      <c r="A204" s="57">
        <v>273</v>
      </c>
      <c r="B204" s="65" t="s">
        <v>28</v>
      </c>
      <c r="C204" s="65" t="s">
        <v>19</v>
      </c>
      <c r="D204" s="36" t="s">
        <v>343</v>
      </c>
      <c r="E204" s="36">
        <v>275</v>
      </c>
      <c r="F204" s="28">
        <v>305326</v>
      </c>
      <c r="G204" s="28">
        <v>0</v>
      </c>
      <c r="H204" s="66" t="s">
        <v>28</v>
      </c>
      <c r="I204" s="66" t="s">
        <v>12</v>
      </c>
    </row>
    <row r="205" spans="1:9" x14ac:dyDescent="0.3">
      <c r="A205" s="57">
        <v>273</v>
      </c>
      <c r="B205" s="65" t="s">
        <v>28</v>
      </c>
      <c r="C205" s="65" t="s">
        <v>19</v>
      </c>
      <c r="D205" s="62" t="s">
        <v>344</v>
      </c>
      <c r="E205" s="62">
        <v>236</v>
      </c>
      <c r="F205" s="28">
        <v>2506973</v>
      </c>
      <c r="G205" s="28">
        <v>0</v>
      </c>
      <c r="H205" s="63" t="s">
        <v>28</v>
      </c>
      <c r="I205" s="63" t="s">
        <v>5</v>
      </c>
    </row>
    <row r="206" spans="1:9" x14ac:dyDescent="0.3">
      <c r="A206" s="57">
        <v>273</v>
      </c>
      <c r="B206" s="65" t="s">
        <v>28</v>
      </c>
      <c r="C206" s="65" t="s">
        <v>19</v>
      </c>
      <c r="D206" s="62" t="s">
        <v>224</v>
      </c>
      <c r="E206" s="62">
        <v>244</v>
      </c>
      <c r="F206" s="28">
        <v>0</v>
      </c>
      <c r="G206" s="28">
        <v>24281</v>
      </c>
      <c r="H206" s="63" t="s">
        <v>28</v>
      </c>
      <c r="I206" s="63" t="s">
        <v>5</v>
      </c>
    </row>
    <row r="207" spans="1:9" x14ac:dyDescent="0.3">
      <c r="A207" s="57">
        <v>235</v>
      </c>
      <c r="B207" s="65" t="s">
        <v>28</v>
      </c>
      <c r="C207" s="65" t="s">
        <v>19</v>
      </c>
      <c r="D207" s="50" t="s">
        <v>345</v>
      </c>
      <c r="E207" s="50">
        <v>259</v>
      </c>
      <c r="F207" s="28">
        <v>14614</v>
      </c>
      <c r="G207" s="28">
        <v>31336</v>
      </c>
      <c r="H207" s="59" t="s">
        <v>36</v>
      </c>
      <c r="I207" s="59" t="s">
        <v>21</v>
      </c>
    </row>
    <row r="208" spans="1:9" x14ac:dyDescent="0.3">
      <c r="A208" s="57">
        <v>273</v>
      </c>
      <c r="B208" s="65" t="s">
        <v>28</v>
      </c>
      <c r="C208" s="65" t="s">
        <v>19</v>
      </c>
      <c r="D208" s="32" t="s">
        <v>346</v>
      </c>
      <c r="E208" s="32">
        <v>272</v>
      </c>
      <c r="F208" s="28">
        <v>0</v>
      </c>
      <c r="G208" s="28">
        <v>457661</v>
      </c>
      <c r="H208" s="134" t="s">
        <v>33</v>
      </c>
      <c r="I208" s="135" t="s">
        <v>10</v>
      </c>
    </row>
    <row r="209" spans="1:9" x14ac:dyDescent="0.3">
      <c r="A209" s="57">
        <v>273</v>
      </c>
      <c r="B209" s="65" t="s">
        <v>28</v>
      </c>
      <c r="C209" s="65" t="s">
        <v>19</v>
      </c>
      <c r="D209" s="36" t="s">
        <v>347</v>
      </c>
      <c r="E209" s="36">
        <v>228</v>
      </c>
      <c r="F209" s="28">
        <v>0</v>
      </c>
      <c r="G209" s="28">
        <v>511443</v>
      </c>
      <c r="H209" s="66" t="s">
        <v>28</v>
      </c>
      <c r="I209" s="66" t="s">
        <v>12</v>
      </c>
    </row>
    <row r="210" spans="1:9" x14ac:dyDescent="0.3">
      <c r="A210" s="57">
        <v>235</v>
      </c>
      <c r="B210" s="65" t="s">
        <v>28</v>
      </c>
      <c r="C210" s="65" t="s">
        <v>19</v>
      </c>
      <c r="D210" s="62" t="s">
        <v>348</v>
      </c>
      <c r="E210" s="62">
        <v>236</v>
      </c>
      <c r="F210" s="28">
        <v>0</v>
      </c>
      <c r="G210" s="28">
        <v>1089974</v>
      </c>
      <c r="H210" s="63" t="s">
        <v>28</v>
      </c>
      <c r="I210" s="63" t="s">
        <v>5</v>
      </c>
    </row>
    <row r="211" spans="1:9" x14ac:dyDescent="0.3">
      <c r="A211" s="57">
        <v>273</v>
      </c>
      <c r="B211" s="65" t="s">
        <v>28</v>
      </c>
      <c r="C211" s="65" t="s">
        <v>19</v>
      </c>
      <c r="D211" s="62" t="s">
        <v>349</v>
      </c>
      <c r="E211" s="62">
        <v>116</v>
      </c>
      <c r="F211" s="28">
        <v>0</v>
      </c>
      <c r="G211" s="28">
        <v>2180194</v>
      </c>
      <c r="H211" s="63" t="s">
        <v>28</v>
      </c>
      <c r="I211" s="63" t="s">
        <v>5</v>
      </c>
    </row>
    <row r="212" spans="1:9" x14ac:dyDescent="0.3">
      <c r="A212" s="57">
        <v>273</v>
      </c>
      <c r="B212" s="65" t="s">
        <v>28</v>
      </c>
      <c r="C212" s="65" t="s">
        <v>19</v>
      </c>
      <c r="D212" s="62" t="s">
        <v>350</v>
      </c>
      <c r="E212" s="62">
        <v>266</v>
      </c>
      <c r="F212" s="28">
        <v>0</v>
      </c>
      <c r="G212" s="28">
        <v>2541993</v>
      </c>
      <c r="H212" s="63" t="s">
        <v>28</v>
      </c>
      <c r="I212" s="63" t="s">
        <v>5</v>
      </c>
    </row>
    <row r="213" spans="1:9" x14ac:dyDescent="0.3">
      <c r="A213" s="57">
        <v>273</v>
      </c>
      <c r="B213" s="65" t="s">
        <v>28</v>
      </c>
      <c r="C213" s="65" t="s">
        <v>19</v>
      </c>
      <c r="D213" s="62" t="s">
        <v>351</v>
      </c>
      <c r="E213" s="62">
        <v>274</v>
      </c>
      <c r="F213" s="28">
        <v>0</v>
      </c>
      <c r="G213" s="28">
        <v>3798691</v>
      </c>
      <c r="H213" s="63" t="s">
        <v>28</v>
      </c>
      <c r="I213" s="63" t="s">
        <v>5</v>
      </c>
    </row>
    <row r="214" spans="1:9" x14ac:dyDescent="0.3">
      <c r="A214" s="57">
        <v>235</v>
      </c>
      <c r="B214" s="65" t="s">
        <v>28</v>
      </c>
      <c r="C214" s="65" t="s">
        <v>19</v>
      </c>
      <c r="D214" s="57" t="s">
        <v>352</v>
      </c>
      <c r="E214" s="57">
        <v>273</v>
      </c>
      <c r="F214" s="28">
        <v>9960086</v>
      </c>
      <c r="G214" s="28">
        <v>3856302</v>
      </c>
    </row>
    <row r="215" spans="1:9" x14ac:dyDescent="0.3">
      <c r="A215" s="57">
        <v>273</v>
      </c>
      <c r="B215" s="65" t="s">
        <v>28</v>
      </c>
      <c r="C215" s="65" t="s">
        <v>19</v>
      </c>
      <c r="D215" s="57" t="s">
        <v>353</v>
      </c>
      <c r="E215" s="57">
        <v>235</v>
      </c>
      <c r="F215" s="28">
        <v>0</v>
      </c>
      <c r="G215" s="28">
        <v>6465821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6" sqref="C16"/>
    </sheetView>
  </sheetViews>
  <sheetFormatPr defaultRowHeight="14.4" x14ac:dyDescent="0.3"/>
  <cols>
    <col min="1" max="1" width="14.77734375" bestFit="1" customWidth="1"/>
    <col min="2" max="2" width="14.5546875" customWidth="1"/>
    <col min="3" max="3" width="27.5546875" customWidth="1"/>
    <col min="4" max="4" width="27.109375" bestFit="1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7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7" x14ac:dyDescent="0.3">
      <c r="A2" s="28">
        <v>321</v>
      </c>
      <c r="B2" s="28" t="s">
        <v>354</v>
      </c>
      <c r="C2" s="67" t="s">
        <v>355</v>
      </c>
      <c r="D2" s="28" t="s">
        <v>356</v>
      </c>
      <c r="E2" s="28"/>
      <c r="F2" s="28">
        <v>138329</v>
      </c>
      <c r="G2" s="28">
        <v>0</v>
      </c>
    </row>
    <row r="3" spans="1:7" x14ac:dyDescent="0.3">
      <c r="A3" s="28">
        <v>321</v>
      </c>
      <c r="B3" s="28" t="s">
        <v>354</v>
      </c>
      <c r="C3" s="67" t="s">
        <v>355</v>
      </c>
      <c r="D3" s="28" t="s">
        <v>153</v>
      </c>
      <c r="E3" s="28"/>
      <c r="F3" s="28">
        <v>4308038</v>
      </c>
      <c r="G3" s="28">
        <v>38390</v>
      </c>
    </row>
    <row r="4" spans="1:7" x14ac:dyDescent="0.3">
      <c r="A4" s="28">
        <v>321</v>
      </c>
      <c r="B4" s="28" t="s">
        <v>354</v>
      </c>
      <c r="C4" s="67" t="s">
        <v>355</v>
      </c>
      <c r="D4" s="28" t="s">
        <v>359</v>
      </c>
      <c r="E4" s="28"/>
      <c r="F4" s="28">
        <v>468226</v>
      </c>
      <c r="G4" s="28">
        <v>119709</v>
      </c>
    </row>
    <row r="5" spans="1:7" x14ac:dyDescent="0.3">
      <c r="A5" s="28">
        <v>321</v>
      </c>
      <c r="B5" s="28" t="s">
        <v>354</v>
      </c>
      <c r="C5" s="67" t="s">
        <v>355</v>
      </c>
      <c r="D5" s="35" t="s">
        <v>361</v>
      </c>
      <c r="E5" s="35"/>
      <c r="F5" s="28">
        <v>7534199</v>
      </c>
      <c r="G5" s="28">
        <v>190265</v>
      </c>
    </row>
    <row r="6" spans="1:7" x14ac:dyDescent="0.3">
      <c r="A6" s="28">
        <v>321</v>
      </c>
      <c r="B6" s="28" t="s">
        <v>354</v>
      </c>
      <c r="C6" s="67" t="s">
        <v>355</v>
      </c>
      <c r="D6" s="28" t="s">
        <v>362</v>
      </c>
      <c r="E6" s="28"/>
      <c r="F6" s="28">
        <v>645766</v>
      </c>
      <c r="G6" s="28">
        <v>237484</v>
      </c>
    </row>
    <row r="7" spans="1:7" x14ac:dyDescent="0.3">
      <c r="A7" s="28">
        <v>321</v>
      </c>
      <c r="B7" s="28" t="s">
        <v>354</v>
      </c>
      <c r="C7" s="67" t="s">
        <v>355</v>
      </c>
      <c r="D7" s="28" t="s">
        <v>364</v>
      </c>
      <c r="E7" s="28"/>
      <c r="F7" s="28">
        <v>473851</v>
      </c>
      <c r="G7" s="28">
        <v>575438</v>
      </c>
    </row>
    <row r="8" spans="1:7" x14ac:dyDescent="0.3">
      <c r="A8" s="28">
        <v>321</v>
      </c>
      <c r="B8" s="28" t="s">
        <v>354</v>
      </c>
      <c r="C8" s="67" t="s">
        <v>355</v>
      </c>
      <c r="D8" s="28" t="s">
        <v>365</v>
      </c>
      <c r="E8" s="28"/>
      <c r="F8" s="28">
        <v>8876644</v>
      </c>
      <c r="G8" s="28">
        <v>633757</v>
      </c>
    </row>
    <row r="11" spans="1:7" x14ac:dyDescent="0.3">
      <c r="A11" t="s">
        <v>416</v>
      </c>
    </row>
    <row r="13" spans="1:7" x14ac:dyDescent="0.3">
      <c r="B13" t="s">
        <v>415</v>
      </c>
    </row>
    <row r="14" spans="1:7" x14ac:dyDescent="0.3">
      <c r="B14" t="s">
        <v>377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J16" sqref="J16"/>
    </sheetView>
  </sheetViews>
  <sheetFormatPr defaultRowHeight="14.4" x14ac:dyDescent="0.3"/>
  <sheetData>
    <row r="1" spans="1:21" x14ac:dyDescent="0.3">
      <c r="G1" t="s">
        <v>468</v>
      </c>
    </row>
    <row r="2" spans="1:21" x14ac:dyDescent="0.3">
      <c r="A2" t="s">
        <v>464</v>
      </c>
      <c r="E2" t="s">
        <v>465</v>
      </c>
      <c r="G2" t="s">
        <v>466</v>
      </c>
      <c r="N2" t="s">
        <v>56</v>
      </c>
      <c r="O2" t="s">
        <v>467</v>
      </c>
    </row>
    <row r="3" spans="1:21" x14ac:dyDescent="0.3">
      <c r="A3" t="s">
        <v>460</v>
      </c>
      <c r="B3" t="s">
        <v>463</v>
      </c>
      <c r="C3" t="s">
        <v>461</v>
      </c>
      <c r="D3" t="s">
        <v>462</v>
      </c>
      <c r="E3" t="s">
        <v>477</v>
      </c>
      <c r="F3" t="s">
        <v>476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56</v>
      </c>
      <c r="O3" t="s">
        <v>23</v>
      </c>
      <c r="P3" t="s">
        <v>24</v>
      </c>
      <c r="Q3" t="s">
        <v>25</v>
      </c>
      <c r="R3" t="s">
        <v>20</v>
      </c>
      <c r="S3" t="s">
        <v>5</v>
      </c>
      <c r="T3" t="s">
        <v>12</v>
      </c>
      <c r="U3" t="s">
        <v>19</v>
      </c>
    </row>
    <row r="4" spans="1:21" x14ac:dyDescent="0.3">
      <c r="A4" t="s">
        <v>27</v>
      </c>
      <c r="B4" t="s">
        <v>425</v>
      </c>
      <c r="C4" t="s">
        <v>3</v>
      </c>
      <c r="D4" t="s">
        <v>425</v>
      </c>
      <c r="E4">
        <v>1</v>
      </c>
      <c r="F4">
        <v>0</v>
      </c>
    </row>
    <row r="5" spans="1:21" x14ac:dyDescent="0.3">
      <c r="A5" t="s">
        <v>27</v>
      </c>
      <c r="B5" t="s">
        <v>425</v>
      </c>
      <c r="C5" t="s">
        <v>4</v>
      </c>
      <c r="D5" t="s">
        <v>426</v>
      </c>
      <c r="E5">
        <v>1</v>
      </c>
      <c r="F5">
        <v>0</v>
      </c>
    </row>
    <row r="6" spans="1:21" x14ac:dyDescent="0.3">
      <c r="A6" t="s">
        <v>8</v>
      </c>
      <c r="B6" t="s">
        <v>451</v>
      </c>
      <c r="C6" t="s">
        <v>8</v>
      </c>
      <c r="D6" t="s">
        <v>430</v>
      </c>
      <c r="E6">
        <v>0.98942293550012295</v>
      </c>
      <c r="F6">
        <v>1.0577064499877054E-2</v>
      </c>
    </row>
    <row r="7" spans="1:21" x14ac:dyDescent="0.3">
      <c r="A7" t="s">
        <v>30</v>
      </c>
      <c r="B7" t="s">
        <v>452</v>
      </c>
      <c r="C7" t="s">
        <v>9</v>
      </c>
      <c r="D7" t="s">
        <v>431</v>
      </c>
      <c r="E7">
        <v>1</v>
      </c>
      <c r="F7">
        <v>0</v>
      </c>
    </row>
    <row r="8" spans="1:21" x14ac:dyDescent="0.3">
      <c r="A8" t="s">
        <v>30</v>
      </c>
      <c r="B8" t="s">
        <v>452</v>
      </c>
      <c r="C8" t="s">
        <v>31</v>
      </c>
      <c r="D8" t="s">
        <v>432</v>
      </c>
      <c r="E8">
        <v>1</v>
      </c>
      <c r="F8">
        <v>0</v>
      </c>
    </row>
    <row r="9" spans="1:21" x14ac:dyDescent="0.3">
      <c r="A9" t="s">
        <v>33</v>
      </c>
      <c r="B9" t="s">
        <v>453</v>
      </c>
      <c r="C9" t="s">
        <v>32</v>
      </c>
      <c r="D9" t="s">
        <v>433</v>
      </c>
      <c r="E9">
        <v>0.96847386627010246</v>
      </c>
      <c r="F9">
        <v>3.1526133729897543E-2</v>
      </c>
      <c r="I9">
        <v>4.066930048803161E-3</v>
      </c>
      <c r="J9">
        <v>0.99593306995119679</v>
      </c>
    </row>
    <row r="10" spans="1:21" x14ac:dyDescent="0.3">
      <c r="A10" t="s">
        <v>33</v>
      </c>
      <c r="B10" t="s">
        <v>453</v>
      </c>
      <c r="C10" t="s">
        <v>10</v>
      </c>
      <c r="D10" t="s">
        <v>434</v>
      </c>
      <c r="E10">
        <v>0.96536053329419147</v>
      </c>
      <c r="F10">
        <v>3.463946670580853E-2</v>
      </c>
      <c r="I10">
        <v>4.066930048803161E-3</v>
      </c>
      <c r="J10">
        <v>0.99593306995119679</v>
      </c>
    </row>
    <row r="11" spans="1:21" x14ac:dyDescent="0.3">
      <c r="A11" t="s">
        <v>35</v>
      </c>
      <c r="B11" t="s">
        <v>454</v>
      </c>
      <c r="C11" t="s">
        <v>11</v>
      </c>
      <c r="D11" t="s">
        <v>435</v>
      </c>
      <c r="E11">
        <v>0.82997687625982741</v>
      </c>
      <c r="F11">
        <v>0.17002312374017259</v>
      </c>
      <c r="K11">
        <v>0.4</v>
      </c>
      <c r="L11">
        <v>0.55000000000000004</v>
      </c>
      <c r="M11">
        <v>0.05</v>
      </c>
    </row>
    <row r="12" spans="1:21" x14ac:dyDescent="0.3">
      <c r="A12" t="s">
        <v>35</v>
      </c>
      <c r="B12" t="s">
        <v>454</v>
      </c>
      <c r="C12" t="s">
        <v>13</v>
      </c>
      <c r="D12" t="s">
        <v>437</v>
      </c>
      <c r="E12">
        <v>0.64950978302617068</v>
      </c>
      <c r="F12">
        <v>0.35049021697382932</v>
      </c>
      <c r="K12">
        <v>0.4</v>
      </c>
      <c r="L12">
        <v>0.55000000000000004</v>
      </c>
      <c r="M12">
        <v>0.05</v>
      </c>
    </row>
    <row r="13" spans="1:21" x14ac:dyDescent="0.3">
      <c r="A13" t="s">
        <v>35</v>
      </c>
      <c r="B13" t="s">
        <v>454</v>
      </c>
      <c r="C13" t="s">
        <v>14</v>
      </c>
      <c r="D13" t="s">
        <v>438</v>
      </c>
      <c r="E13">
        <v>0.85502609032650656</v>
      </c>
      <c r="F13">
        <v>0.14497390967349344</v>
      </c>
      <c r="K13">
        <v>0.4</v>
      </c>
      <c r="L13">
        <v>0.55000000000000004</v>
      </c>
      <c r="M13">
        <v>0.05</v>
      </c>
    </row>
    <row r="14" spans="1:21" x14ac:dyDescent="0.3">
      <c r="A14" t="s">
        <v>35</v>
      </c>
      <c r="B14" t="s">
        <v>454</v>
      </c>
      <c r="C14" t="s">
        <v>15</v>
      </c>
      <c r="D14" t="s">
        <v>439</v>
      </c>
      <c r="E14">
        <v>0.85502609032650656</v>
      </c>
      <c r="F14">
        <v>0.14497390967349344</v>
      </c>
      <c r="K14">
        <v>0.4</v>
      </c>
      <c r="L14">
        <v>0.55000000000000004</v>
      </c>
      <c r="M14">
        <v>0.05</v>
      </c>
    </row>
    <row r="15" spans="1:21" x14ac:dyDescent="0.3">
      <c r="A15" t="s">
        <v>34</v>
      </c>
      <c r="B15" t="s">
        <v>455</v>
      </c>
      <c r="C15" t="s">
        <v>16</v>
      </c>
      <c r="D15" t="s">
        <v>440</v>
      </c>
      <c r="E15">
        <v>0.97967953704898292</v>
      </c>
      <c r="F15">
        <v>2.0320462951017082E-2</v>
      </c>
    </row>
    <row r="16" spans="1:21" x14ac:dyDescent="0.3">
      <c r="A16" t="s">
        <v>34</v>
      </c>
      <c r="B16" t="s">
        <v>455</v>
      </c>
      <c r="C16" t="s">
        <v>17</v>
      </c>
      <c r="D16" t="s">
        <v>441</v>
      </c>
      <c r="E16">
        <v>1</v>
      </c>
      <c r="F16">
        <v>0</v>
      </c>
    </row>
    <row r="17" spans="1:21" x14ac:dyDescent="0.3">
      <c r="A17" t="s">
        <v>34</v>
      </c>
      <c r="B17" t="s">
        <v>455</v>
      </c>
      <c r="C17" t="s">
        <v>18</v>
      </c>
      <c r="D17" t="s">
        <v>442</v>
      </c>
      <c r="E17">
        <v>0.98559833688562515</v>
      </c>
      <c r="F17">
        <v>1.4401663114374852E-2</v>
      </c>
    </row>
    <row r="18" spans="1:21" x14ac:dyDescent="0.3">
      <c r="A18" t="s">
        <v>37</v>
      </c>
      <c r="B18" t="s">
        <v>456</v>
      </c>
      <c r="C18" t="s">
        <v>22</v>
      </c>
      <c r="D18" t="s">
        <v>446</v>
      </c>
      <c r="E18">
        <v>1</v>
      </c>
      <c r="F18">
        <v>0</v>
      </c>
    </row>
    <row r="19" spans="1:21" x14ac:dyDescent="0.3">
      <c r="A19" t="s">
        <v>37</v>
      </c>
      <c r="B19" t="s">
        <v>456</v>
      </c>
      <c r="C19" t="s">
        <v>23</v>
      </c>
      <c r="D19" t="s">
        <v>447</v>
      </c>
      <c r="E19">
        <v>1</v>
      </c>
      <c r="F19">
        <v>0</v>
      </c>
    </row>
    <row r="20" spans="1:21" x14ac:dyDescent="0.3">
      <c r="A20" t="s">
        <v>37</v>
      </c>
      <c r="B20" t="s">
        <v>456</v>
      </c>
      <c r="C20" t="s">
        <v>24</v>
      </c>
      <c r="D20" t="s">
        <v>448</v>
      </c>
      <c r="E20">
        <v>1</v>
      </c>
      <c r="F20">
        <v>0</v>
      </c>
    </row>
    <row r="21" spans="1:21" x14ac:dyDescent="0.3">
      <c r="A21" t="s">
        <v>37</v>
      </c>
      <c r="B21" t="s">
        <v>456</v>
      </c>
      <c r="C21" t="s">
        <v>25</v>
      </c>
      <c r="D21" t="s">
        <v>449</v>
      </c>
      <c r="E21">
        <v>1</v>
      </c>
      <c r="F21">
        <v>0</v>
      </c>
    </row>
    <row r="22" spans="1:21" x14ac:dyDescent="0.3">
      <c r="A22" t="s">
        <v>37</v>
      </c>
      <c r="B22" t="s">
        <v>456</v>
      </c>
      <c r="C22" t="s">
        <v>26</v>
      </c>
      <c r="D22" t="s">
        <v>450</v>
      </c>
      <c r="E22">
        <v>0.99031843912838846</v>
      </c>
      <c r="F22">
        <v>9.6815608716115387E-3</v>
      </c>
      <c r="O22">
        <v>0.13428262071356839</v>
      </c>
      <c r="P22">
        <v>0.2311990809104881</v>
      </c>
      <c r="Q22">
        <v>0.63451829837594353</v>
      </c>
    </row>
    <row r="23" spans="1:21" x14ac:dyDescent="0.3">
      <c r="A23" t="s">
        <v>36</v>
      </c>
      <c r="B23" t="s">
        <v>457</v>
      </c>
      <c r="C23" t="s">
        <v>20</v>
      </c>
      <c r="D23" t="s">
        <v>444</v>
      </c>
      <c r="E23">
        <v>0.98730462008093378</v>
      </c>
      <c r="F23">
        <v>1.2695379919066219E-2</v>
      </c>
      <c r="R23">
        <v>1</v>
      </c>
    </row>
    <row r="24" spans="1:21" x14ac:dyDescent="0.3">
      <c r="A24" t="s">
        <v>36</v>
      </c>
      <c r="B24" t="s">
        <v>457</v>
      </c>
      <c r="C24" t="s">
        <v>21</v>
      </c>
      <c r="D24" t="s">
        <v>445</v>
      </c>
      <c r="E24">
        <v>1</v>
      </c>
      <c r="F24">
        <v>0</v>
      </c>
    </row>
    <row r="25" spans="1:21" x14ac:dyDescent="0.3">
      <c r="A25" t="s">
        <v>29</v>
      </c>
      <c r="B25" t="s">
        <v>458</v>
      </c>
      <c r="C25" t="s">
        <v>7</v>
      </c>
      <c r="D25" t="s">
        <v>429</v>
      </c>
      <c r="E25">
        <v>1</v>
      </c>
      <c r="F25">
        <v>0</v>
      </c>
    </row>
    <row r="26" spans="1:21" x14ac:dyDescent="0.3">
      <c r="A26" t="s">
        <v>28</v>
      </c>
      <c r="B26" t="s">
        <v>459</v>
      </c>
      <c r="C26" t="s">
        <v>5</v>
      </c>
      <c r="D26" t="s">
        <v>427</v>
      </c>
      <c r="E26">
        <v>1</v>
      </c>
      <c r="F26">
        <v>0</v>
      </c>
    </row>
    <row r="27" spans="1:21" x14ac:dyDescent="0.3">
      <c r="A27" t="s">
        <v>28</v>
      </c>
      <c r="B27" t="s">
        <v>459</v>
      </c>
      <c r="C27" t="s">
        <v>6</v>
      </c>
      <c r="D27" t="s">
        <v>428</v>
      </c>
      <c r="E27">
        <v>0.71452048457503836</v>
      </c>
      <c r="F27">
        <v>0.28547951542496164</v>
      </c>
      <c r="G27">
        <v>9.1497658921968275E-2</v>
      </c>
      <c r="H27">
        <v>6.4339124596921569E-4</v>
      </c>
      <c r="N27">
        <v>1.1822314144684338E-2</v>
      </c>
      <c r="S27">
        <v>0.28861313799975108</v>
      </c>
      <c r="T27">
        <v>0.51082351109986002</v>
      </c>
      <c r="U27">
        <v>9.6599986587767098E-2</v>
      </c>
    </row>
    <row r="28" spans="1:21" x14ac:dyDescent="0.3">
      <c r="A28" t="s">
        <v>28</v>
      </c>
      <c r="B28" t="s">
        <v>459</v>
      </c>
      <c r="C28" t="s">
        <v>12</v>
      </c>
      <c r="D28" t="s">
        <v>436</v>
      </c>
      <c r="E28">
        <v>1</v>
      </c>
      <c r="F28">
        <v>0</v>
      </c>
    </row>
    <row r="29" spans="1:21" x14ac:dyDescent="0.3">
      <c r="A29" t="s">
        <v>28</v>
      </c>
      <c r="B29" t="s">
        <v>459</v>
      </c>
      <c r="C29" t="s">
        <v>19</v>
      </c>
      <c r="D29" t="s">
        <v>443</v>
      </c>
      <c r="E29">
        <v>1</v>
      </c>
      <c r="F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6"/>
  <sheetViews>
    <sheetView zoomScale="80" zoomScaleNormal="8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J29" sqref="AJ29"/>
    </sheetView>
  </sheetViews>
  <sheetFormatPr defaultRowHeight="14.4" x14ac:dyDescent="0.3"/>
  <cols>
    <col min="1" max="1" width="17.77734375" customWidth="1"/>
    <col min="2" max="2" width="18.6640625" customWidth="1"/>
    <col min="3" max="3" width="22.5546875" customWidth="1"/>
    <col min="4" max="6" width="27.5546875" customWidth="1"/>
    <col min="7" max="7" width="30.44140625" customWidth="1"/>
    <col min="8" max="8" width="34.33203125" customWidth="1"/>
    <col min="9" max="9" width="19.44140625" hidden="1" customWidth="1"/>
    <col min="10" max="12" width="18.44140625" hidden="1" customWidth="1"/>
    <col min="13" max="13" width="26.109375" customWidth="1"/>
    <col min="14" max="14" width="21.77734375" customWidth="1"/>
    <col min="15" max="15" width="30.21875" customWidth="1"/>
    <col min="16" max="17" width="10" customWidth="1"/>
    <col min="18" max="18" width="7.5546875" customWidth="1"/>
    <col min="19" max="19" width="8.5546875" customWidth="1"/>
    <col min="20" max="21" width="7.5546875" customWidth="1"/>
    <col min="22" max="22" width="10" customWidth="1"/>
    <col min="23" max="23" width="8.5546875" customWidth="1"/>
    <col min="24" max="24" width="10" customWidth="1"/>
    <col min="25" max="25" width="8.5546875" customWidth="1"/>
    <col min="26" max="26" width="11" customWidth="1"/>
    <col min="27" max="28" width="8.5546875" customWidth="1"/>
    <col min="29" max="29" width="8.33203125" customWidth="1"/>
    <col min="30" max="31" width="10" customWidth="1"/>
    <col min="32" max="32" width="8.88671875" customWidth="1"/>
    <col min="33" max="33" width="15.109375" customWidth="1"/>
    <col min="34" max="34" width="13.21875" customWidth="1"/>
    <col min="36" max="36" width="16.44140625" customWidth="1"/>
    <col min="37" max="37" width="14.33203125" customWidth="1"/>
    <col min="38" max="38" width="29" customWidth="1"/>
    <col min="39" max="39" width="29.88671875" customWidth="1"/>
    <col min="40" max="40" width="32.5546875" customWidth="1"/>
  </cols>
  <sheetData>
    <row r="1" spans="1:40" x14ac:dyDescent="0.3">
      <c r="A1" s="160" t="s">
        <v>46</v>
      </c>
      <c r="B1" s="160"/>
      <c r="C1" s="162" t="s">
        <v>371</v>
      </c>
      <c r="D1" s="162"/>
      <c r="E1" s="161" t="s">
        <v>373</v>
      </c>
      <c r="F1" s="161"/>
      <c r="G1" s="161" t="s">
        <v>372</v>
      </c>
      <c r="H1" s="161"/>
      <c r="I1" s="161" t="s">
        <v>368</v>
      </c>
      <c r="J1" s="161"/>
      <c r="K1" s="161"/>
      <c r="L1" s="161"/>
      <c r="M1" s="24" t="s">
        <v>408</v>
      </c>
      <c r="N1" s="24" t="s">
        <v>376</v>
      </c>
      <c r="O1" s="18" t="s">
        <v>386</v>
      </c>
      <c r="P1" s="161" t="s">
        <v>413</v>
      </c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 t="s">
        <v>56</v>
      </c>
      <c r="AE1" s="161"/>
      <c r="AG1" s="163" t="s">
        <v>55</v>
      </c>
      <c r="AH1" s="164"/>
      <c r="AJ1" s="161" t="s">
        <v>47</v>
      </c>
      <c r="AK1" s="161"/>
      <c r="AL1" s="161"/>
      <c r="AM1" s="161"/>
    </row>
    <row r="2" spans="1:40" x14ac:dyDescent="0.3">
      <c r="A2" s="19" t="s">
        <v>2</v>
      </c>
      <c r="B2" s="20" t="s">
        <v>1</v>
      </c>
      <c r="C2" s="19" t="s">
        <v>369</v>
      </c>
      <c r="D2" s="19" t="s">
        <v>370</v>
      </c>
      <c r="E2" s="19" t="s">
        <v>48</v>
      </c>
      <c r="F2" s="19" t="s">
        <v>49</v>
      </c>
      <c r="G2" s="19" t="s">
        <v>375</v>
      </c>
      <c r="H2" s="19" t="s">
        <v>374</v>
      </c>
      <c r="I2" s="19" t="s">
        <v>50</v>
      </c>
      <c r="J2" s="19" t="s">
        <v>51</v>
      </c>
      <c r="K2" s="19" t="s">
        <v>52</v>
      </c>
      <c r="L2" s="19" t="s">
        <v>53</v>
      </c>
      <c r="M2" s="19" t="s">
        <v>409</v>
      </c>
      <c r="N2" s="19" t="s">
        <v>407</v>
      </c>
      <c r="O2" s="19" t="s">
        <v>387</v>
      </c>
      <c r="P2" s="13" t="s">
        <v>388</v>
      </c>
      <c r="Q2" s="13" t="s">
        <v>389</v>
      </c>
      <c r="R2" s="13" t="s">
        <v>390</v>
      </c>
      <c r="S2" s="13" t="s">
        <v>391</v>
      </c>
      <c r="T2" s="13" t="s">
        <v>392</v>
      </c>
      <c r="U2" s="13" t="s">
        <v>393</v>
      </c>
      <c r="V2" s="13" t="s">
        <v>394</v>
      </c>
      <c r="W2" s="13" t="s">
        <v>395</v>
      </c>
      <c r="X2" s="13" t="s">
        <v>396</v>
      </c>
      <c r="Y2" s="13" t="s">
        <v>397</v>
      </c>
      <c r="Z2" s="13" t="s">
        <v>398</v>
      </c>
      <c r="AA2" s="13" t="s">
        <v>399</v>
      </c>
      <c r="AB2" s="13" t="s">
        <v>400</v>
      </c>
      <c r="AC2" s="13" t="s">
        <v>401</v>
      </c>
      <c r="AD2" s="13" t="s">
        <v>405</v>
      </c>
      <c r="AE2" s="13" t="s">
        <v>406</v>
      </c>
      <c r="AF2" s="12"/>
      <c r="AG2" s="131"/>
      <c r="AH2" s="19" t="s">
        <v>414</v>
      </c>
      <c r="AI2" s="12"/>
      <c r="AJ2" s="13" t="s">
        <v>38</v>
      </c>
      <c r="AK2" s="13" t="s">
        <v>0</v>
      </c>
      <c r="AL2" s="13" t="s">
        <v>382</v>
      </c>
      <c r="AM2" s="14" t="s">
        <v>383</v>
      </c>
      <c r="AN2" s="15"/>
    </row>
    <row r="3" spans="1:40" x14ac:dyDescent="0.3">
      <c r="A3" s="1" t="s">
        <v>27</v>
      </c>
      <c r="B3" s="1" t="s">
        <v>3</v>
      </c>
      <c r="C3" s="86">
        <v>4779334.2719999999</v>
      </c>
      <c r="D3" s="68">
        <f>C3/SUM(C3:C4)</f>
        <v>0.79060740457572454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f>E3+G3-F3-H3</f>
        <v>0</v>
      </c>
      <c r="N3" s="86">
        <f t="shared" ref="N3:N28" si="0">(E3+G3+SUM(P3,R3,T3,V3,X3,Z3,AB3,AD3))-(F3+H3+SUM(Q3,S3,U3,W3,Y3,AA3,AC3,AE3))</f>
        <v>0</v>
      </c>
      <c r="O3" s="86">
        <f t="shared" ref="O3:O28" si="1">C3+N3</f>
        <v>4779334.2719999999</v>
      </c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12"/>
      <c r="AG3" s="126" t="s">
        <v>420</v>
      </c>
      <c r="AH3" s="127">
        <f>SUM(IF(M8&lt;0, ABS(M8), 0), IF(M9&lt;0, ABS(M9), 0), (SUM(AL5:AL6)*1000))</f>
        <v>8606000</v>
      </c>
      <c r="AI3" s="12"/>
      <c r="AJ3" s="11" t="s">
        <v>39</v>
      </c>
      <c r="AK3" s="10" t="s">
        <v>28</v>
      </c>
      <c r="AL3" s="83">
        <v>7395</v>
      </c>
      <c r="AM3" s="84">
        <v>9698</v>
      </c>
      <c r="AN3" s="16"/>
    </row>
    <row r="4" spans="1:40" x14ac:dyDescent="0.3">
      <c r="A4" s="1" t="s">
        <v>27</v>
      </c>
      <c r="B4" s="1" t="s">
        <v>4</v>
      </c>
      <c r="C4" s="86">
        <v>1265808.0379999999</v>
      </c>
      <c r="D4" s="68">
        <f>C4/SUM(C3:C4)</f>
        <v>0.20939259542427546</v>
      </c>
      <c r="E4" s="86">
        <v>0</v>
      </c>
      <c r="F4" s="86">
        <v>0</v>
      </c>
      <c r="G4" s="86">
        <v>0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f t="shared" ref="M4:M28" si="2">E4+G4-F4-H4</f>
        <v>0</v>
      </c>
      <c r="N4" s="86">
        <f t="shared" si="0"/>
        <v>0</v>
      </c>
      <c r="O4" s="86">
        <f t="shared" si="1"/>
        <v>1265808.0379999999</v>
      </c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12"/>
      <c r="AG4" s="128" t="s">
        <v>11</v>
      </c>
      <c r="AH4" s="129">
        <f>IF(M8&lt;0, ABS(M8), 0)/$AH$3</f>
        <v>0</v>
      </c>
      <c r="AI4" s="12"/>
      <c r="AJ4" s="11" t="s">
        <v>40</v>
      </c>
      <c r="AK4" s="10" t="s">
        <v>28</v>
      </c>
      <c r="AL4" s="83">
        <v>52</v>
      </c>
      <c r="AM4" s="84">
        <v>926</v>
      </c>
      <c r="AN4" s="16"/>
    </row>
    <row r="5" spans="1:40" s="12" customFormat="1" x14ac:dyDescent="0.3">
      <c r="A5" s="103" t="s">
        <v>8</v>
      </c>
      <c r="B5" s="103" t="s">
        <v>8</v>
      </c>
      <c r="C5" s="104">
        <v>218943919.41</v>
      </c>
      <c r="D5" s="105">
        <f>C5/C5</f>
        <v>1</v>
      </c>
      <c r="E5" s="104">
        <v>0</v>
      </c>
      <c r="F5" s="104">
        <v>0</v>
      </c>
      <c r="G5" s="104">
        <f>FRCC!F15+FRCC!F26+FRCC!F36</f>
        <v>7539388</v>
      </c>
      <c r="H5" s="104">
        <f>FRCC!G15+FRCC!G26+FRCC!G36</f>
        <v>5198848</v>
      </c>
      <c r="I5" s="104">
        <v>0</v>
      </c>
      <c r="J5" s="104">
        <v>0</v>
      </c>
      <c r="K5" s="104">
        <v>0</v>
      </c>
      <c r="L5" s="104">
        <v>0</v>
      </c>
      <c r="M5" s="104">
        <f t="shared" si="2"/>
        <v>2340540</v>
      </c>
      <c r="N5" s="104">
        <f t="shared" si="0"/>
        <v>2340540</v>
      </c>
      <c r="O5" s="104">
        <f t="shared" si="1"/>
        <v>221284459.41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G5" s="128" t="s">
        <v>13</v>
      </c>
      <c r="AH5" s="129">
        <f t="shared" ref="AH5:AH6" si="3">IF(M9&lt;0, ABS(M9), 0)/$AH$3</f>
        <v>0</v>
      </c>
      <c r="AJ5" s="11" t="s">
        <v>41</v>
      </c>
      <c r="AK5" s="3" t="s">
        <v>33</v>
      </c>
      <c r="AL5" s="83">
        <v>35</v>
      </c>
      <c r="AM5" s="84">
        <v>57</v>
      </c>
      <c r="AN5" s="16"/>
    </row>
    <row r="6" spans="1:40" x14ac:dyDescent="0.3">
      <c r="A6" s="2" t="s">
        <v>30</v>
      </c>
      <c r="B6" s="2" t="s">
        <v>9</v>
      </c>
      <c r="C6" s="87">
        <v>2847999.5049999999</v>
      </c>
      <c r="D6" s="69">
        <f>C6/SUM(C6:C7)</f>
        <v>0.27910184896106777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f t="shared" si="2"/>
        <v>0</v>
      </c>
      <c r="N6" s="87">
        <f t="shared" si="0"/>
        <v>0</v>
      </c>
      <c r="O6" s="87">
        <f t="shared" si="1"/>
        <v>2847999.5049999999</v>
      </c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12"/>
      <c r="AG6" s="128" t="s">
        <v>14</v>
      </c>
      <c r="AH6" s="129">
        <f t="shared" si="3"/>
        <v>0</v>
      </c>
      <c r="AI6" s="12"/>
      <c r="AJ6" s="11" t="s">
        <v>42</v>
      </c>
      <c r="AK6" s="3" t="s">
        <v>33</v>
      </c>
      <c r="AL6" s="83">
        <v>8571</v>
      </c>
      <c r="AM6" s="84">
        <v>510</v>
      </c>
      <c r="AN6" s="16"/>
    </row>
    <row r="7" spans="1:40" x14ac:dyDescent="0.3">
      <c r="A7" s="2" t="s">
        <v>30</v>
      </c>
      <c r="B7" s="2" t="s">
        <v>31</v>
      </c>
      <c r="C7" s="87">
        <v>7356158.9970000004</v>
      </c>
      <c r="D7" s="69">
        <f>C7/SUM(C6:C7)</f>
        <v>0.72089815103893218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f t="shared" si="2"/>
        <v>0</v>
      </c>
      <c r="N7" s="87">
        <f t="shared" si="0"/>
        <v>0</v>
      </c>
      <c r="O7" s="87">
        <f t="shared" si="1"/>
        <v>7356158.9970000004</v>
      </c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12"/>
      <c r="AG7" s="128" t="s">
        <v>41</v>
      </c>
      <c r="AH7" s="130">
        <f>AL5*1000/$AH$3</f>
        <v>4.066930048803161E-3</v>
      </c>
      <c r="AI7" s="12"/>
      <c r="AJ7" s="11" t="s">
        <v>43</v>
      </c>
      <c r="AK7" s="5" t="s">
        <v>35</v>
      </c>
      <c r="AL7" s="83">
        <v>17386</v>
      </c>
      <c r="AM7" s="84">
        <v>851</v>
      </c>
      <c r="AN7" s="16"/>
    </row>
    <row r="8" spans="1:40" x14ac:dyDescent="0.3">
      <c r="A8" s="3" t="s">
        <v>33</v>
      </c>
      <c r="B8" s="4" t="s">
        <v>32</v>
      </c>
      <c r="C8" s="88">
        <v>33553503.241</v>
      </c>
      <c r="D8" s="70">
        <f>C8/SUM(C8:C9)</f>
        <v>0.13586845886221985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f t="shared" si="2"/>
        <v>0</v>
      </c>
      <c r="N8" s="88">
        <f t="shared" si="0"/>
        <v>1092246.5407933854</v>
      </c>
      <c r="O8" s="88">
        <f t="shared" si="1"/>
        <v>34645749.781793386</v>
      </c>
      <c r="P8" s="88"/>
      <c r="Q8" s="88"/>
      <c r="R8" s="88"/>
      <c r="S8" s="88"/>
      <c r="T8" s="88">
        <f>D8*AL5*1000</f>
        <v>4755.3960601776953</v>
      </c>
      <c r="U8" s="88">
        <f>D8*AM5*1000</f>
        <v>7744.5021551465306</v>
      </c>
      <c r="V8" s="88">
        <f>D8*AL6*1000</f>
        <v>1164528.5609080864</v>
      </c>
      <c r="W8" s="88">
        <f>D8*AM6*1000</f>
        <v>69292.914019732125</v>
      </c>
      <c r="X8" s="88"/>
      <c r="Y8" s="88"/>
      <c r="Z8" s="88"/>
      <c r="AA8" s="88"/>
      <c r="AB8" s="88"/>
      <c r="AC8" s="88"/>
      <c r="AD8" s="88"/>
      <c r="AE8" s="88"/>
      <c r="AF8" s="12"/>
      <c r="AG8" s="128" t="s">
        <v>42</v>
      </c>
      <c r="AH8" s="130">
        <f>AL6*1000/$AH$3</f>
        <v>0.99593306995119679</v>
      </c>
      <c r="AI8" s="12"/>
      <c r="AJ8" s="11" t="s">
        <v>44</v>
      </c>
      <c r="AK8" s="5" t="s">
        <v>35</v>
      </c>
      <c r="AL8" s="83">
        <v>23590</v>
      </c>
      <c r="AM8" s="84">
        <v>570</v>
      </c>
      <c r="AN8" s="16"/>
    </row>
    <row r="9" spans="1:40" x14ac:dyDescent="0.3">
      <c r="A9" s="3" t="s">
        <v>33</v>
      </c>
      <c r="B9" s="3" t="s">
        <v>10</v>
      </c>
      <c r="C9" s="88">
        <v>213402291.51800001</v>
      </c>
      <c r="D9" s="70">
        <f>C9/SUM(C8:C9)</f>
        <v>0.86413154113778012</v>
      </c>
      <c r="E9" s="88">
        <v>0</v>
      </c>
      <c r="F9" s="88">
        <v>0</v>
      </c>
      <c r="G9" s="88">
        <f>MRO!F2+MRO!F5</f>
        <v>807466</v>
      </c>
      <c r="H9" s="88">
        <f>MRO!G2+MRO!G5</f>
        <v>96830</v>
      </c>
      <c r="I9" s="88">
        <f>MRO!F3</f>
        <v>90239</v>
      </c>
      <c r="J9" s="88">
        <f>MRO!G3</f>
        <v>53655</v>
      </c>
      <c r="K9" s="88">
        <v>0</v>
      </c>
      <c r="L9" s="88">
        <v>0</v>
      </c>
      <c r="M9" s="88">
        <f t="shared" si="2"/>
        <v>710636</v>
      </c>
      <c r="N9" s="88">
        <f t="shared" si="0"/>
        <v>7657389.4592066137</v>
      </c>
      <c r="O9" s="88">
        <f t="shared" si="1"/>
        <v>221059680.97720662</v>
      </c>
      <c r="P9" s="88"/>
      <c r="Q9" s="88"/>
      <c r="R9" s="88"/>
      <c r="S9" s="88"/>
      <c r="T9" s="88">
        <f>D9*AL5*1000</f>
        <v>30244.603939822304</v>
      </c>
      <c r="U9" s="88">
        <f>D9*AM5*1000</f>
        <v>49255.497844853468</v>
      </c>
      <c r="V9" s="88">
        <f>D9*AL6*1000</f>
        <v>7406471.4390919134</v>
      </c>
      <c r="W9" s="88">
        <f>D9*AM6*1000</f>
        <v>440707.0859802679</v>
      </c>
      <c r="X9" s="88"/>
      <c r="Y9" s="88"/>
      <c r="Z9" s="88"/>
      <c r="AA9" s="88"/>
      <c r="AB9" s="88"/>
      <c r="AC9" s="88"/>
      <c r="AD9" s="88"/>
      <c r="AE9" s="88"/>
      <c r="AF9" s="12"/>
      <c r="AH9" s="12"/>
      <c r="AI9" s="12"/>
      <c r="AJ9" s="11" t="s">
        <v>45</v>
      </c>
      <c r="AK9" s="5" t="s">
        <v>35</v>
      </c>
      <c r="AL9" s="83">
        <v>2068</v>
      </c>
      <c r="AM9" s="84">
        <v>190</v>
      </c>
      <c r="AN9" s="16"/>
    </row>
    <row r="10" spans="1:40" x14ac:dyDescent="0.3">
      <c r="A10" s="5" t="s">
        <v>35</v>
      </c>
      <c r="B10" s="5" t="s">
        <v>11</v>
      </c>
      <c r="C10" s="89">
        <v>110714833.352</v>
      </c>
      <c r="D10" s="71">
        <f>C10/SUM(C10:C13)</f>
        <v>0.45307480775475428</v>
      </c>
      <c r="E10" s="89">
        <f>'NPCC#'!F4</f>
        <v>6486000</v>
      </c>
      <c r="F10" s="89">
        <f>'NPCC#'!G4</f>
        <v>2578000</v>
      </c>
      <c r="G10" s="89">
        <v>0</v>
      </c>
      <c r="H10" s="89">
        <v>0</v>
      </c>
      <c r="I10" s="89">
        <f>'NPCC#'!F2</f>
        <v>13271000</v>
      </c>
      <c r="J10" s="89">
        <f>'NPCC#'!G2</f>
        <v>4000</v>
      </c>
      <c r="K10" s="89">
        <v>0</v>
      </c>
      <c r="L10" s="89">
        <v>0</v>
      </c>
      <c r="M10" s="89">
        <f t="shared" si="2"/>
        <v>3908000</v>
      </c>
      <c r="N10" s="89">
        <f t="shared" si="0"/>
        <v>22680248.509702735</v>
      </c>
      <c r="O10" s="89">
        <f t="shared" si="1"/>
        <v>133395081.86170274</v>
      </c>
      <c r="P10" s="89"/>
      <c r="Q10" s="89"/>
      <c r="R10" s="89"/>
      <c r="S10" s="89"/>
      <c r="T10" s="89"/>
      <c r="U10" s="89"/>
      <c r="V10" s="89"/>
      <c r="W10" s="89"/>
      <c r="X10" s="89">
        <f>D10*AL7*1000</f>
        <v>7877158.6076241583</v>
      </c>
      <c r="Y10" s="89">
        <f>D10*AM7*1000</f>
        <v>385566.66139929584</v>
      </c>
      <c r="Z10" s="89">
        <f>D10*AL8*1000</f>
        <v>10688034.714934655</v>
      </c>
      <c r="AA10" s="89">
        <f>D10*AM8*1000</f>
        <v>258252.64042020997</v>
      </c>
      <c r="AB10" s="89">
        <f>D10*AL9*1000</f>
        <v>936958.7024368319</v>
      </c>
      <c r="AC10" s="89">
        <f>D10*AM9*1000</f>
        <v>86084.213473403302</v>
      </c>
      <c r="AD10" s="89"/>
      <c r="AE10" s="89"/>
      <c r="AF10" s="12"/>
      <c r="AG10" s="122" t="s">
        <v>410</v>
      </c>
      <c r="AH10" s="123">
        <f>SUM(IF(M10&lt;0, ABS(M10), 0), IF(M11&lt;0, ABS(M11), 0), IF(M12&lt;0, ABS(M12), 0),IF(M13&lt;0, ABS(M13), 0),(SUM(AL7:AL9)*1000))</f>
        <v>43044000</v>
      </c>
      <c r="AI10" s="12"/>
      <c r="AJ10" s="82"/>
      <c r="AK10" s="95" t="s">
        <v>384</v>
      </c>
      <c r="AL10" s="85">
        <f>SUM(AL3:AL9)</f>
        <v>59097</v>
      </c>
      <c r="AM10" s="85">
        <f>SUM(AM3:AM9)</f>
        <v>12802</v>
      </c>
      <c r="AN10" s="12"/>
    </row>
    <row r="11" spans="1:40" x14ac:dyDescent="0.3">
      <c r="A11" s="5" t="s">
        <v>35</v>
      </c>
      <c r="B11" s="5" t="s">
        <v>13</v>
      </c>
      <c r="C11" s="89">
        <v>38179567.137000002</v>
      </c>
      <c r="D11" s="71">
        <f>C11/SUM(C10:C13)</f>
        <v>0.1562410339882748</v>
      </c>
      <c r="E11" s="89">
        <f>'NPCC#'!$F$5</f>
        <v>5406771</v>
      </c>
      <c r="F11" s="89">
        <v>0</v>
      </c>
      <c r="G11" s="89">
        <f>'NPCC#'!G7</f>
        <v>8722255</v>
      </c>
      <c r="H11" s="89">
        <v>0</v>
      </c>
      <c r="I11" s="89">
        <f>'NPCC#'!G6+'NPCC#'!G8</f>
        <v>16020088</v>
      </c>
      <c r="J11" s="89">
        <v>0</v>
      </c>
      <c r="K11" s="89">
        <v>0</v>
      </c>
      <c r="L11" s="89">
        <v>0</v>
      </c>
      <c r="M11" s="89">
        <f t="shared" si="2"/>
        <v>14129026</v>
      </c>
      <c r="N11" s="89">
        <f t="shared" si="0"/>
        <v>20602560.761236187</v>
      </c>
      <c r="O11" s="89">
        <f t="shared" si="1"/>
        <v>58782127.898236185</v>
      </c>
      <c r="P11" s="89"/>
      <c r="Q11" s="89"/>
      <c r="R11" s="89"/>
      <c r="S11" s="89"/>
      <c r="T11" s="89"/>
      <c r="U11" s="89"/>
      <c r="V11" s="89"/>
      <c r="W11" s="89"/>
      <c r="X11" s="89">
        <f>D11*AL7*1000</f>
        <v>2716406.6169201457</v>
      </c>
      <c r="Y11" s="89">
        <f>D11*AM7*1000</f>
        <v>132961.11992402186</v>
      </c>
      <c r="Z11" s="89">
        <f>D11*AL8*1000</f>
        <v>3685725.9917834024</v>
      </c>
      <c r="AA11" s="89">
        <f>D11*AM8*1000</f>
        <v>89057.389373316633</v>
      </c>
      <c r="AB11" s="89">
        <f>D11*AL9*1000</f>
        <v>323106.45828775229</v>
      </c>
      <c r="AC11" s="89">
        <f>D11*AM9*1000</f>
        <v>29685.796457772212</v>
      </c>
      <c r="AD11" s="89"/>
      <c r="AE11" s="89"/>
      <c r="AF11" s="12"/>
      <c r="AG11" s="124" t="s">
        <v>11</v>
      </c>
      <c r="AH11" s="125">
        <f>IF(M10&lt;0, ABS(M10), 0)/$AH$10</f>
        <v>0</v>
      </c>
      <c r="AI11" s="12"/>
      <c r="AJ11" s="82"/>
      <c r="AK11" s="95" t="s">
        <v>385</v>
      </c>
      <c r="AL11" s="85">
        <f>1000*AL10</f>
        <v>59097000</v>
      </c>
      <c r="AM11" s="85">
        <f>1000*AM10</f>
        <v>12802000</v>
      </c>
      <c r="AN11" s="12"/>
    </row>
    <row r="12" spans="1:40" x14ac:dyDescent="0.3">
      <c r="A12" s="5" t="s">
        <v>35</v>
      </c>
      <c r="B12" s="5" t="s">
        <v>14</v>
      </c>
      <c r="C12" s="89">
        <v>11295155.265000001</v>
      </c>
      <c r="D12" s="71">
        <f>C12/SUM(C10:C13)</f>
        <v>4.6222806333271971E-2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f t="shared" si="2"/>
        <v>0</v>
      </c>
      <c r="N12" s="89">
        <f t="shared" si="0"/>
        <v>1915149.5348064576</v>
      </c>
      <c r="O12" s="89">
        <f t="shared" si="1"/>
        <v>13210304.799806459</v>
      </c>
      <c r="P12" s="89"/>
      <c r="Q12" s="89"/>
      <c r="R12" s="89"/>
      <c r="S12" s="89"/>
      <c r="T12" s="89"/>
      <c r="U12" s="89"/>
      <c r="V12" s="89"/>
      <c r="W12" s="89"/>
      <c r="X12" s="89">
        <f>D12*AL7*1000</f>
        <v>803629.7109102665</v>
      </c>
      <c r="Y12" s="89">
        <f>D12*AM7*1000</f>
        <v>39335.608189614446</v>
      </c>
      <c r="Z12" s="89">
        <f>D12*AL8*1000</f>
        <v>1090396.0014018859</v>
      </c>
      <c r="AA12" s="89">
        <f>D12*AM8*1000</f>
        <v>26346.999609965023</v>
      </c>
      <c r="AB12" s="89">
        <f>D12*AL9*1000</f>
        <v>95588.763497206426</v>
      </c>
      <c r="AC12" s="89">
        <f>D12*AM9*1000</f>
        <v>8782.3332033216739</v>
      </c>
      <c r="AD12" s="89"/>
      <c r="AE12" s="89"/>
      <c r="AF12" s="12"/>
      <c r="AG12" s="124" t="s">
        <v>13</v>
      </c>
      <c r="AH12" s="125">
        <f>IF(M11&lt;0, ABS(M11), 0)/$AH$10</f>
        <v>0</v>
      </c>
      <c r="AI12" s="12"/>
      <c r="AJ12" s="12"/>
      <c r="AK12" s="21"/>
      <c r="AL12" s="12"/>
      <c r="AM12" s="12"/>
      <c r="AN12" s="12"/>
    </row>
    <row r="13" spans="1:40" x14ac:dyDescent="0.3">
      <c r="A13" s="5" t="s">
        <v>35</v>
      </c>
      <c r="B13" s="5" t="s">
        <v>15</v>
      </c>
      <c r="C13" s="89">
        <v>84173696.091000006</v>
      </c>
      <c r="D13" s="71">
        <f>C13/SUM(C10:C13)</f>
        <v>0.34446135192369887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f t="shared" si="2"/>
        <v>0</v>
      </c>
      <c r="N13" s="89">
        <f t="shared" si="0"/>
        <v>14272067.194254614</v>
      </c>
      <c r="O13" s="89">
        <f t="shared" si="1"/>
        <v>98445763.285254627</v>
      </c>
      <c r="P13" s="89"/>
      <c r="Q13" s="89"/>
      <c r="R13" s="89"/>
      <c r="S13" s="89"/>
      <c r="T13" s="89"/>
      <c r="U13" s="89"/>
      <c r="V13" s="89"/>
      <c r="W13" s="89"/>
      <c r="X13" s="89">
        <f>D13*AL7*1000</f>
        <v>5988805.0645454284</v>
      </c>
      <c r="Y13" s="89">
        <f>D13*AM7*1000</f>
        <v>293136.61048706772</v>
      </c>
      <c r="Z13" s="89">
        <f>D13*AL8*1000</f>
        <v>8125843.2918800563</v>
      </c>
      <c r="AA13" s="89">
        <f>D13*AM8*1000</f>
        <v>196342.97059650836</v>
      </c>
      <c r="AB13" s="89">
        <f>D13*AL9*1000</f>
        <v>712346.07577820926</v>
      </c>
      <c r="AC13" s="89">
        <f>D13*AM9*1000</f>
        <v>65447.65686550278</v>
      </c>
      <c r="AD13" s="89"/>
      <c r="AE13" s="89"/>
      <c r="AF13" s="12"/>
      <c r="AG13" s="124" t="s">
        <v>14</v>
      </c>
      <c r="AH13" s="125">
        <f>IF(M12&lt;0, ABS(M12), 0)/$AH$10</f>
        <v>0</v>
      </c>
      <c r="AI13" s="12"/>
      <c r="AJ13" s="159" t="s">
        <v>54</v>
      </c>
      <c r="AK13" s="159"/>
      <c r="AL13" s="159"/>
      <c r="AM13" s="159"/>
      <c r="AN13" s="12"/>
    </row>
    <row r="14" spans="1:40" x14ac:dyDescent="0.3">
      <c r="A14" s="6" t="s">
        <v>34</v>
      </c>
      <c r="B14" s="6" t="s">
        <v>16</v>
      </c>
      <c r="C14" s="90">
        <v>271173456.83600003</v>
      </c>
      <c r="D14" s="72">
        <f>C14/SUM(C14:C16)</f>
        <v>0.3087752591344286</v>
      </c>
      <c r="E14" s="90">
        <f>RFC!F7+RFC!F11</f>
        <v>64497667</v>
      </c>
      <c r="F14" s="90">
        <f>RFC!G7+RFC!G11</f>
        <v>65204157</v>
      </c>
      <c r="G14" s="90">
        <f>SUM(RFC!F4,RFC!F5,RFC!F6,RFC!F8,RFC!F9,RFC!F10)</f>
        <v>39174707</v>
      </c>
      <c r="H14" s="90">
        <f>SUM(RFC!G4,RFC!G5,RFC!G6,RFC!G8,RFC!G9,RFC!G10)</f>
        <v>32843551</v>
      </c>
      <c r="I14" s="90">
        <v>0</v>
      </c>
      <c r="J14" s="90">
        <v>0</v>
      </c>
      <c r="K14" s="90">
        <v>0</v>
      </c>
      <c r="L14" s="90">
        <v>0</v>
      </c>
      <c r="M14" s="90">
        <f t="shared" si="2"/>
        <v>5624666</v>
      </c>
      <c r="N14" s="90">
        <f t="shared" si="0"/>
        <v>5624666</v>
      </c>
      <c r="O14" s="90">
        <f t="shared" si="1"/>
        <v>276798122.83600003</v>
      </c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12"/>
      <c r="AG14" s="124" t="s">
        <v>15</v>
      </c>
      <c r="AH14" s="125">
        <f>IF(M13&lt;0, ABS(M13), 0)/$AH$10</f>
        <v>0</v>
      </c>
      <c r="AI14" s="12"/>
      <c r="AJ14" s="22" t="s">
        <v>58</v>
      </c>
      <c r="AK14" s="22" t="s">
        <v>0</v>
      </c>
      <c r="AL14" s="13" t="s">
        <v>59</v>
      </c>
      <c r="AM14" s="13" t="s">
        <v>60</v>
      </c>
      <c r="AN14" s="12"/>
    </row>
    <row r="15" spans="1:40" x14ac:dyDescent="0.3">
      <c r="A15" s="6" t="s">
        <v>34</v>
      </c>
      <c r="B15" s="6" t="s">
        <v>17</v>
      </c>
      <c r="C15" s="90">
        <v>84683436.100999996</v>
      </c>
      <c r="D15" s="72">
        <f>C15/SUM(C14:C16)</f>
        <v>9.6425919526091183E-2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f t="shared" si="2"/>
        <v>0</v>
      </c>
      <c r="N15" s="90">
        <f t="shared" si="0"/>
        <v>0</v>
      </c>
      <c r="O15" s="90">
        <f t="shared" si="1"/>
        <v>84683436.100999996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12"/>
      <c r="AG15" s="124" t="s">
        <v>43</v>
      </c>
      <c r="AH15" s="125">
        <f>AL7*1000/$AH$10</f>
        <v>0.40391227581079825</v>
      </c>
      <c r="AI15" s="12"/>
      <c r="AJ15" s="23" t="s">
        <v>56</v>
      </c>
      <c r="AK15" s="23" t="s">
        <v>57</v>
      </c>
      <c r="AL15" s="83">
        <v>1911</v>
      </c>
      <c r="AM15" s="83">
        <v>2199</v>
      </c>
      <c r="AN15" s="12"/>
    </row>
    <row r="16" spans="1:40" x14ac:dyDescent="0.3">
      <c r="A16" s="6" t="s">
        <v>34</v>
      </c>
      <c r="B16" s="6" t="s">
        <v>18</v>
      </c>
      <c r="C16" s="90">
        <v>522365855.85500002</v>
      </c>
      <c r="D16" s="72">
        <f>C16/SUM(C14:C16)</f>
        <v>0.59479882133948014</v>
      </c>
      <c r="E16" s="90">
        <f>SUM(RFC!F13, RFC!F16)</f>
        <v>68210319</v>
      </c>
      <c r="F16" s="90">
        <f>SUM(RFC!G13, RFC!G16)</f>
        <v>62793121</v>
      </c>
      <c r="G16" s="90">
        <f>SUM(RFC!F12, RFC!F15)</f>
        <v>2817562</v>
      </c>
      <c r="H16" s="90">
        <f>SUM(RFC!G12, RFC!G15)</f>
        <v>601897</v>
      </c>
      <c r="I16" s="90">
        <v>0</v>
      </c>
      <c r="J16" s="90">
        <v>0</v>
      </c>
      <c r="K16" s="90">
        <v>0</v>
      </c>
      <c r="L16" s="90">
        <v>0</v>
      </c>
      <c r="M16" s="90">
        <f t="shared" si="2"/>
        <v>7632863</v>
      </c>
      <c r="N16" s="90">
        <f t="shared" si="0"/>
        <v>7632863</v>
      </c>
      <c r="O16" s="90">
        <f t="shared" si="1"/>
        <v>529998718.85500002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12"/>
      <c r="AG16" s="121" t="s">
        <v>44</v>
      </c>
      <c r="AH16" s="125">
        <f>AL8*1000/$AH$10</f>
        <v>0.54804386209460088</v>
      </c>
      <c r="AI16" s="12"/>
      <c r="AJ16" s="17"/>
      <c r="AK16" s="99" t="s">
        <v>385</v>
      </c>
      <c r="AL16" s="98">
        <f>AL15*1000</f>
        <v>1911000</v>
      </c>
      <c r="AM16" s="98">
        <f>AM15*1000</f>
        <v>2199000</v>
      </c>
      <c r="AN16" s="12"/>
    </row>
    <row r="17" spans="1:40" x14ac:dyDescent="0.3">
      <c r="A17" s="7" t="s">
        <v>37</v>
      </c>
      <c r="B17" s="7" t="s">
        <v>22</v>
      </c>
      <c r="C17" s="91">
        <v>185248141.62900001</v>
      </c>
      <c r="D17" s="73">
        <f>C17/SUM(C17:C21)</f>
        <v>0.15813401376481528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f t="shared" si="2"/>
        <v>0</v>
      </c>
      <c r="N17" s="91">
        <f t="shared" si="0"/>
        <v>0</v>
      </c>
      <c r="O17" s="91">
        <f t="shared" si="1"/>
        <v>185248141.62900001</v>
      </c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12"/>
      <c r="AG17" s="121" t="s">
        <v>45</v>
      </c>
      <c r="AH17" s="125">
        <f>AL9*1000/$AH$10</f>
        <v>4.8043862094600875E-2</v>
      </c>
      <c r="AI17" s="12"/>
      <c r="AL17" s="12"/>
      <c r="AM17" s="12"/>
      <c r="AN17" s="12"/>
    </row>
    <row r="18" spans="1:40" x14ac:dyDescent="0.3">
      <c r="A18" s="7" t="s">
        <v>37</v>
      </c>
      <c r="B18" s="7" t="s">
        <v>23</v>
      </c>
      <c r="C18" s="91">
        <v>190107981.81</v>
      </c>
      <c r="D18" s="73">
        <f>C18/SUM(C17:C21)</f>
        <v>0.16228253599731443</v>
      </c>
      <c r="E18" s="91">
        <f>SUM(SERC!F3,SERC!F4,SERC!F5)</f>
        <v>116675</v>
      </c>
      <c r="F18" s="91">
        <f>SUM(SERC!G3,SERC!G4,SERC!G5)</f>
        <v>4469840</v>
      </c>
      <c r="G18" s="91">
        <f>SUM(SERC!F2,SERC!F6)</f>
        <v>4523125</v>
      </c>
      <c r="H18" s="91">
        <f>SUM(SERC!G2,SERC!G6)</f>
        <v>4069767</v>
      </c>
      <c r="I18" s="91">
        <v>0</v>
      </c>
      <c r="J18" s="91">
        <v>0</v>
      </c>
      <c r="K18" s="91">
        <v>0</v>
      </c>
      <c r="L18" s="91">
        <v>0</v>
      </c>
      <c r="M18" s="91">
        <f t="shared" si="2"/>
        <v>-3899807</v>
      </c>
      <c r="N18" s="91">
        <f t="shared" si="0"/>
        <v>-3899807</v>
      </c>
      <c r="O18" s="91">
        <f t="shared" si="1"/>
        <v>186208174.81</v>
      </c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12"/>
      <c r="AI18" s="12"/>
      <c r="AL18" s="12"/>
      <c r="AM18" s="12"/>
      <c r="AN18" s="12"/>
    </row>
    <row r="19" spans="1:40" x14ac:dyDescent="0.3">
      <c r="A19" s="7" t="s">
        <v>37</v>
      </c>
      <c r="B19" s="7" t="s">
        <v>24</v>
      </c>
      <c r="C19" s="91">
        <v>267879505.553</v>
      </c>
      <c r="D19" s="73">
        <f>C19/SUM(C17:C21)</f>
        <v>0.22867091159957179</v>
      </c>
      <c r="E19" s="91">
        <f>SUM(SERC!F14,SERC!F15,SERC!F19,SERC!F22,SERC!F23,SERC!F24)</f>
        <v>17752963</v>
      </c>
      <c r="F19" s="91">
        <f>SUM(SERC!G14,SERC!G15,SERC!G19,SERC!G22,SERC!G23,SERC!G24)</f>
        <v>21212020</v>
      </c>
      <c r="G19" s="91">
        <f>SUM(SERC!F10,SERC!F17,SERC!F18,SERC!F25)</f>
        <v>9362903</v>
      </c>
      <c r="H19" s="91">
        <f>SUM(SERC!G10,SERC!G17,SERC!G18,SERC!G25)</f>
        <v>12618280</v>
      </c>
      <c r="I19" s="91">
        <v>0</v>
      </c>
      <c r="J19" s="91">
        <v>0</v>
      </c>
      <c r="K19" s="91">
        <v>0</v>
      </c>
      <c r="L19" s="91">
        <v>0</v>
      </c>
      <c r="M19" s="91">
        <f t="shared" si="2"/>
        <v>-6714434</v>
      </c>
      <c r="N19" s="91">
        <f t="shared" si="0"/>
        <v>-6714434</v>
      </c>
      <c r="O19" s="91">
        <f t="shared" si="1"/>
        <v>261165071.553</v>
      </c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12"/>
      <c r="AG19" s="117" t="s">
        <v>411</v>
      </c>
      <c r="AH19" s="118">
        <f>SUM(IF(M14&lt;0, ABS(M14), 0), IF(M15&lt;0, ABS(M15), 0), IF(M16&lt;0, ABS(M16), 0))</f>
        <v>0</v>
      </c>
      <c r="AI19" s="12"/>
      <c r="AL19" s="12"/>
      <c r="AM19" s="12"/>
      <c r="AN19" s="12"/>
    </row>
    <row r="20" spans="1:40" x14ac:dyDescent="0.3">
      <c r="A20" s="7" t="s">
        <v>37</v>
      </c>
      <c r="B20" s="7" t="s">
        <v>25</v>
      </c>
      <c r="C20" s="91">
        <v>240412325.51100001</v>
      </c>
      <c r="D20" s="73">
        <f>C20/SUM(C17:C21)</f>
        <v>0.20522400741663488</v>
      </c>
      <c r="E20" s="91">
        <f>SUM(SERC!F26,SERC!F27,SERC!F28,SERC!F29,SERC!F30,SERC!F31,SERC!F32,SERC!F33,SERC!F39)</f>
        <v>13199405</v>
      </c>
      <c r="F20" s="91">
        <f>SUM(SERC!G26,SERC!G27,SERC!G28,SERC!G29,SERC!G30,SERC!G31,SERC!G32,SERC!G33,SERC!G39)</f>
        <v>19291775</v>
      </c>
      <c r="G20" s="91">
        <f>SUM(SERC!F34,SERC!F36,SERC!F37)</f>
        <v>9565322</v>
      </c>
      <c r="H20" s="91">
        <f>SUM(SERC!G34,SERC!G36,SERC!G37)</f>
        <v>21900496</v>
      </c>
      <c r="I20" s="91">
        <v>0</v>
      </c>
      <c r="J20" s="91">
        <v>0</v>
      </c>
      <c r="K20" s="91">
        <v>0</v>
      </c>
      <c r="L20" s="91">
        <v>0</v>
      </c>
      <c r="M20" s="91">
        <f t="shared" si="2"/>
        <v>-18427544</v>
      </c>
      <c r="N20" s="91">
        <f t="shared" si="0"/>
        <v>-18427544</v>
      </c>
      <c r="O20" s="91">
        <f t="shared" si="1"/>
        <v>221984781.51100001</v>
      </c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12"/>
      <c r="AG20" s="119" t="s">
        <v>16</v>
      </c>
      <c r="AH20" s="120" t="e">
        <f>IF(M14&lt;0, ABS(M14), 0)/$AH$19</f>
        <v>#DIV/0!</v>
      </c>
      <c r="AI20" s="12"/>
      <c r="AL20" s="12"/>
      <c r="AM20" s="12"/>
      <c r="AN20" s="12"/>
    </row>
    <row r="21" spans="1:40" x14ac:dyDescent="0.3">
      <c r="A21" s="7" t="s">
        <v>37</v>
      </c>
      <c r="B21" s="7" t="s">
        <v>26</v>
      </c>
      <c r="C21" s="91">
        <v>287815016.80000001</v>
      </c>
      <c r="D21" s="73">
        <f>C21/SUM(C17:C21)</f>
        <v>0.24568853122166368</v>
      </c>
      <c r="E21" s="91">
        <f>SUM(SERC!F40:F43,SERC!F45,SERC!F52,SERC!F58)</f>
        <v>10507752</v>
      </c>
      <c r="F21" s="91">
        <f>SUM(SERC!G40:G43,SERC!G45,SERC!G52,SERC!G58)</f>
        <v>2471825</v>
      </c>
      <c r="G21" s="91">
        <f>SUM(SERC!F54,SERC!F65)</f>
        <v>4355616</v>
      </c>
      <c r="H21" s="91">
        <f>SUM(SERC!G54,SERC!G65)</f>
        <v>9577803</v>
      </c>
      <c r="I21" s="91">
        <v>0</v>
      </c>
      <c r="J21" s="91">
        <v>0</v>
      </c>
      <c r="K21" s="91">
        <v>0</v>
      </c>
      <c r="L21" s="91">
        <v>0</v>
      </c>
      <c r="M21" s="91">
        <f t="shared" si="2"/>
        <v>2813740</v>
      </c>
      <c r="N21" s="91">
        <f t="shared" si="0"/>
        <v>2813740</v>
      </c>
      <c r="O21" s="91">
        <f t="shared" si="1"/>
        <v>290628756.80000001</v>
      </c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12"/>
      <c r="AG21" s="119" t="s">
        <v>17</v>
      </c>
      <c r="AH21" s="120" t="e">
        <f>IF(M15&lt;0, ABS(M15), 0)/$AH$19</f>
        <v>#DIV/0!</v>
      </c>
      <c r="AI21" s="12"/>
      <c r="AL21" s="12"/>
      <c r="AM21" s="12"/>
      <c r="AN21" s="12"/>
    </row>
    <row r="22" spans="1:40" x14ac:dyDescent="0.3">
      <c r="A22" s="8" t="s">
        <v>36</v>
      </c>
      <c r="B22" s="8" t="s">
        <v>20</v>
      </c>
      <c r="C22" s="92">
        <v>56462490.913000003</v>
      </c>
      <c r="D22" s="74">
        <f>C22/SUM(C22:C23)</f>
        <v>0.25147716111160412</v>
      </c>
      <c r="E22" s="92">
        <v>0</v>
      </c>
      <c r="F22" s="92">
        <v>0</v>
      </c>
      <c r="G22" s="92">
        <f>SUM('SPP#'!F3,'SPP#'!F4,'SPP#'!F7)</f>
        <v>2554604</v>
      </c>
      <c r="H22" s="92">
        <f>SUM('SPP#'!G3,'SPP#'!G4,'SPP#'!G7)</f>
        <v>1828574</v>
      </c>
      <c r="I22" s="92">
        <v>0</v>
      </c>
      <c r="J22" s="92">
        <v>0</v>
      </c>
      <c r="K22" s="92">
        <v>0</v>
      </c>
      <c r="L22" s="92">
        <v>0</v>
      </c>
      <c r="M22" s="92">
        <f t="shared" si="2"/>
        <v>726030</v>
      </c>
      <c r="N22" s="92">
        <f t="shared" si="0"/>
        <v>726030</v>
      </c>
      <c r="O22" s="92">
        <f t="shared" si="1"/>
        <v>57188520.913000003</v>
      </c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12"/>
      <c r="AG22" s="119" t="s">
        <v>18</v>
      </c>
      <c r="AH22" s="120" t="e">
        <f>IF(M16&lt;0, ABS(M16), 0)/$AH$19</f>
        <v>#DIV/0!</v>
      </c>
      <c r="AI22" s="12"/>
      <c r="AL22" s="12"/>
      <c r="AM22" s="12"/>
      <c r="AN22" s="12"/>
    </row>
    <row r="23" spans="1:40" x14ac:dyDescent="0.3">
      <c r="A23" s="8" t="s">
        <v>36</v>
      </c>
      <c r="B23" s="8" t="s">
        <v>21</v>
      </c>
      <c r="C23" s="92">
        <v>168060844.18200001</v>
      </c>
      <c r="D23" s="74">
        <f>C23/SUM(C22:C23)</f>
        <v>0.74852283888839577</v>
      </c>
      <c r="E23" s="92">
        <f>SUM('SPP#'!F14:F16)</f>
        <v>381742</v>
      </c>
      <c r="F23" s="92">
        <f>SUM('SPP#'!G14:G16)</f>
        <v>243048</v>
      </c>
      <c r="G23" s="92">
        <f>SUM('SPP#'!F11,'SPP#'!F8)</f>
        <v>3865524</v>
      </c>
      <c r="H23" s="92">
        <f>SUM('SPP#'!G11,'SPP#'!G8)</f>
        <v>6531100</v>
      </c>
      <c r="I23" s="92">
        <v>0</v>
      </c>
      <c r="J23" s="92">
        <v>0</v>
      </c>
      <c r="K23" s="92">
        <v>0</v>
      </c>
      <c r="L23" s="92">
        <v>0</v>
      </c>
      <c r="M23" s="92">
        <f t="shared" si="2"/>
        <v>-2526882</v>
      </c>
      <c r="N23" s="92">
        <f t="shared" si="0"/>
        <v>-2526882</v>
      </c>
      <c r="O23" s="92">
        <f t="shared" si="1"/>
        <v>165533962.18200001</v>
      </c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12"/>
      <c r="AI23" s="12"/>
      <c r="AL23" s="12"/>
      <c r="AM23" s="12"/>
      <c r="AN23" s="12"/>
    </row>
    <row r="24" spans="1:40" x14ac:dyDescent="0.3">
      <c r="A24" s="9" t="s">
        <v>29</v>
      </c>
      <c r="B24" s="9" t="s">
        <v>7</v>
      </c>
      <c r="C24" s="93">
        <v>330486678.48199999</v>
      </c>
      <c r="D24" s="75">
        <f>C24/C24</f>
        <v>1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f>TRE!F2</f>
        <v>12886</v>
      </c>
      <c r="L24" s="93">
        <f>TRE!G2</f>
        <v>437366</v>
      </c>
      <c r="M24" s="93">
        <f t="shared" si="2"/>
        <v>0</v>
      </c>
      <c r="N24" s="93">
        <f t="shared" si="0"/>
        <v>-144000</v>
      </c>
      <c r="O24" s="93">
        <f t="shared" si="1"/>
        <v>330342678.48199999</v>
      </c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>
        <f>0.5*AL16</f>
        <v>955500</v>
      </c>
      <c r="AE24" s="93">
        <f>0.5*AM16</f>
        <v>1099500</v>
      </c>
      <c r="AF24" s="12"/>
      <c r="AG24" s="114" t="s">
        <v>412</v>
      </c>
      <c r="AH24" s="115">
        <f>SUM(IF(M17&lt;0, ABS(M17), 0), IF(M18&lt;0, ABS(M18), 0), IF(M19&lt;0, ABS(M19), 0), IF(M20&lt;0, ABS(M20), 0), IF(M21&lt;0, ABS(M21), 0))</f>
        <v>29041785</v>
      </c>
      <c r="AI24" s="12"/>
      <c r="AL24" s="12"/>
      <c r="AM24" s="12"/>
      <c r="AN24" s="12"/>
    </row>
    <row r="25" spans="1:40" x14ac:dyDescent="0.3">
      <c r="A25" s="10" t="s">
        <v>28</v>
      </c>
      <c r="B25" s="10" t="s">
        <v>5</v>
      </c>
      <c r="C25" s="94">
        <v>133681798.29000001</v>
      </c>
      <c r="D25" s="76">
        <f>C25/SUM(C25:C28)</f>
        <v>0.17860377903071892</v>
      </c>
      <c r="E25" s="94">
        <f>SUM(WECC!F4,WECC!F7,WECC!F9,WECC!F12,WECC!F14,WECC!F20,WECC!F21,WECC!F22,WECC!F24,WECC!F25,WECC!F33,WECC!F37,WECC!F39,WECC!F44,WECC!F52:F55,WECC!F57)</f>
        <v>27374038</v>
      </c>
      <c r="F25" s="94">
        <f>SUM(WECC!G4,WECC!G7,WECC!G9,WECC!G12,WECC!G14,WECC!G20,WECC!G21,WECC!G22,WECC!G24,WECC!G25,WECC!G33,WECC!G37,WECC!G39,WECC!G44,WECC!G52:G55,WECC!G57)</f>
        <v>54696743</v>
      </c>
      <c r="G25" s="94">
        <f>SUM(WECC!F28,WECC!F29)</f>
        <v>4486587</v>
      </c>
      <c r="H25" s="94">
        <f>SUM(WECC!G28,WECC!G29)</f>
        <v>490098</v>
      </c>
      <c r="I25" s="94">
        <v>0</v>
      </c>
      <c r="J25" s="94">
        <v>0</v>
      </c>
      <c r="K25" s="94">
        <v>0</v>
      </c>
      <c r="L25" s="94">
        <v>0</v>
      </c>
      <c r="M25" s="94">
        <f t="shared" si="2"/>
        <v>-23326216</v>
      </c>
      <c r="N25" s="94">
        <f t="shared" si="0"/>
        <v>-23919359.15016102</v>
      </c>
      <c r="O25" s="94">
        <f t="shared" si="1"/>
        <v>109762439.13983899</v>
      </c>
      <c r="P25" s="94">
        <f>D25*AL3*1000</f>
        <v>1320774.9459321664</v>
      </c>
      <c r="Q25" s="94">
        <f>D25*AM3*1000</f>
        <v>1732099.4490399121</v>
      </c>
      <c r="R25" s="94">
        <f>D25*AL4*1000</f>
        <v>9287.3965095973836</v>
      </c>
      <c r="S25" s="94">
        <f>D25*AM4*1000</f>
        <v>165387.09938244571</v>
      </c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>
        <f>0.5*$AL$16*D25</f>
        <v>170655.91086385192</v>
      </c>
      <c r="AE25" s="94">
        <f>0.5*$AM$16*D25</f>
        <v>196374.85504427546</v>
      </c>
      <c r="AF25" s="12"/>
      <c r="AG25" s="26" t="s">
        <v>22</v>
      </c>
      <c r="AH25" s="116">
        <f>IF(M17&lt;0, ABS(M17), 0)/$AH$24</f>
        <v>0</v>
      </c>
      <c r="AI25" s="12"/>
      <c r="AL25" s="12"/>
      <c r="AM25" s="12"/>
      <c r="AN25" s="12"/>
    </row>
    <row r="26" spans="1:40" x14ac:dyDescent="0.3">
      <c r="A26" s="10" t="s">
        <v>28</v>
      </c>
      <c r="B26" s="10" t="s">
        <v>6</v>
      </c>
      <c r="C26" s="94">
        <v>188801065.289</v>
      </c>
      <c r="D26" s="76">
        <f>C26/SUM(C25:C28)</f>
        <v>0.25224513865746928</v>
      </c>
      <c r="E26" s="94">
        <f>SUM(WECC!F60:F67,WECC!F71,WECC!F72,WECC!F76,WECC!F79,WECC!F81)</f>
        <v>87117083</v>
      </c>
      <c r="F26" s="94">
        <f>SUM(WECC!G60:G67,WECC!G71,WECC!G72,WECC!G76,WECC!G79,WECC!G81)</f>
        <v>10845799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f t="shared" si="2"/>
        <v>76271284</v>
      </c>
      <c r="N26" s="94">
        <f t="shared" si="0"/>
        <v>75433577.894518539</v>
      </c>
      <c r="O26" s="94">
        <f t="shared" si="1"/>
        <v>264234643.18351853</v>
      </c>
      <c r="P26" s="94">
        <f>D26*AL3*1000</f>
        <v>1865352.8003719852</v>
      </c>
      <c r="Q26" s="94">
        <f>D26*AM3*1000</f>
        <v>2446273.3547001369</v>
      </c>
      <c r="R26" s="94">
        <f>D26*AL4*1000</f>
        <v>13116.747210188401</v>
      </c>
      <c r="S26" s="94">
        <f>D26*AM4*1000</f>
        <v>233578.99839681655</v>
      </c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>
        <f t="shared" ref="AD26:AD28" si="4">0.5*$AL$16*D26</f>
        <v>241020.2299872119</v>
      </c>
      <c r="AE26" s="94">
        <f t="shared" ref="AE26:AE28" si="5">0.5*$AM$16*D26</f>
        <v>277343.52995388745</v>
      </c>
      <c r="AF26" s="12"/>
      <c r="AG26" s="26" t="s">
        <v>23</v>
      </c>
      <c r="AH26" s="116">
        <f>IF(M18&lt;0, ABS(M18), 0)/$AH$24</f>
        <v>0.13428262071356839</v>
      </c>
      <c r="AI26" s="12"/>
      <c r="AL26" s="12"/>
      <c r="AM26" s="12"/>
      <c r="AN26" s="12"/>
    </row>
    <row r="27" spans="1:40" x14ac:dyDescent="0.3">
      <c r="A27" s="10" t="s">
        <v>28</v>
      </c>
      <c r="B27" s="10" t="s">
        <v>12</v>
      </c>
      <c r="C27" s="94">
        <v>341855937.60399997</v>
      </c>
      <c r="D27" s="76">
        <f>C27/SUM(C25:C28)</f>
        <v>0.45673205418520585</v>
      </c>
      <c r="E27" s="94">
        <f>SUM(WECC!F101,WECC!F103,WECC!F108,WECC!F127,WECC!F143,WECC!F152,WECC!F155,WECC!F146,WECC!F170,WECC!F172,WECC!F180,WECC!F194,WECC!F198,WECC!F200)</f>
        <v>2509780</v>
      </c>
      <c r="F27" s="94">
        <f>SUM(WECC!G101,WECC!G103,WECC!G108,WECC!G127,WECC!G143,WECC!G152,WECC!G155,WECC!G146,WECC!G170,WECC!G172,WECC!G180,WECC!G194,WECC!G198,WECC!G200)</f>
        <v>46423787</v>
      </c>
      <c r="G27" s="94">
        <f>SUM(WECC!F88,WECC!F106,WECC!F150)</f>
        <v>3177017</v>
      </c>
      <c r="H27" s="94">
        <f>SUM(WECC!G88,WECC!G106,WECC!G150)</f>
        <v>548655</v>
      </c>
      <c r="I27" s="94">
        <f>WECC!F182+WECC!F156</f>
        <v>1825772</v>
      </c>
      <c r="J27" s="94">
        <f>WECC!G182+WECC!G156</f>
        <v>4602038</v>
      </c>
      <c r="K27" s="94">
        <v>0</v>
      </c>
      <c r="L27" s="94">
        <v>0</v>
      </c>
      <c r="M27" s="94">
        <f t="shared" si="2"/>
        <v>-41285645</v>
      </c>
      <c r="N27" s="94">
        <f t="shared" si="0"/>
        <v>-42802452.15194907</v>
      </c>
      <c r="O27" s="94">
        <f t="shared" si="1"/>
        <v>299053485.45205092</v>
      </c>
      <c r="P27" s="94">
        <f>D27*AL3*1000</f>
        <v>3377533.5406995974</v>
      </c>
      <c r="Q27" s="94">
        <f>D27*AM3*1000</f>
        <v>4429387.4614881258</v>
      </c>
      <c r="R27" s="94">
        <f>D27*AL4*1000</f>
        <v>23750.066817630704</v>
      </c>
      <c r="S27" s="94">
        <f>D27*AM4*1000</f>
        <v>422933.88217550062</v>
      </c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>
        <f t="shared" si="4"/>
        <v>436407.47777396417</v>
      </c>
      <c r="AE27" s="94">
        <f t="shared" si="5"/>
        <v>502176.89357663383</v>
      </c>
      <c r="AF27" s="12"/>
      <c r="AG27" s="26" t="s">
        <v>24</v>
      </c>
      <c r="AH27" s="116">
        <f>IF(M19&lt;0, ABS(M19), 0)/$AH$24</f>
        <v>0.2311990809104881</v>
      </c>
      <c r="AI27" s="12"/>
      <c r="AL27" s="12"/>
      <c r="AM27" s="12"/>
      <c r="AN27" s="12"/>
    </row>
    <row r="28" spans="1:40" x14ac:dyDescent="0.3">
      <c r="A28" s="10" t="s">
        <v>28</v>
      </c>
      <c r="B28" s="10" t="s">
        <v>19</v>
      </c>
      <c r="C28" s="94">
        <v>84143672.231000006</v>
      </c>
      <c r="D28" s="76">
        <f>C28/SUM(C25:C28)</f>
        <v>0.11241902812660588</v>
      </c>
      <c r="E28" s="94">
        <f>SUM(WECC!F204:F206,WECC!F209:F213)</f>
        <v>2812299</v>
      </c>
      <c r="F28" s="94">
        <f>SUM(WECC!G204:G206,WECC!G209:G213)</f>
        <v>10146576</v>
      </c>
      <c r="G28" s="94">
        <f>SUM(WECC!F202,WECC!F207,WECC!F208)</f>
        <v>15895</v>
      </c>
      <c r="H28" s="94">
        <f>SUM(WECC!G202,WECC!G207,WECC!G208)</f>
        <v>488997</v>
      </c>
      <c r="I28" s="94">
        <v>0</v>
      </c>
      <c r="J28" s="94">
        <v>0</v>
      </c>
      <c r="K28" s="94">
        <v>0</v>
      </c>
      <c r="L28" s="94">
        <v>0</v>
      </c>
      <c r="M28" s="94">
        <f t="shared" si="2"/>
        <v>-7807379</v>
      </c>
      <c r="N28" s="94">
        <f t="shared" si="0"/>
        <v>-8180722.5924084587</v>
      </c>
      <c r="O28" s="94">
        <f t="shared" si="1"/>
        <v>75962949.638591543</v>
      </c>
      <c r="P28" s="94">
        <f>D28*AL3*1000</f>
        <v>831338.71299625048</v>
      </c>
      <c r="Q28" s="94">
        <f>D28*AM3*1000</f>
        <v>1090239.7347718237</v>
      </c>
      <c r="R28" s="94">
        <f>D28*AL4*1000</f>
        <v>5845.7894625835061</v>
      </c>
      <c r="S28" s="94">
        <f>D28*AM4*1000</f>
        <v>104100.02004523705</v>
      </c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>
        <f t="shared" si="4"/>
        <v>107416.38137497193</v>
      </c>
      <c r="AE28" s="94">
        <f t="shared" si="5"/>
        <v>123604.72142520317</v>
      </c>
      <c r="AF28" s="12"/>
      <c r="AG28" s="26" t="s">
        <v>25</v>
      </c>
      <c r="AH28" s="116">
        <f>IF(M20&lt;0, ABS(M20), 0)/$AH$24</f>
        <v>0.63451829837594353</v>
      </c>
      <c r="AI28" s="12"/>
      <c r="AL28" s="12"/>
      <c r="AM28" s="12"/>
      <c r="AN28" s="12"/>
    </row>
    <row r="29" spans="1:40" x14ac:dyDescent="0.3">
      <c r="C29" s="96"/>
      <c r="D29" s="77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G29" s="26" t="s">
        <v>26</v>
      </c>
      <c r="AH29" s="116">
        <f>IF(M21&lt;0, ABS(M21), 0)/$AH$24</f>
        <v>0</v>
      </c>
      <c r="AL29" s="12"/>
      <c r="AM29" s="12"/>
    </row>
    <row r="30" spans="1:40" x14ac:dyDescent="0.3">
      <c r="C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f>SUM(O3:O28)</f>
        <v>4135866351.9120007</v>
      </c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101"/>
      <c r="AB30" s="109">
        <f>SUM(P3:P28,R3:R28,T3:T28,V3:V28,X3:X28,Z3:Z28,AB3:AB28)</f>
        <v>59097000</v>
      </c>
      <c r="AC30" s="109">
        <f>SUM(AC3:AC28,AA3:AA28,Y3:Y28,W3:W28,U3:U28,S3:S28,Q3:Q28)</f>
        <v>12801999.999999998</v>
      </c>
      <c r="AD30" s="108">
        <f>SUM(AD24:AD28)</f>
        <v>1911000</v>
      </c>
      <c r="AE30" s="108">
        <f>SUM(AE24:AE28)</f>
        <v>2199000</v>
      </c>
      <c r="AL30" s="12"/>
      <c r="AM30" s="12"/>
    </row>
    <row r="31" spans="1:40" x14ac:dyDescent="0.3">
      <c r="C31" s="97">
        <f>SUM(C3:C28)</f>
        <v>4079690473.9120007</v>
      </c>
      <c r="E31" s="97">
        <f t="shared" ref="E31:L31" si="6">SUM(E3:E28)</f>
        <v>306372494</v>
      </c>
      <c r="F31" s="97">
        <f t="shared" si="6"/>
        <v>300376691</v>
      </c>
      <c r="G31" s="97">
        <f t="shared" si="6"/>
        <v>100967971</v>
      </c>
      <c r="H31" s="97">
        <f t="shared" si="6"/>
        <v>96794896</v>
      </c>
      <c r="I31" s="97">
        <f t="shared" si="6"/>
        <v>31207099</v>
      </c>
      <c r="J31" s="97">
        <f t="shared" si="6"/>
        <v>4659693</v>
      </c>
      <c r="K31" s="97">
        <f t="shared" si="6"/>
        <v>12886</v>
      </c>
      <c r="L31" s="97">
        <f t="shared" si="6"/>
        <v>437366</v>
      </c>
      <c r="M31" s="97">
        <f>SUM(M3:M28)</f>
        <v>10168878</v>
      </c>
      <c r="N31" s="97">
        <f>SUM(N3:N28)</f>
        <v>56175878</v>
      </c>
      <c r="O31" s="97">
        <f>SUM(N31, C31)</f>
        <v>4135866351.9120007</v>
      </c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G31" s="137" t="s">
        <v>424</v>
      </c>
      <c r="AH31" s="138">
        <f>SUM(IF(M22&lt;0, ABS(M22), 0), IF(M23&lt;0, ABS(M23), 0))</f>
        <v>2526882</v>
      </c>
      <c r="AL31" s="12"/>
      <c r="AM31" s="12"/>
    </row>
    <row r="32" spans="1:40" x14ac:dyDescent="0.3">
      <c r="C32" s="96"/>
      <c r="N32" s="102"/>
      <c r="AG32" s="139" t="s">
        <v>20</v>
      </c>
      <c r="AH32" s="140">
        <f>IF(M22&lt;0, ABS(M22), 0)/$AH$31</f>
        <v>0</v>
      </c>
      <c r="AL32" s="12"/>
      <c r="AM32" s="12"/>
    </row>
    <row r="33" spans="8:34" x14ac:dyDescent="0.3">
      <c r="H33" s="106" t="s">
        <v>402</v>
      </c>
      <c r="I33" s="28"/>
      <c r="J33" s="28"/>
      <c r="K33" s="28"/>
      <c r="L33" s="28"/>
      <c r="M33" s="28"/>
      <c r="N33" s="97">
        <f>G31+E31</f>
        <v>407340465</v>
      </c>
      <c r="O33" s="107">
        <f>N33/O31</f>
        <v>9.8489755311287452E-2</v>
      </c>
      <c r="AG33" s="139" t="s">
        <v>21</v>
      </c>
      <c r="AH33" s="140">
        <f>IF(M23&lt;0, ABS(M23), 0)/$AH$31</f>
        <v>1</v>
      </c>
    </row>
    <row r="34" spans="8:34" x14ac:dyDescent="0.3">
      <c r="H34" s="106" t="s">
        <v>403</v>
      </c>
      <c r="I34" s="28"/>
      <c r="J34" s="28"/>
      <c r="K34" s="28"/>
      <c r="L34" s="28"/>
      <c r="M34" s="28"/>
      <c r="N34" s="97">
        <f>H31+F31</f>
        <v>397171587</v>
      </c>
      <c r="O34" s="107">
        <f>N34/O31</f>
        <v>9.6031049653330453E-2</v>
      </c>
    </row>
    <row r="35" spans="8:34" x14ac:dyDescent="0.3">
      <c r="AG35" s="110" t="s">
        <v>404</v>
      </c>
      <c r="AH35" s="111">
        <f>SUM(IF(M25&lt;0, ABS(M25), 0), IF(M26&lt;0, ABS(M26), 0), IF(M27&lt;0, ABS(M27), 0),IF(M28&lt;0, ABS(M28), 0),AL3*1000,AL4*1000,AL16*0.5)</f>
        <v>80821740</v>
      </c>
    </row>
    <row r="36" spans="8:34" x14ac:dyDescent="0.3">
      <c r="AG36" s="112" t="s">
        <v>5</v>
      </c>
      <c r="AH36" s="113">
        <f>IF(M25&lt;0, ABS(M25), 0)/$AH$35</f>
        <v>0.28861313799975108</v>
      </c>
    </row>
    <row r="37" spans="8:34" x14ac:dyDescent="0.3">
      <c r="AG37" s="112" t="s">
        <v>6</v>
      </c>
      <c r="AH37" s="113">
        <f>IF(M26&lt;0, ABS(M26), 0)/$AH$35</f>
        <v>0</v>
      </c>
    </row>
    <row r="38" spans="8:34" x14ac:dyDescent="0.3">
      <c r="AG38" s="112" t="s">
        <v>12</v>
      </c>
      <c r="AH38" s="113">
        <f>IF(M27&lt;0, ABS(M27), 0)/$AH$35</f>
        <v>0.51082351109986002</v>
      </c>
    </row>
    <row r="39" spans="8:34" x14ac:dyDescent="0.3">
      <c r="AG39" s="112" t="s">
        <v>19</v>
      </c>
      <c r="AH39" s="113">
        <f>IF(M28&lt;0, ABS(M28), 0)/$AH$35</f>
        <v>9.6599986587767098E-2</v>
      </c>
    </row>
    <row r="40" spans="8:34" x14ac:dyDescent="0.3">
      <c r="AG40" s="10" t="s">
        <v>39</v>
      </c>
      <c r="AH40" s="113">
        <f>AL3*1000/$AH$35</f>
        <v>9.1497658921968275E-2</v>
      </c>
    </row>
    <row r="41" spans="8:34" x14ac:dyDescent="0.3">
      <c r="AG41" s="10" t="s">
        <v>40</v>
      </c>
      <c r="AH41" s="113">
        <f>AL4*1000/$AH$35</f>
        <v>6.4339124596921569E-4</v>
      </c>
    </row>
    <row r="42" spans="8:34" x14ac:dyDescent="0.3">
      <c r="AG42" s="10" t="s">
        <v>56</v>
      </c>
      <c r="AH42" s="113">
        <f>AL16*0.5/AH35</f>
        <v>1.1822314144684338E-2</v>
      </c>
    </row>
    <row r="46" spans="8:34" x14ac:dyDescent="0.3">
      <c r="AG46" s="12"/>
    </row>
  </sheetData>
  <sortState ref="A2:B27">
    <sortCondition ref="A2"/>
  </sortState>
  <mergeCells count="10">
    <mergeCell ref="AJ13:AM13"/>
    <mergeCell ref="A1:B1"/>
    <mergeCell ref="AJ1:AM1"/>
    <mergeCell ref="C1:D1"/>
    <mergeCell ref="E1:F1"/>
    <mergeCell ref="I1:L1"/>
    <mergeCell ref="G1:H1"/>
    <mergeCell ref="P1:AC1"/>
    <mergeCell ref="AD1:AE1"/>
    <mergeCell ref="AG1:AH1"/>
  </mergeCells>
  <conditionalFormatting sqref="P3:AE28">
    <cfRule type="containsBlanks" dxfId="2" priority="3">
      <formula>LEN(TRIM(P3))=0</formula>
    </cfRule>
  </conditionalFormatting>
  <conditionalFormatting sqref="E3:O28">
    <cfRule type="cellIs" dxfId="1" priority="1" operator="between">
      <formula>0</formula>
      <formula>0</formula>
    </cfRule>
    <cfRule type="containsBlanks" dxfId="0" priority="2">
      <formula>LEN(TRIM(E3))=0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selection activeCell="B11" sqref="B11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38.109375" bestFit="1" customWidth="1"/>
    <col min="5" max="5" width="25.44140625" bestFit="1" customWidth="1"/>
    <col min="6" max="6" width="18.77734375" customWidth="1"/>
    <col min="7" max="7" width="19.44140625" bestFit="1" customWidth="1"/>
  </cols>
  <sheetData>
    <row r="1" spans="1:7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7" x14ac:dyDescent="0.3">
      <c r="A2" s="26">
        <v>133</v>
      </c>
      <c r="B2" s="27" t="s">
        <v>27</v>
      </c>
      <c r="C2" s="27" t="s">
        <v>3</v>
      </c>
      <c r="D2" s="26" t="s">
        <v>65</v>
      </c>
      <c r="E2" s="26"/>
      <c r="F2" s="28">
        <v>960</v>
      </c>
      <c r="G2" s="28">
        <v>62367</v>
      </c>
    </row>
    <row r="3" spans="1:7" x14ac:dyDescent="0.3">
      <c r="A3" s="26">
        <v>112</v>
      </c>
      <c r="B3" s="27" t="s">
        <v>27</v>
      </c>
      <c r="C3" s="27" t="s">
        <v>3</v>
      </c>
      <c r="D3" s="26" t="s">
        <v>66</v>
      </c>
      <c r="E3" s="26">
        <v>133</v>
      </c>
      <c r="F3" s="28">
        <v>519797</v>
      </c>
      <c r="G3" s="28">
        <v>162436</v>
      </c>
    </row>
    <row r="4" spans="1:7" x14ac:dyDescent="0.3">
      <c r="A4" s="26">
        <v>133</v>
      </c>
      <c r="B4" s="27" t="s">
        <v>27</v>
      </c>
      <c r="C4" s="27" t="s">
        <v>3</v>
      </c>
      <c r="D4" s="26" t="s">
        <v>67</v>
      </c>
      <c r="E4" s="26"/>
      <c r="F4" s="28">
        <v>18</v>
      </c>
      <c r="G4" s="28">
        <v>441780</v>
      </c>
    </row>
    <row r="5" spans="1:7" x14ac:dyDescent="0.3">
      <c r="A5" s="26">
        <v>133</v>
      </c>
      <c r="B5" s="27" t="s">
        <v>27</v>
      </c>
      <c r="C5" s="27" t="s">
        <v>3</v>
      </c>
      <c r="D5" s="26" t="s">
        <v>68</v>
      </c>
      <c r="E5" s="26"/>
      <c r="F5" s="28">
        <v>162481</v>
      </c>
      <c r="G5" s="28">
        <v>519819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3"/>
  <sheetViews>
    <sheetView topLeftCell="A13" workbookViewId="0">
      <selection activeCell="D26" sqref="D26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38.21875" bestFit="1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9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9" x14ac:dyDescent="0.3">
      <c r="A2" s="29">
        <v>186</v>
      </c>
      <c r="B2" s="30" t="s">
        <v>8</v>
      </c>
      <c r="C2" s="30" t="s">
        <v>8</v>
      </c>
      <c r="D2" s="28" t="s">
        <v>69</v>
      </c>
      <c r="E2" s="28"/>
      <c r="F2" s="28">
        <v>9568</v>
      </c>
      <c r="G2" s="28">
        <v>3535452</v>
      </c>
    </row>
    <row r="3" spans="1:9" x14ac:dyDescent="0.3">
      <c r="A3" s="29">
        <v>186</v>
      </c>
      <c r="B3" s="30" t="s">
        <v>8</v>
      </c>
      <c r="C3" s="30" t="s">
        <v>8</v>
      </c>
      <c r="D3" s="28" t="s">
        <v>70</v>
      </c>
      <c r="E3" s="28"/>
      <c r="F3" s="28">
        <v>8264</v>
      </c>
      <c r="G3" s="28">
        <v>3066387</v>
      </c>
    </row>
    <row r="4" spans="1:9" x14ac:dyDescent="0.3">
      <c r="A4" s="29">
        <v>171</v>
      </c>
      <c r="B4" s="30" t="s">
        <v>8</v>
      </c>
      <c r="C4" s="30" t="s">
        <v>8</v>
      </c>
      <c r="D4" s="29" t="s">
        <v>71</v>
      </c>
      <c r="E4" s="29">
        <v>248</v>
      </c>
      <c r="F4" s="28">
        <v>4645949</v>
      </c>
      <c r="G4" s="28">
        <v>4992</v>
      </c>
    </row>
    <row r="5" spans="1:9" x14ac:dyDescent="0.3">
      <c r="A5" s="29">
        <v>186</v>
      </c>
      <c r="B5" s="30" t="s">
        <v>8</v>
      </c>
      <c r="C5" s="30" t="s">
        <v>8</v>
      </c>
      <c r="D5" s="29" t="s">
        <v>72</v>
      </c>
      <c r="E5" s="29"/>
      <c r="F5" s="28">
        <v>21048</v>
      </c>
      <c r="G5" s="28">
        <v>0</v>
      </c>
    </row>
    <row r="6" spans="1:9" x14ac:dyDescent="0.3">
      <c r="A6" s="29">
        <v>186</v>
      </c>
      <c r="B6" s="30" t="s">
        <v>8</v>
      </c>
      <c r="C6" s="30" t="s">
        <v>8</v>
      </c>
      <c r="D6" s="28" t="s">
        <v>73</v>
      </c>
      <c r="E6" s="28"/>
      <c r="F6" s="28">
        <v>68987</v>
      </c>
      <c r="G6" s="28">
        <v>0</v>
      </c>
    </row>
    <row r="7" spans="1:9" x14ac:dyDescent="0.3">
      <c r="A7" s="29">
        <v>136</v>
      </c>
      <c r="B7" s="30" t="s">
        <v>8</v>
      </c>
      <c r="C7" s="30" t="s">
        <v>8</v>
      </c>
      <c r="D7" s="29" t="s">
        <v>74</v>
      </c>
      <c r="E7" s="29">
        <v>171</v>
      </c>
      <c r="F7" s="28">
        <v>507930</v>
      </c>
      <c r="G7" s="28">
        <v>0</v>
      </c>
    </row>
    <row r="8" spans="1:9" x14ac:dyDescent="0.3">
      <c r="A8" s="29">
        <v>140</v>
      </c>
      <c r="B8" s="30" t="s">
        <v>8</v>
      </c>
      <c r="C8" s="30" t="s">
        <v>8</v>
      </c>
      <c r="D8" s="28" t="s">
        <v>75</v>
      </c>
      <c r="E8" s="28"/>
      <c r="F8" s="28">
        <v>915710</v>
      </c>
      <c r="G8" s="28">
        <v>0</v>
      </c>
    </row>
    <row r="9" spans="1:9" x14ac:dyDescent="0.3">
      <c r="A9" s="29">
        <v>170</v>
      </c>
      <c r="B9" s="30" t="s">
        <v>8</v>
      </c>
      <c r="C9" s="30" t="s">
        <v>8</v>
      </c>
      <c r="D9" s="29" t="s">
        <v>76</v>
      </c>
      <c r="E9" s="29">
        <v>186</v>
      </c>
      <c r="F9" s="28">
        <v>687152</v>
      </c>
      <c r="G9" s="28">
        <v>1</v>
      </c>
    </row>
    <row r="10" spans="1:9" x14ac:dyDescent="0.3">
      <c r="A10" s="29">
        <v>172</v>
      </c>
      <c r="B10" s="30" t="s">
        <v>8</v>
      </c>
      <c r="C10" s="30" t="s">
        <v>8</v>
      </c>
      <c r="D10" s="29" t="s">
        <v>77</v>
      </c>
      <c r="E10" s="29">
        <v>171</v>
      </c>
      <c r="F10" s="28">
        <v>354155</v>
      </c>
      <c r="G10" s="28">
        <v>2233</v>
      </c>
    </row>
    <row r="11" spans="1:9" x14ac:dyDescent="0.3">
      <c r="A11" s="29">
        <v>248</v>
      </c>
      <c r="B11" s="30" t="s">
        <v>8</v>
      </c>
      <c r="C11" s="30" t="s">
        <v>8</v>
      </c>
      <c r="D11" s="29" t="s">
        <v>76</v>
      </c>
      <c r="E11" s="29">
        <v>186</v>
      </c>
      <c r="F11" s="28">
        <v>675157</v>
      </c>
      <c r="G11" s="28">
        <v>3161</v>
      </c>
    </row>
    <row r="12" spans="1:9" x14ac:dyDescent="0.3">
      <c r="A12" s="29">
        <v>234</v>
      </c>
      <c r="B12" s="30" t="s">
        <v>8</v>
      </c>
      <c r="C12" s="30" t="s">
        <v>8</v>
      </c>
      <c r="D12" s="29" t="s">
        <v>78</v>
      </c>
      <c r="E12" s="29">
        <v>140</v>
      </c>
      <c r="F12" s="28">
        <v>995908</v>
      </c>
      <c r="G12" s="28">
        <v>24344</v>
      </c>
    </row>
    <row r="13" spans="1:9" x14ac:dyDescent="0.3">
      <c r="A13" s="29">
        <v>171</v>
      </c>
      <c r="B13" s="30" t="s">
        <v>8</v>
      </c>
      <c r="C13" s="30" t="s">
        <v>8</v>
      </c>
      <c r="D13" s="29" t="s">
        <v>79</v>
      </c>
      <c r="E13" s="29">
        <v>262</v>
      </c>
      <c r="F13" s="28">
        <v>3247494</v>
      </c>
      <c r="G13" s="28">
        <v>45026</v>
      </c>
    </row>
    <row r="14" spans="1:9" x14ac:dyDescent="0.3">
      <c r="A14" s="29">
        <v>234</v>
      </c>
      <c r="B14" s="30" t="s">
        <v>8</v>
      </c>
      <c r="C14" s="30" t="s">
        <v>8</v>
      </c>
      <c r="D14" s="28" t="s">
        <v>80</v>
      </c>
      <c r="E14" s="28"/>
      <c r="F14" s="28">
        <v>217629</v>
      </c>
      <c r="G14" s="28">
        <v>96600</v>
      </c>
    </row>
    <row r="15" spans="1:9" x14ac:dyDescent="0.3">
      <c r="A15" s="29">
        <v>234</v>
      </c>
      <c r="B15" s="30" t="s">
        <v>8</v>
      </c>
      <c r="C15" s="30" t="s">
        <v>8</v>
      </c>
      <c r="D15" s="31" t="s">
        <v>81</v>
      </c>
      <c r="E15" s="31">
        <v>253</v>
      </c>
      <c r="F15" s="28">
        <v>1879308</v>
      </c>
      <c r="G15" s="28">
        <v>103622</v>
      </c>
      <c r="H15" s="51" t="s">
        <v>37</v>
      </c>
      <c r="I15" s="51" t="s">
        <v>24</v>
      </c>
    </row>
    <row r="16" spans="1:9" x14ac:dyDescent="0.3">
      <c r="A16" s="29">
        <v>171</v>
      </c>
      <c r="B16" s="30" t="s">
        <v>8</v>
      </c>
      <c r="C16" s="30" t="s">
        <v>8</v>
      </c>
      <c r="D16" s="28" t="s">
        <v>82</v>
      </c>
      <c r="E16" s="28"/>
      <c r="F16" s="28">
        <v>28138</v>
      </c>
      <c r="G16" s="28">
        <v>118458</v>
      </c>
    </row>
    <row r="17" spans="1:9" x14ac:dyDescent="0.3">
      <c r="A17" s="29">
        <v>172</v>
      </c>
      <c r="B17" s="30" t="s">
        <v>8</v>
      </c>
      <c r="C17" s="30" t="s">
        <v>8</v>
      </c>
      <c r="D17" s="29" t="s">
        <v>83</v>
      </c>
      <c r="E17" s="29">
        <v>234</v>
      </c>
      <c r="F17" s="28">
        <v>31506</v>
      </c>
      <c r="G17" s="28">
        <v>153094</v>
      </c>
    </row>
    <row r="18" spans="1:9" x14ac:dyDescent="0.3">
      <c r="A18" s="29">
        <v>248</v>
      </c>
      <c r="B18" s="30" t="s">
        <v>8</v>
      </c>
      <c r="C18" s="30" t="s">
        <v>8</v>
      </c>
      <c r="D18" s="29" t="s">
        <v>84</v>
      </c>
      <c r="E18" s="29">
        <v>262</v>
      </c>
      <c r="F18" s="28">
        <v>668736</v>
      </c>
      <c r="G18" s="28">
        <v>204856</v>
      </c>
    </row>
    <row r="19" spans="1:9" x14ac:dyDescent="0.3">
      <c r="A19" s="29">
        <v>234</v>
      </c>
      <c r="B19" s="30" t="s">
        <v>8</v>
      </c>
      <c r="C19" s="30" t="s">
        <v>8</v>
      </c>
      <c r="D19" s="28" t="s">
        <v>85</v>
      </c>
      <c r="E19" s="28"/>
      <c r="F19" s="28">
        <v>976</v>
      </c>
      <c r="G19" s="28">
        <v>312426</v>
      </c>
    </row>
    <row r="20" spans="1:9" x14ac:dyDescent="0.3">
      <c r="A20" s="29">
        <v>171</v>
      </c>
      <c r="B20" s="30" t="s">
        <v>8</v>
      </c>
      <c r="C20" s="30" t="s">
        <v>8</v>
      </c>
      <c r="D20" s="29" t="s">
        <v>86</v>
      </c>
      <c r="E20" s="29">
        <v>172</v>
      </c>
      <c r="F20" s="28">
        <v>2293</v>
      </c>
      <c r="G20" s="28">
        <v>354952</v>
      </c>
    </row>
    <row r="21" spans="1:9" x14ac:dyDescent="0.3">
      <c r="A21" s="29">
        <v>262</v>
      </c>
      <c r="B21" s="30" t="s">
        <v>8</v>
      </c>
      <c r="C21" s="30" t="s">
        <v>8</v>
      </c>
      <c r="D21" s="29" t="s">
        <v>87</v>
      </c>
      <c r="E21" s="29">
        <v>248</v>
      </c>
      <c r="F21" s="28">
        <v>204414</v>
      </c>
      <c r="G21" s="28">
        <v>668209</v>
      </c>
    </row>
    <row r="22" spans="1:9" x14ac:dyDescent="0.3">
      <c r="A22" s="29">
        <v>186</v>
      </c>
      <c r="B22" s="30" t="s">
        <v>8</v>
      </c>
      <c r="C22" s="30" t="s">
        <v>8</v>
      </c>
      <c r="D22" s="29" t="s">
        <v>88</v>
      </c>
      <c r="E22" s="29">
        <v>248</v>
      </c>
      <c r="F22" s="28">
        <v>3209</v>
      </c>
      <c r="G22" s="28">
        <v>675204</v>
      </c>
    </row>
    <row r="23" spans="1:9" x14ac:dyDescent="0.3">
      <c r="A23" s="29">
        <v>186</v>
      </c>
      <c r="B23" s="30" t="s">
        <v>8</v>
      </c>
      <c r="C23" s="30" t="s">
        <v>8</v>
      </c>
      <c r="D23" s="29" t="s">
        <v>89</v>
      </c>
      <c r="E23" s="29">
        <v>169</v>
      </c>
      <c r="F23" s="28">
        <v>1</v>
      </c>
      <c r="G23" s="28">
        <v>687151</v>
      </c>
    </row>
    <row r="24" spans="1:9" x14ac:dyDescent="0.3">
      <c r="A24" s="29">
        <v>171</v>
      </c>
      <c r="B24" s="30" t="s">
        <v>8</v>
      </c>
      <c r="C24" s="30" t="s">
        <v>8</v>
      </c>
      <c r="D24" s="29" t="s">
        <v>90</v>
      </c>
      <c r="E24" s="29">
        <v>136</v>
      </c>
      <c r="F24" s="28">
        <v>225698</v>
      </c>
      <c r="G24" s="28">
        <v>724642</v>
      </c>
    </row>
    <row r="25" spans="1:9" x14ac:dyDescent="0.3">
      <c r="A25" s="29">
        <v>170</v>
      </c>
      <c r="B25" s="30" t="s">
        <v>8</v>
      </c>
      <c r="C25" s="30" t="s">
        <v>8</v>
      </c>
      <c r="D25" s="29" t="s">
        <v>91</v>
      </c>
      <c r="E25" s="29">
        <v>262</v>
      </c>
      <c r="F25" s="28">
        <v>1911171</v>
      </c>
      <c r="G25" s="28">
        <v>726837</v>
      </c>
    </row>
    <row r="26" spans="1:9" x14ac:dyDescent="0.3">
      <c r="A26" s="29">
        <v>171</v>
      </c>
      <c r="B26" s="30" t="s">
        <v>8</v>
      </c>
      <c r="C26" s="30" t="s">
        <v>8</v>
      </c>
      <c r="D26" s="31" t="s">
        <v>92</v>
      </c>
      <c r="E26" s="31">
        <v>253</v>
      </c>
      <c r="F26" s="28">
        <v>5649500</v>
      </c>
      <c r="G26" s="28">
        <v>912008</v>
      </c>
      <c r="H26" s="51" t="s">
        <v>37</v>
      </c>
      <c r="I26" s="51" t="s">
        <v>24</v>
      </c>
    </row>
    <row r="27" spans="1:9" x14ac:dyDescent="0.3">
      <c r="A27" s="29">
        <v>140</v>
      </c>
      <c r="B27" s="30" t="s">
        <v>8</v>
      </c>
      <c r="C27" s="30" t="s">
        <v>8</v>
      </c>
      <c r="D27" s="29" t="s">
        <v>93</v>
      </c>
      <c r="E27" s="29">
        <v>234</v>
      </c>
      <c r="F27" s="28">
        <v>0</v>
      </c>
      <c r="G27" s="28">
        <v>971557</v>
      </c>
    </row>
    <row r="28" spans="1:9" x14ac:dyDescent="0.3">
      <c r="A28" s="29">
        <v>262</v>
      </c>
      <c r="B28" s="30" t="s">
        <v>8</v>
      </c>
      <c r="C28" s="30" t="s">
        <v>8</v>
      </c>
      <c r="D28" s="29" t="s">
        <v>93</v>
      </c>
      <c r="E28" s="29">
        <v>234</v>
      </c>
      <c r="F28" s="28">
        <v>5098913</v>
      </c>
      <c r="G28" s="28">
        <v>1777708</v>
      </c>
    </row>
    <row r="29" spans="1:9" x14ac:dyDescent="0.3">
      <c r="A29" s="29">
        <v>262</v>
      </c>
      <c r="B29" s="30" t="s">
        <v>8</v>
      </c>
      <c r="C29" s="30" t="s">
        <v>8</v>
      </c>
      <c r="D29" s="29" t="s">
        <v>94</v>
      </c>
      <c r="E29" s="29">
        <v>169</v>
      </c>
      <c r="F29" s="28">
        <v>723984</v>
      </c>
      <c r="G29" s="28">
        <v>1906683</v>
      </c>
    </row>
    <row r="30" spans="1:9" x14ac:dyDescent="0.3">
      <c r="A30" s="29">
        <v>234</v>
      </c>
      <c r="B30" s="30" t="s">
        <v>8</v>
      </c>
      <c r="C30" s="30" t="s">
        <v>8</v>
      </c>
      <c r="D30" s="29" t="s">
        <v>95</v>
      </c>
      <c r="E30" s="29">
        <v>248</v>
      </c>
      <c r="F30" s="28">
        <v>6849852</v>
      </c>
      <c r="G30" s="28">
        <v>1944678</v>
      </c>
    </row>
    <row r="31" spans="1:9" x14ac:dyDescent="0.3">
      <c r="A31" s="29">
        <v>171</v>
      </c>
      <c r="B31" s="30" t="s">
        <v>8</v>
      </c>
      <c r="C31" s="30" t="s">
        <v>8</v>
      </c>
      <c r="D31" s="29" t="s">
        <v>96</v>
      </c>
      <c r="E31" s="29">
        <v>186</v>
      </c>
      <c r="F31" s="28">
        <v>3991640</v>
      </c>
      <c r="G31" s="28">
        <v>2017226</v>
      </c>
    </row>
    <row r="32" spans="1:9" x14ac:dyDescent="0.3">
      <c r="A32" s="29">
        <v>186</v>
      </c>
      <c r="B32" s="30" t="s">
        <v>8</v>
      </c>
      <c r="C32" s="30" t="s">
        <v>8</v>
      </c>
      <c r="D32" s="29" t="s">
        <v>97</v>
      </c>
      <c r="E32" s="29">
        <v>171</v>
      </c>
      <c r="F32" s="28">
        <v>2017226</v>
      </c>
      <c r="G32" s="28">
        <v>2592367</v>
      </c>
    </row>
    <row r="33" spans="1:9" x14ac:dyDescent="0.3">
      <c r="A33" s="29">
        <v>234</v>
      </c>
      <c r="B33" s="30" t="s">
        <v>8</v>
      </c>
      <c r="C33" s="30" t="s">
        <v>8</v>
      </c>
      <c r="D33" s="29" t="s">
        <v>98</v>
      </c>
      <c r="E33" s="29">
        <v>171</v>
      </c>
      <c r="F33" s="28">
        <v>7882354</v>
      </c>
      <c r="G33" s="28">
        <v>2812326</v>
      </c>
    </row>
    <row r="34" spans="1:9" x14ac:dyDescent="0.3">
      <c r="A34" s="29">
        <v>262</v>
      </c>
      <c r="B34" s="30" t="s">
        <v>8</v>
      </c>
      <c r="C34" s="30" t="s">
        <v>8</v>
      </c>
      <c r="D34" s="29" t="s">
        <v>77</v>
      </c>
      <c r="E34" s="29">
        <v>171</v>
      </c>
      <c r="F34" s="28">
        <v>45013</v>
      </c>
      <c r="G34" s="28">
        <v>3239215</v>
      </c>
    </row>
    <row r="35" spans="1:9" x14ac:dyDescent="0.3">
      <c r="A35" s="29">
        <v>170</v>
      </c>
      <c r="B35" s="30" t="s">
        <v>8</v>
      </c>
      <c r="C35" s="30" t="s">
        <v>8</v>
      </c>
      <c r="D35" s="29" t="s">
        <v>99</v>
      </c>
      <c r="E35" s="29">
        <v>171</v>
      </c>
      <c r="F35" s="28">
        <v>4508537</v>
      </c>
      <c r="G35" s="28">
        <v>4089497</v>
      </c>
    </row>
    <row r="36" spans="1:9" x14ac:dyDescent="0.3">
      <c r="A36" s="29">
        <v>186</v>
      </c>
      <c r="B36" s="30" t="s">
        <v>8</v>
      </c>
      <c r="C36" s="30" t="s">
        <v>8</v>
      </c>
      <c r="D36" s="31" t="s">
        <v>100</v>
      </c>
      <c r="E36" s="31">
        <v>253</v>
      </c>
      <c r="F36" s="28">
        <v>10580</v>
      </c>
      <c r="G36" s="28">
        <v>4183218</v>
      </c>
      <c r="H36" s="51" t="s">
        <v>37</v>
      </c>
      <c r="I36" s="51" t="s">
        <v>24</v>
      </c>
    </row>
    <row r="37" spans="1:9" x14ac:dyDescent="0.3">
      <c r="A37" s="29">
        <v>171</v>
      </c>
      <c r="B37" s="30" t="s">
        <v>8</v>
      </c>
      <c r="C37" s="30" t="s">
        <v>8</v>
      </c>
      <c r="D37" s="29" t="s">
        <v>101</v>
      </c>
      <c r="E37" s="29">
        <v>169</v>
      </c>
      <c r="F37" s="28">
        <v>2173035</v>
      </c>
      <c r="G37" s="28">
        <v>4490414</v>
      </c>
    </row>
    <row r="38" spans="1:9" x14ac:dyDescent="0.3">
      <c r="A38" s="29">
        <v>234</v>
      </c>
      <c r="B38" s="30" t="s">
        <v>8</v>
      </c>
      <c r="C38" s="30" t="s">
        <v>8</v>
      </c>
      <c r="D38" s="29" t="s">
        <v>102</v>
      </c>
      <c r="E38" s="29">
        <v>262</v>
      </c>
      <c r="F38" s="28">
        <v>1782753</v>
      </c>
      <c r="G38" s="28">
        <v>5113414</v>
      </c>
    </row>
    <row r="39" spans="1:9" x14ac:dyDescent="0.3">
      <c r="A39" s="29">
        <v>248</v>
      </c>
      <c r="B39" s="30" t="s">
        <v>8</v>
      </c>
      <c r="C39" s="30" t="s">
        <v>8</v>
      </c>
      <c r="D39" s="29" t="s">
        <v>103</v>
      </c>
      <c r="E39" s="29">
        <v>171</v>
      </c>
      <c r="F39" s="28">
        <v>34098</v>
      </c>
      <c r="G39" s="28">
        <v>6219074</v>
      </c>
    </row>
    <row r="40" spans="1:9" x14ac:dyDescent="0.3">
      <c r="A40" s="29">
        <v>234</v>
      </c>
      <c r="B40" s="30" t="s">
        <v>8</v>
      </c>
      <c r="C40" s="30" t="s">
        <v>8</v>
      </c>
      <c r="D40" s="29" t="s">
        <v>104</v>
      </c>
      <c r="E40" s="29">
        <v>169</v>
      </c>
      <c r="F40" s="28">
        <v>9637069</v>
      </c>
      <c r="G40" s="28">
        <v>6286773</v>
      </c>
    </row>
    <row r="41" spans="1:9" x14ac:dyDescent="0.3">
      <c r="A41" s="29">
        <v>248</v>
      </c>
      <c r="B41" s="30" t="s">
        <v>8</v>
      </c>
      <c r="C41" s="30" t="s">
        <v>8</v>
      </c>
      <c r="D41" s="29" t="s">
        <v>93</v>
      </c>
      <c r="E41" s="29">
        <v>234</v>
      </c>
      <c r="F41" s="28">
        <v>1965716</v>
      </c>
      <c r="G41" s="28">
        <v>6870890</v>
      </c>
    </row>
    <row r="42" spans="1:9" x14ac:dyDescent="0.3">
      <c r="A42" s="29">
        <v>171</v>
      </c>
      <c r="B42" s="30" t="s">
        <v>8</v>
      </c>
      <c r="C42" s="30" t="s">
        <v>8</v>
      </c>
      <c r="D42" s="29" t="s">
        <v>105</v>
      </c>
      <c r="E42" s="29">
        <v>234</v>
      </c>
      <c r="F42" s="28">
        <v>2838580</v>
      </c>
      <c r="G42" s="28">
        <v>7908616</v>
      </c>
    </row>
    <row r="43" spans="1:9" x14ac:dyDescent="0.3">
      <c r="A43" s="29">
        <v>170</v>
      </c>
      <c r="B43" s="30" t="s">
        <v>8</v>
      </c>
      <c r="C43" s="30" t="s">
        <v>8</v>
      </c>
      <c r="D43" s="29" t="s">
        <v>93</v>
      </c>
      <c r="E43" s="29">
        <v>234</v>
      </c>
      <c r="F43" s="28">
        <v>6275391</v>
      </c>
      <c r="G43" s="28">
        <v>9625487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"/>
  <sheetViews>
    <sheetView workbookViewId="0">
      <selection activeCell="E18" sqref="E18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19.77734375" bestFit="1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7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"/>
  <sheetViews>
    <sheetView workbookViewId="0">
      <selection activeCell="C13" sqref="C13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37" bestFit="1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9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9" x14ac:dyDescent="0.3">
      <c r="A2" s="32">
        <v>272</v>
      </c>
      <c r="B2" s="33" t="s">
        <v>33</v>
      </c>
      <c r="C2" s="33" t="s">
        <v>10</v>
      </c>
      <c r="D2" s="34" t="s">
        <v>106</v>
      </c>
      <c r="E2" s="34">
        <v>118</v>
      </c>
      <c r="F2" s="28">
        <v>262292</v>
      </c>
      <c r="G2" s="28">
        <v>21890</v>
      </c>
      <c r="H2" s="49" t="s">
        <v>37</v>
      </c>
      <c r="I2" s="49" t="s">
        <v>23</v>
      </c>
    </row>
    <row r="3" spans="1:9" x14ac:dyDescent="0.3">
      <c r="A3" s="32">
        <v>272</v>
      </c>
      <c r="B3" s="33" t="s">
        <v>33</v>
      </c>
      <c r="C3" s="33" t="s">
        <v>10</v>
      </c>
      <c r="D3" s="35" t="s">
        <v>107</v>
      </c>
      <c r="E3" s="28"/>
      <c r="F3" s="28">
        <v>90239</v>
      </c>
      <c r="G3" s="28">
        <v>53655</v>
      </c>
    </row>
    <row r="4" spans="1:9" x14ac:dyDescent="0.3">
      <c r="A4" s="32">
        <v>272</v>
      </c>
      <c r="B4" s="33" t="s">
        <v>33</v>
      </c>
      <c r="C4" s="33" t="s">
        <v>10</v>
      </c>
      <c r="D4" s="32" t="s">
        <v>108</v>
      </c>
      <c r="E4" s="32"/>
      <c r="F4" s="28">
        <v>268131</v>
      </c>
      <c r="G4" s="28">
        <v>57374</v>
      </c>
    </row>
    <row r="5" spans="1:9" x14ac:dyDescent="0.3">
      <c r="A5" s="32">
        <v>272</v>
      </c>
      <c r="B5" s="33" t="s">
        <v>33</v>
      </c>
      <c r="C5" s="33" t="s">
        <v>10</v>
      </c>
      <c r="D5" s="36" t="s">
        <v>109</v>
      </c>
      <c r="E5" s="36">
        <v>275</v>
      </c>
      <c r="F5" s="28">
        <v>545174</v>
      </c>
      <c r="G5" s="28">
        <v>74940</v>
      </c>
      <c r="H5" s="66" t="s">
        <v>28</v>
      </c>
      <c r="I5" s="66" t="s">
        <v>12</v>
      </c>
    </row>
    <row r="6" spans="1:9" x14ac:dyDescent="0.3">
      <c r="A6" s="32">
        <v>272</v>
      </c>
      <c r="B6" s="33" t="s">
        <v>33</v>
      </c>
      <c r="C6" s="33" t="s">
        <v>10</v>
      </c>
      <c r="D6" s="32" t="s">
        <v>110</v>
      </c>
      <c r="E6" s="32"/>
      <c r="F6" s="28">
        <v>324389</v>
      </c>
      <c r="G6" s="28">
        <v>77476</v>
      </c>
    </row>
    <row r="7" spans="1:9" x14ac:dyDescent="0.3">
      <c r="A7" s="32">
        <v>272</v>
      </c>
      <c r="B7" s="33" t="s">
        <v>33</v>
      </c>
      <c r="C7" s="33" t="s">
        <v>10</v>
      </c>
      <c r="D7" s="26" t="s">
        <v>111</v>
      </c>
      <c r="E7" s="26">
        <v>257</v>
      </c>
      <c r="F7" s="26">
        <v>2450312</v>
      </c>
      <c r="G7" s="26">
        <v>4768138</v>
      </c>
      <c r="H7" t="s">
        <v>419</v>
      </c>
    </row>
    <row r="8" spans="1:9" x14ac:dyDescent="0.3">
      <c r="A8" s="32">
        <v>272</v>
      </c>
      <c r="B8" s="33" t="s">
        <v>33</v>
      </c>
      <c r="C8" s="33" t="s">
        <v>10</v>
      </c>
      <c r="D8" s="26" t="s">
        <v>112</v>
      </c>
      <c r="E8" s="26">
        <v>321</v>
      </c>
      <c r="F8" s="26">
        <v>18211901</v>
      </c>
      <c r="G8" s="26">
        <v>19456098</v>
      </c>
      <c r="H8" t="s">
        <v>419</v>
      </c>
    </row>
    <row r="9" spans="1:9" x14ac:dyDescent="0.3">
      <c r="A9" s="134">
        <v>321</v>
      </c>
      <c r="B9" s="134" t="s">
        <v>33</v>
      </c>
      <c r="C9" s="135" t="s">
        <v>10</v>
      </c>
      <c r="D9" s="32" t="s">
        <v>178</v>
      </c>
      <c r="E9" s="32">
        <v>272</v>
      </c>
      <c r="F9" s="28">
        <v>19455567</v>
      </c>
      <c r="G9" s="28">
        <v>18211370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"/>
  <sheetViews>
    <sheetView workbookViewId="0">
      <selection activeCell="D8" sqref="D8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32.33203125" bestFit="1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11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11" x14ac:dyDescent="0.3">
      <c r="A2" s="37">
        <v>185</v>
      </c>
      <c r="B2" s="38" t="s">
        <v>35</v>
      </c>
      <c r="C2" s="38" t="s">
        <v>11</v>
      </c>
      <c r="D2" s="35" t="s">
        <v>113</v>
      </c>
      <c r="E2" s="28"/>
      <c r="F2" s="28">
        <v>13271000</v>
      </c>
      <c r="G2" s="28">
        <v>4000</v>
      </c>
    </row>
    <row r="3" spans="1:11" x14ac:dyDescent="0.3">
      <c r="A3" s="37">
        <v>185</v>
      </c>
      <c r="B3" s="38" t="s">
        <v>35</v>
      </c>
      <c r="C3" s="38" t="s">
        <v>11</v>
      </c>
      <c r="D3" s="28" t="s">
        <v>114</v>
      </c>
      <c r="E3" s="28"/>
      <c r="F3" s="28">
        <v>3546000</v>
      </c>
      <c r="G3" s="28">
        <v>26000</v>
      </c>
    </row>
    <row r="4" spans="1:11" x14ac:dyDescent="0.3">
      <c r="A4" s="37">
        <v>185</v>
      </c>
      <c r="B4" s="38" t="s">
        <v>35</v>
      </c>
      <c r="C4" s="38" t="s">
        <v>11</v>
      </c>
      <c r="D4" s="39" t="s">
        <v>115</v>
      </c>
      <c r="E4" s="39"/>
      <c r="F4" s="61">
        <v>6486000</v>
      </c>
      <c r="G4" s="61">
        <v>2578000</v>
      </c>
      <c r="H4" s="40" t="s">
        <v>35</v>
      </c>
      <c r="I4" s="40" t="s">
        <v>13</v>
      </c>
    </row>
    <row r="5" spans="1:11" x14ac:dyDescent="0.3">
      <c r="A5" s="39">
        <v>211</v>
      </c>
      <c r="B5" s="40" t="s">
        <v>35</v>
      </c>
      <c r="C5" s="40" t="s">
        <v>13</v>
      </c>
      <c r="D5" s="37" t="s">
        <v>116</v>
      </c>
      <c r="E5" s="37"/>
      <c r="F5" s="61">
        <v>5406771</v>
      </c>
      <c r="G5" s="61">
        <v>0</v>
      </c>
      <c r="H5" s="38" t="s">
        <v>35</v>
      </c>
      <c r="I5" s="38" t="s">
        <v>11</v>
      </c>
    </row>
    <row r="6" spans="1:11" x14ac:dyDescent="0.3">
      <c r="A6" s="39">
        <v>211</v>
      </c>
      <c r="B6" s="40" t="s">
        <v>35</v>
      </c>
      <c r="C6" s="40" t="s">
        <v>13</v>
      </c>
      <c r="D6" s="35" t="s">
        <v>117</v>
      </c>
      <c r="E6" s="28"/>
      <c r="F6" s="78">
        <v>0</v>
      </c>
      <c r="G6" s="78">
        <v>7180327</v>
      </c>
      <c r="J6" s="165" t="s">
        <v>418</v>
      </c>
      <c r="K6" s="165"/>
    </row>
    <row r="7" spans="1:11" x14ac:dyDescent="0.3">
      <c r="A7" s="39">
        <v>211</v>
      </c>
      <c r="B7" s="40" t="s">
        <v>35</v>
      </c>
      <c r="C7" s="40" t="s">
        <v>13</v>
      </c>
      <c r="D7" s="41" t="s">
        <v>118</v>
      </c>
      <c r="E7" s="41">
        <v>230</v>
      </c>
      <c r="F7" s="78">
        <v>0</v>
      </c>
      <c r="G7" s="78">
        <v>8722255</v>
      </c>
      <c r="H7" s="42" t="s">
        <v>34</v>
      </c>
      <c r="I7" s="42" t="s">
        <v>16</v>
      </c>
      <c r="J7" s="165"/>
      <c r="K7" s="165"/>
    </row>
    <row r="8" spans="1:11" x14ac:dyDescent="0.3">
      <c r="A8" s="39">
        <v>211</v>
      </c>
      <c r="B8" s="40" t="s">
        <v>35</v>
      </c>
      <c r="C8" s="40" t="s">
        <v>13</v>
      </c>
      <c r="D8" s="35" t="s">
        <v>119</v>
      </c>
      <c r="E8" s="28"/>
      <c r="F8" s="78">
        <v>0</v>
      </c>
      <c r="G8" s="78">
        <v>8839761</v>
      </c>
      <c r="J8" s="165"/>
      <c r="K8" s="165"/>
    </row>
  </sheetData>
  <mergeCells count="1">
    <mergeCell ref="J6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J16"/>
  <sheetViews>
    <sheetView workbookViewId="0">
      <selection activeCell="F21" sqref="F21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43.33203125" bestFit="1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10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10" x14ac:dyDescent="0.3">
      <c r="A2" s="41">
        <v>230</v>
      </c>
      <c r="B2" s="42" t="s">
        <v>34</v>
      </c>
      <c r="C2" s="42" t="s">
        <v>16</v>
      </c>
      <c r="D2" s="41" t="s">
        <v>120</v>
      </c>
      <c r="E2" s="41"/>
      <c r="F2" s="28">
        <v>15142</v>
      </c>
      <c r="G2" s="28">
        <v>542230</v>
      </c>
    </row>
    <row r="3" spans="1:10" x14ac:dyDescent="0.3">
      <c r="A3" s="41">
        <v>230</v>
      </c>
      <c r="B3" s="42" t="s">
        <v>34</v>
      </c>
      <c r="C3" s="42" t="s">
        <v>16</v>
      </c>
      <c r="D3" s="41" t="s">
        <v>121</v>
      </c>
      <c r="E3" s="41"/>
      <c r="F3" s="28">
        <v>311459</v>
      </c>
      <c r="G3" s="28">
        <v>753445</v>
      </c>
    </row>
    <row r="4" spans="1:10" x14ac:dyDescent="0.3">
      <c r="A4" s="41">
        <v>230</v>
      </c>
      <c r="B4" s="42" t="s">
        <v>34</v>
      </c>
      <c r="C4" s="42" t="s">
        <v>16</v>
      </c>
      <c r="D4" s="43" t="s">
        <v>122</v>
      </c>
      <c r="E4" s="43">
        <v>157</v>
      </c>
      <c r="F4" s="28">
        <v>1043700</v>
      </c>
      <c r="G4" s="28">
        <v>1502276</v>
      </c>
      <c r="H4" s="54" t="s">
        <v>37</v>
      </c>
      <c r="I4" s="54" t="s">
        <v>26</v>
      </c>
    </row>
    <row r="5" spans="1:10" x14ac:dyDescent="0.3">
      <c r="A5" s="41">
        <v>230</v>
      </c>
      <c r="B5" s="42" t="s">
        <v>34</v>
      </c>
      <c r="C5" s="42" t="s">
        <v>16</v>
      </c>
      <c r="D5" s="44" t="s">
        <v>123</v>
      </c>
      <c r="E5" s="44">
        <v>263</v>
      </c>
      <c r="F5" s="28">
        <v>7834573</v>
      </c>
      <c r="G5" s="28">
        <v>2301383</v>
      </c>
      <c r="H5" s="44" t="s">
        <v>37</v>
      </c>
      <c r="I5" s="52" t="s">
        <v>25</v>
      </c>
    </row>
    <row r="6" spans="1:10" x14ac:dyDescent="0.3">
      <c r="A6" s="41">
        <v>230</v>
      </c>
      <c r="B6" s="42" t="s">
        <v>34</v>
      </c>
      <c r="C6" s="42" t="s">
        <v>16</v>
      </c>
      <c r="D6" s="43" t="s">
        <v>124</v>
      </c>
      <c r="E6" s="43">
        <v>233</v>
      </c>
      <c r="F6" s="28">
        <v>8534103</v>
      </c>
      <c r="G6" s="28">
        <v>2853340</v>
      </c>
      <c r="H6" s="54" t="s">
        <v>37</v>
      </c>
      <c r="I6" s="54" t="s">
        <v>26</v>
      </c>
    </row>
    <row r="7" spans="1:10" x14ac:dyDescent="0.3">
      <c r="A7" s="41">
        <v>230</v>
      </c>
      <c r="B7" s="42" t="s">
        <v>34</v>
      </c>
      <c r="C7" s="42" t="s">
        <v>16</v>
      </c>
      <c r="D7" s="45" t="s">
        <v>125</v>
      </c>
      <c r="E7" s="45">
        <v>219</v>
      </c>
      <c r="F7" s="61">
        <v>16212744</v>
      </c>
      <c r="G7" s="61">
        <v>3193413</v>
      </c>
      <c r="H7" s="47" t="s">
        <v>34</v>
      </c>
      <c r="I7" s="47" t="s">
        <v>18</v>
      </c>
    </row>
    <row r="8" spans="1:10" x14ac:dyDescent="0.3">
      <c r="A8" s="41">
        <v>230</v>
      </c>
      <c r="B8" s="42" t="s">
        <v>34</v>
      </c>
      <c r="C8" s="42" t="s">
        <v>16</v>
      </c>
      <c r="D8" s="46" t="s">
        <v>126</v>
      </c>
      <c r="E8" s="46"/>
      <c r="F8" s="28">
        <v>92144</v>
      </c>
      <c r="G8" s="28">
        <v>4575834</v>
      </c>
      <c r="H8" s="46" t="s">
        <v>35</v>
      </c>
      <c r="I8" s="46" t="s">
        <v>14</v>
      </c>
    </row>
    <row r="9" spans="1:10" x14ac:dyDescent="0.3">
      <c r="A9" s="41">
        <v>230</v>
      </c>
      <c r="B9" s="42" t="s">
        <v>34</v>
      </c>
      <c r="C9" s="42" t="s">
        <v>16</v>
      </c>
      <c r="D9" s="44" t="s">
        <v>127</v>
      </c>
      <c r="E9" s="44">
        <v>197</v>
      </c>
      <c r="F9" s="28">
        <v>9827759</v>
      </c>
      <c r="G9" s="28">
        <v>6508146</v>
      </c>
      <c r="H9" s="44" t="s">
        <v>37</v>
      </c>
      <c r="I9" s="52" t="s">
        <v>25</v>
      </c>
    </row>
    <row r="10" spans="1:10" x14ac:dyDescent="0.3">
      <c r="A10" s="41">
        <v>230</v>
      </c>
      <c r="B10" s="42" t="s">
        <v>34</v>
      </c>
      <c r="C10" s="42" t="s">
        <v>16</v>
      </c>
      <c r="D10" s="39" t="s">
        <v>128</v>
      </c>
      <c r="E10" s="39">
        <v>211</v>
      </c>
      <c r="F10" s="61">
        <v>11842428</v>
      </c>
      <c r="G10" s="61">
        <v>15102572</v>
      </c>
      <c r="H10" s="40" t="s">
        <v>35</v>
      </c>
      <c r="I10" s="40" t="s">
        <v>13</v>
      </c>
    </row>
    <row r="11" spans="1:10" x14ac:dyDescent="0.3">
      <c r="A11" s="41">
        <v>230</v>
      </c>
      <c r="B11" s="42" t="s">
        <v>34</v>
      </c>
      <c r="C11" s="42" t="s">
        <v>16</v>
      </c>
      <c r="D11" s="45" t="s">
        <v>129</v>
      </c>
      <c r="E11" s="45">
        <v>321</v>
      </c>
      <c r="F11" s="61">
        <v>48284923</v>
      </c>
      <c r="G11" s="61">
        <v>62010744</v>
      </c>
      <c r="H11" s="47" t="s">
        <v>34</v>
      </c>
      <c r="I11" s="47" t="s">
        <v>18</v>
      </c>
      <c r="J11" t="s">
        <v>417</v>
      </c>
    </row>
    <row r="12" spans="1:10" x14ac:dyDescent="0.3">
      <c r="A12" s="45">
        <v>219</v>
      </c>
      <c r="B12" s="47" t="s">
        <v>34</v>
      </c>
      <c r="C12" s="47" t="s">
        <v>18</v>
      </c>
      <c r="D12" s="44" t="s">
        <v>130</v>
      </c>
      <c r="E12" s="44">
        <v>197</v>
      </c>
      <c r="F12" s="28">
        <v>2665368</v>
      </c>
      <c r="G12" s="28">
        <v>596493</v>
      </c>
      <c r="H12" s="44" t="s">
        <v>37</v>
      </c>
      <c r="I12" s="52" t="s">
        <v>25</v>
      </c>
    </row>
    <row r="13" spans="1:10" x14ac:dyDescent="0.3">
      <c r="A13" s="45">
        <v>219</v>
      </c>
      <c r="B13" s="47" t="s">
        <v>34</v>
      </c>
      <c r="C13" s="47" t="s">
        <v>18</v>
      </c>
      <c r="D13" s="41" t="s">
        <v>131</v>
      </c>
      <c r="E13" s="41">
        <v>230</v>
      </c>
      <c r="F13" s="61">
        <v>3199575</v>
      </c>
      <c r="G13" s="61">
        <v>16219093</v>
      </c>
      <c r="H13" s="42" t="s">
        <v>34</v>
      </c>
      <c r="I13" s="42" t="s">
        <v>16</v>
      </c>
    </row>
    <row r="15" spans="1:10" x14ac:dyDescent="0.3">
      <c r="A15" s="28">
        <v>321</v>
      </c>
      <c r="B15" s="47" t="s">
        <v>34</v>
      </c>
      <c r="C15" s="47" t="s">
        <v>18</v>
      </c>
      <c r="D15" s="136" t="s">
        <v>357</v>
      </c>
      <c r="E15" s="136">
        <v>163</v>
      </c>
      <c r="F15" s="28">
        <v>152194</v>
      </c>
      <c r="G15" s="28">
        <v>5404</v>
      </c>
      <c r="H15" s="136" t="s">
        <v>36</v>
      </c>
      <c r="I15" s="136" t="s">
        <v>20</v>
      </c>
    </row>
    <row r="16" spans="1:10" x14ac:dyDescent="0.3">
      <c r="A16" s="28">
        <v>321</v>
      </c>
      <c r="B16" s="47" t="s">
        <v>34</v>
      </c>
      <c r="C16" s="47" t="s">
        <v>18</v>
      </c>
      <c r="D16" s="41" t="s">
        <v>131</v>
      </c>
      <c r="E16" s="41">
        <v>230</v>
      </c>
      <c r="F16" s="28">
        <v>65010744</v>
      </c>
      <c r="G16" s="28">
        <v>46574028</v>
      </c>
      <c r="H16" s="42" t="s">
        <v>34</v>
      </c>
      <c r="I16" s="42" t="s">
        <v>16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2"/>
  <sheetViews>
    <sheetView topLeftCell="B1" workbookViewId="0">
      <selection activeCell="E3" sqref="E3:E6"/>
    </sheetView>
  </sheetViews>
  <sheetFormatPr defaultRowHeight="14.4" x14ac:dyDescent="0.3"/>
  <cols>
    <col min="1" max="1" width="14.77734375" bestFit="1" customWidth="1"/>
    <col min="2" max="2" width="12.44140625" bestFit="1" customWidth="1"/>
    <col min="3" max="3" width="13.33203125" bestFit="1" customWidth="1"/>
    <col min="4" max="4" width="44.5546875" customWidth="1"/>
    <col min="5" max="5" width="25.44140625" bestFit="1" customWidth="1"/>
    <col min="6" max="6" width="18.77734375" bestFit="1" customWidth="1"/>
    <col min="7" max="7" width="19.44140625" bestFit="1" customWidth="1"/>
  </cols>
  <sheetData>
    <row r="1" spans="1:9" ht="15.6" x14ac:dyDescent="0.3">
      <c r="A1" s="25" t="s">
        <v>61</v>
      </c>
      <c r="B1" s="25" t="s">
        <v>0</v>
      </c>
      <c r="C1" s="25" t="s">
        <v>62</v>
      </c>
      <c r="D1" s="25" t="s">
        <v>63</v>
      </c>
      <c r="E1" s="25" t="s">
        <v>64</v>
      </c>
      <c r="F1" s="25" t="s">
        <v>366</v>
      </c>
      <c r="G1" s="25" t="s">
        <v>367</v>
      </c>
    </row>
    <row r="2" spans="1:9" x14ac:dyDescent="0.3">
      <c r="A2" s="48">
        <v>118</v>
      </c>
      <c r="B2" s="49" t="s">
        <v>37</v>
      </c>
      <c r="C2" s="49" t="s">
        <v>23</v>
      </c>
      <c r="D2" s="32" t="s">
        <v>132</v>
      </c>
      <c r="E2" s="32">
        <v>272</v>
      </c>
      <c r="F2" s="28">
        <v>21890</v>
      </c>
      <c r="G2" s="28">
        <v>262292</v>
      </c>
      <c r="H2" s="66" t="s">
        <v>28</v>
      </c>
      <c r="I2" s="66" t="s">
        <v>12</v>
      </c>
    </row>
    <row r="3" spans="1:9" x14ac:dyDescent="0.3">
      <c r="A3" s="48">
        <v>161</v>
      </c>
      <c r="B3" s="49" t="s">
        <v>37</v>
      </c>
      <c r="C3" s="49" t="s">
        <v>23</v>
      </c>
      <c r="D3" s="44" t="s">
        <v>133</v>
      </c>
      <c r="E3" s="44">
        <v>263</v>
      </c>
      <c r="F3" s="28">
        <v>116675</v>
      </c>
      <c r="G3" s="28">
        <v>1016783</v>
      </c>
      <c r="H3" s="52" t="s">
        <v>37</v>
      </c>
      <c r="I3" s="52" t="s">
        <v>25</v>
      </c>
    </row>
    <row r="4" spans="1:9" x14ac:dyDescent="0.3">
      <c r="A4" s="48">
        <v>118</v>
      </c>
      <c r="B4" s="49" t="s">
        <v>37</v>
      </c>
      <c r="C4" s="49" t="s">
        <v>23</v>
      </c>
      <c r="D4" s="44" t="s">
        <v>134</v>
      </c>
      <c r="E4" s="44">
        <v>263</v>
      </c>
      <c r="F4" s="28">
        <v>0</v>
      </c>
      <c r="G4" s="28">
        <v>1555404</v>
      </c>
      <c r="H4" s="52" t="s">
        <v>37</v>
      </c>
      <c r="I4" s="52" t="s">
        <v>25</v>
      </c>
    </row>
    <row r="5" spans="1:9" x14ac:dyDescent="0.3">
      <c r="A5" s="48">
        <v>161</v>
      </c>
      <c r="B5" s="49" t="s">
        <v>37</v>
      </c>
      <c r="C5" s="49" t="s">
        <v>23</v>
      </c>
      <c r="D5" s="44" t="s">
        <v>135</v>
      </c>
      <c r="E5" s="44">
        <v>197</v>
      </c>
      <c r="F5" s="28">
        <v>0</v>
      </c>
      <c r="G5" s="28">
        <v>1897653</v>
      </c>
      <c r="H5" s="52" t="s">
        <v>37</v>
      </c>
      <c r="I5" s="52" t="s">
        <v>25</v>
      </c>
    </row>
    <row r="6" spans="1:9" x14ac:dyDescent="0.3">
      <c r="A6" s="48">
        <v>118</v>
      </c>
      <c r="B6" s="49" t="s">
        <v>37</v>
      </c>
      <c r="C6" s="49" t="s">
        <v>23</v>
      </c>
      <c r="D6" s="50" t="s">
        <v>136</v>
      </c>
      <c r="E6" s="50">
        <v>258</v>
      </c>
      <c r="F6" s="28">
        <v>4501235</v>
      </c>
      <c r="G6" s="28">
        <v>3807475</v>
      </c>
      <c r="H6" s="59" t="s">
        <v>36</v>
      </c>
      <c r="I6" s="59" t="s">
        <v>21</v>
      </c>
    </row>
    <row r="7" spans="1:9" x14ac:dyDescent="0.3">
      <c r="A7" s="48">
        <v>161</v>
      </c>
      <c r="B7" s="49" t="s">
        <v>37</v>
      </c>
      <c r="C7" s="49" t="s">
        <v>23</v>
      </c>
      <c r="D7" s="7" t="s">
        <v>137</v>
      </c>
      <c r="E7" s="7">
        <v>321</v>
      </c>
      <c r="F7" s="7">
        <v>38390</v>
      </c>
      <c r="G7" s="7">
        <v>4308038</v>
      </c>
      <c r="H7" s="132" t="s">
        <v>419</v>
      </c>
    </row>
    <row r="8" spans="1:9" x14ac:dyDescent="0.3">
      <c r="A8" s="48">
        <v>118</v>
      </c>
      <c r="B8" s="49" t="s">
        <v>37</v>
      </c>
      <c r="C8" s="49" t="s">
        <v>23</v>
      </c>
      <c r="D8" s="7" t="s">
        <v>138</v>
      </c>
      <c r="E8" s="7">
        <v>257</v>
      </c>
      <c r="F8" s="7">
        <v>16895725</v>
      </c>
      <c r="G8" s="7">
        <v>14504027</v>
      </c>
      <c r="H8" s="132" t="s">
        <v>419</v>
      </c>
    </row>
    <row r="9" spans="1:9" x14ac:dyDescent="0.3">
      <c r="A9" s="48">
        <v>118</v>
      </c>
      <c r="B9" s="49" t="s">
        <v>37</v>
      </c>
      <c r="C9" s="49" t="s">
        <v>23</v>
      </c>
      <c r="D9" s="7" t="s">
        <v>139</v>
      </c>
      <c r="E9" s="7">
        <v>321</v>
      </c>
      <c r="F9" s="7">
        <v>16475777</v>
      </c>
      <c r="G9" s="7">
        <v>18379771</v>
      </c>
      <c r="H9" s="132" t="s">
        <v>419</v>
      </c>
    </row>
    <row r="10" spans="1:9" x14ac:dyDescent="0.3">
      <c r="A10" s="31">
        <v>253</v>
      </c>
      <c r="B10" s="51" t="s">
        <v>37</v>
      </c>
      <c r="C10" s="51" t="s">
        <v>24</v>
      </c>
      <c r="D10" s="29" t="s">
        <v>96</v>
      </c>
      <c r="E10" s="29">
        <v>186</v>
      </c>
      <c r="F10" s="28">
        <v>4172919</v>
      </c>
      <c r="G10" s="28">
        <v>0</v>
      </c>
      <c r="H10" s="30" t="s">
        <v>8</v>
      </c>
      <c r="I10" s="30" t="s">
        <v>8</v>
      </c>
    </row>
    <row r="11" spans="1:9" x14ac:dyDescent="0.3">
      <c r="A11" s="31">
        <v>253</v>
      </c>
      <c r="B11" s="51" t="s">
        <v>37</v>
      </c>
      <c r="C11" s="51" t="s">
        <v>24</v>
      </c>
      <c r="D11" s="28" t="s">
        <v>379</v>
      </c>
      <c r="E11" s="28"/>
      <c r="F11" s="28">
        <v>627454</v>
      </c>
      <c r="G11" s="28">
        <v>3218</v>
      </c>
    </row>
    <row r="12" spans="1:9" x14ac:dyDescent="0.3">
      <c r="A12" s="31">
        <v>253</v>
      </c>
      <c r="B12" s="51" t="s">
        <v>37</v>
      </c>
      <c r="C12" s="51" t="s">
        <v>24</v>
      </c>
      <c r="D12" s="28" t="s">
        <v>380</v>
      </c>
      <c r="E12" s="28"/>
      <c r="F12" s="28">
        <v>287589</v>
      </c>
      <c r="G12" s="28">
        <v>19539</v>
      </c>
    </row>
    <row r="13" spans="1:9" x14ac:dyDescent="0.3">
      <c r="A13" s="31">
        <v>253</v>
      </c>
      <c r="B13" s="51" t="s">
        <v>37</v>
      </c>
      <c r="C13" s="51" t="s">
        <v>24</v>
      </c>
      <c r="D13" s="28" t="s">
        <v>381</v>
      </c>
      <c r="E13" s="28"/>
      <c r="F13" s="28">
        <v>603713</v>
      </c>
      <c r="G13" s="28">
        <v>102510</v>
      </c>
    </row>
    <row r="14" spans="1:9" x14ac:dyDescent="0.3">
      <c r="A14" s="31">
        <v>253</v>
      </c>
      <c r="B14" s="51" t="s">
        <v>37</v>
      </c>
      <c r="C14" s="51" t="s">
        <v>24</v>
      </c>
      <c r="D14" s="43" t="s">
        <v>140</v>
      </c>
      <c r="E14" s="43"/>
      <c r="F14" s="28">
        <v>502101</v>
      </c>
      <c r="G14" s="28">
        <v>380607</v>
      </c>
      <c r="H14" s="54" t="s">
        <v>37</v>
      </c>
      <c r="I14" s="54" t="s">
        <v>26</v>
      </c>
    </row>
    <row r="15" spans="1:9" x14ac:dyDescent="0.3">
      <c r="A15" s="31">
        <v>253</v>
      </c>
      <c r="B15" s="51" t="s">
        <v>37</v>
      </c>
      <c r="C15" s="51" t="s">
        <v>24</v>
      </c>
      <c r="D15" s="43" t="s">
        <v>141</v>
      </c>
      <c r="E15" s="43">
        <v>157</v>
      </c>
      <c r="F15" s="28">
        <v>1913803</v>
      </c>
      <c r="G15" s="28">
        <v>522076</v>
      </c>
      <c r="H15" s="54" t="s">
        <v>37</v>
      </c>
      <c r="I15" s="54" t="s">
        <v>26</v>
      </c>
    </row>
    <row r="16" spans="1:9" x14ac:dyDescent="0.3">
      <c r="A16" s="31">
        <v>101</v>
      </c>
      <c r="B16" s="51" t="s">
        <v>37</v>
      </c>
      <c r="C16" s="51" t="s">
        <v>24</v>
      </c>
      <c r="D16" s="26" t="s">
        <v>137</v>
      </c>
      <c r="E16" s="26">
        <v>321</v>
      </c>
      <c r="F16" s="26">
        <v>10584</v>
      </c>
      <c r="G16" s="26">
        <v>778967</v>
      </c>
      <c r="H16" s="132" t="s">
        <v>419</v>
      </c>
    </row>
    <row r="17" spans="1:9" x14ac:dyDescent="0.3">
      <c r="A17" s="31">
        <v>253</v>
      </c>
      <c r="B17" s="51" t="s">
        <v>37</v>
      </c>
      <c r="C17" s="51" t="s">
        <v>24</v>
      </c>
      <c r="D17" s="79" t="s">
        <v>78</v>
      </c>
      <c r="E17" s="79">
        <v>140</v>
      </c>
      <c r="F17" s="28">
        <v>1258</v>
      </c>
      <c r="G17" s="28">
        <v>916968</v>
      </c>
      <c r="H17" s="30" t="s">
        <v>8</v>
      </c>
      <c r="I17" s="30" t="s">
        <v>8</v>
      </c>
    </row>
    <row r="18" spans="1:9" x14ac:dyDescent="0.3">
      <c r="A18" s="31">
        <v>253</v>
      </c>
      <c r="B18" s="51" t="s">
        <v>37</v>
      </c>
      <c r="C18" s="51" t="s">
        <v>24</v>
      </c>
      <c r="D18" s="29" t="s">
        <v>142</v>
      </c>
      <c r="E18" s="29">
        <v>234</v>
      </c>
      <c r="F18" s="28">
        <v>103631</v>
      </c>
      <c r="G18" s="28">
        <v>1879260</v>
      </c>
      <c r="H18" s="30" t="s">
        <v>8</v>
      </c>
      <c r="I18" s="30" t="s">
        <v>8</v>
      </c>
    </row>
    <row r="19" spans="1:9" x14ac:dyDescent="0.3">
      <c r="A19" s="31">
        <v>253</v>
      </c>
      <c r="B19" s="51" t="s">
        <v>37</v>
      </c>
      <c r="C19" s="51" t="s">
        <v>24</v>
      </c>
      <c r="D19" s="43" t="s">
        <v>143</v>
      </c>
      <c r="E19" s="43">
        <v>251</v>
      </c>
      <c r="F19" s="28">
        <v>34913</v>
      </c>
      <c r="G19" s="28">
        <v>3380762</v>
      </c>
      <c r="H19" s="54" t="s">
        <v>37</v>
      </c>
      <c r="I19" s="54" t="s">
        <v>26</v>
      </c>
    </row>
    <row r="20" spans="1:9" x14ac:dyDescent="0.3">
      <c r="A20" s="31">
        <v>101</v>
      </c>
      <c r="B20" s="51" t="s">
        <v>37</v>
      </c>
      <c r="C20" s="51" t="s">
        <v>24</v>
      </c>
      <c r="D20" s="31" t="s">
        <v>144</v>
      </c>
      <c r="E20" s="31">
        <v>253</v>
      </c>
      <c r="F20" s="28">
        <v>3645076</v>
      </c>
      <c r="G20" s="28">
        <v>3525167</v>
      </c>
    </row>
    <row r="21" spans="1:9" x14ac:dyDescent="0.3">
      <c r="A21" s="31">
        <v>253</v>
      </c>
      <c r="B21" s="51" t="s">
        <v>37</v>
      </c>
      <c r="C21" s="51" t="s">
        <v>24</v>
      </c>
      <c r="D21" s="28" t="s">
        <v>145</v>
      </c>
      <c r="E21" s="28"/>
      <c r="F21" s="28">
        <v>3525167</v>
      </c>
      <c r="G21" s="28">
        <v>3645076</v>
      </c>
    </row>
    <row r="22" spans="1:9" x14ac:dyDescent="0.3">
      <c r="A22" s="31">
        <v>253</v>
      </c>
      <c r="B22" s="51" t="s">
        <v>37</v>
      </c>
      <c r="C22" s="51" t="s">
        <v>24</v>
      </c>
      <c r="D22" s="43" t="s">
        <v>146</v>
      </c>
      <c r="E22" s="43">
        <v>250</v>
      </c>
      <c r="F22" s="28">
        <v>3068</v>
      </c>
      <c r="G22" s="28">
        <v>4270208</v>
      </c>
      <c r="H22" s="54" t="s">
        <v>37</v>
      </c>
      <c r="I22" s="54" t="s">
        <v>26</v>
      </c>
    </row>
    <row r="23" spans="1:9" x14ac:dyDescent="0.3">
      <c r="A23" s="31">
        <v>253</v>
      </c>
      <c r="B23" s="51" t="s">
        <v>37</v>
      </c>
      <c r="C23" s="51" t="s">
        <v>24</v>
      </c>
      <c r="D23" s="44" t="s">
        <v>133</v>
      </c>
      <c r="E23" s="44">
        <v>263</v>
      </c>
      <c r="F23" s="28">
        <v>12847173</v>
      </c>
      <c r="G23" s="28">
        <v>4779921</v>
      </c>
      <c r="H23" s="52" t="s">
        <v>37</v>
      </c>
      <c r="I23" s="52" t="s">
        <v>25</v>
      </c>
    </row>
    <row r="24" spans="1:9" x14ac:dyDescent="0.3">
      <c r="A24" s="31">
        <v>253</v>
      </c>
      <c r="B24" s="51" t="s">
        <v>37</v>
      </c>
      <c r="C24" s="51" t="s">
        <v>24</v>
      </c>
      <c r="D24" s="43" t="s">
        <v>147</v>
      </c>
      <c r="E24" s="43">
        <v>164</v>
      </c>
      <c r="F24" s="28">
        <v>2451905</v>
      </c>
      <c r="G24" s="28">
        <v>7878446</v>
      </c>
      <c r="H24" s="54" t="s">
        <v>37</v>
      </c>
      <c r="I24" s="54" t="s">
        <v>26</v>
      </c>
    </row>
    <row r="25" spans="1:9" x14ac:dyDescent="0.3">
      <c r="A25" s="31">
        <v>253</v>
      </c>
      <c r="B25" s="51" t="s">
        <v>37</v>
      </c>
      <c r="C25" s="51" t="s">
        <v>24</v>
      </c>
      <c r="D25" s="29" t="s">
        <v>98</v>
      </c>
      <c r="E25" s="29">
        <v>171</v>
      </c>
      <c r="F25" s="28">
        <v>5085095</v>
      </c>
      <c r="G25" s="28">
        <v>9822052</v>
      </c>
      <c r="H25" s="30" t="s">
        <v>8</v>
      </c>
      <c r="I25" s="30" t="s">
        <v>8</v>
      </c>
    </row>
    <row r="26" spans="1:9" x14ac:dyDescent="0.3">
      <c r="A26" s="44">
        <v>263</v>
      </c>
      <c r="B26" s="52" t="s">
        <v>37</v>
      </c>
      <c r="C26" s="52" t="s">
        <v>25</v>
      </c>
      <c r="D26" s="48" t="s">
        <v>148</v>
      </c>
      <c r="E26" s="48">
        <v>118</v>
      </c>
      <c r="F26" s="28">
        <v>1555404</v>
      </c>
      <c r="G26" s="28">
        <v>0</v>
      </c>
      <c r="H26" s="49" t="s">
        <v>37</v>
      </c>
      <c r="I26" s="49" t="s">
        <v>23</v>
      </c>
    </row>
    <row r="27" spans="1:9" x14ac:dyDescent="0.3">
      <c r="A27" s="44">
        <v>197</v>
      </c>
      <c r="B27" s="52" t="s">
        <v>37</v>
      </c>
      <c r="C27" s="52" t="s">
        <v>25</v>
      </c>
      <c r="D27" s="48" t="s">
        <v>149</v>
      </c>
      <c r="E27" s="48">
        <v>161</v>
      </c>
      <c r="F27" s="28">
        <v>1897664</v>
      </c>
      <c r="G27" s="28">
        <v>0</v>
      </c>
      <c r="H27" s="49" t="s">
        <v>37</v>
      </c>
      <c r="I27" s="49" t="s">
        <v>23</v>
      </c>
    </row>
    <row r="28" spans="1:9" x14ac:dyDescent="0.3">
      <c r="A28" s="44">
        <v>263</v>
      </c>
      <c r="B28" s="52" t="s">
        <v>37</v>
      </c>
      <c r="C28" s="52" t="s">
        <v>25</v>
      </c>
      <c r="D28" s="48" t="s">
        <v>378</v>
      </c>
      <c r="E28" s="48">
        <v>157</v>
      </c>
      <c r="F28" s="28">
        <v>16548</v>
      </c>
      <c r="G28" s="28">
        <v>294298</v>
      </c>
      <c r="H28" s="49" t="s">
        <v>37</v>
      </c>
      <c r="I28" s="49" t="s">
        <v>23</v>
      </c>
    </row>
    <row r="29" spans="1:9" x14ac:dyDescent="0.3">
      <c r="A29" s="44">
        <v>263</v>
      </c>
      <c r="B29" s="52" t="s">
        <v>37</v>
      </c>
      <c r="C29" s="52" t="s">
        <v>25</v>
      </c>
      <c r="D29" s="53" t="s">
        <v>150</v>
      </c>
      <c r="E29" s="53">
        <v>190</v>
      </c>
      <c r="F29" s="28">
        <v>0</v>
      </c>
      <c r="G29" s="28">
        <v>744546</v>
      </c>
      <c r="H29" s="51" t="s">
        <v>37</v>
      </c>
      <c r="I29" s="51" t="s">
        <v>24</v>
      </c>
    </row>
    <row r="30" spans="1:9" x14ac:dyDescent="0.3">
      <c r="A30" s="44">
        <v>197</v>
      </c>
      <c r="B30" s="52" t="s">
        <v>37</v>
      </c>
      <c r="C30" s="52" t="s">
        <v>25</v>
      </c>
      <c r="D30" s="44" t="s">
        <v>151</v>
      </c>
      <c r="E30" s="44">
        <v>263</v>
      </c>
      <c r="F30" s="28">
        <v>1670373</v>
      </c>
      <c r="G30" s="28">
        <v>853465</v>
      </c>
      <c r="H30" s="52" t="s">
        <v>37</v>
      </c>
      <c r="I30" s="52" t="s">
        <v>25</v>
      </c>
    </row>
    <row r="31" spans="1:9" x14ac:dyDescent="0.3">
      <c r="A31" s="44">
        <v>263</v>
      </c>
      <c r="B31" s="52" t="s">
        <v>37</v>
      </c>
      <c r="C31" s="52" t="s">
        <v>25</v>
      </c>
      <c r="D31" s="48" t="s">
        <v>152</v>
      </c>
      <c r="E31" s="48">
        <v>157</v>
      </c>
      <c r="F31" s="28">
        <v>5798</v>
      </c>
      <c r="G31" s="28">
        <v>1361651</v>
      </c>
      <c r="H31" s="49" t="s">
        <v>37</v>
      </c>
      <c r="I31" s="49" t="s">
        <v>23</v>
      </c>
    </row>
    <row r="32" spans="1:9" x14ac:dyDescent="0.3">
      <c r="A32" s="44">
        <v>263</v>
      </c>
      <c r="B32" s="52" t="s">
        <v>37</v>
      </c>
      <c r="C32" s="52" t="s">
        <v>25</v>
      </c>
      <c r="D32" s="48" t="s">
        <v>153</v>
      </c>
      <c r="E32" s="48">
        <v>161</v>
      </c>
      <c r="F32" s="28">
        <v>2420249</v>
      </c>
      <c r="G32" s="28">
        <v>1520141</v>
      </c>
      <c r="H32" s="49" t="s">
        <v>37</v>
      </c>
      <c r="I32" s="49" t="s">
        <v>23</v>
      </c>
    </row>
    <row r="33" spans="1:9" x14ac:dyDescent="0.3">
      <c r="A33" s="44">
        <v>263</v>
      </c>
      <c r="B33" s="52" t="s">
        <v>37</v>
      </c>
      <c r="C33" s="52" t="s">
        <v>25</v>
      </c>
      <c r="D33" s="44" t="s">
        <v>130</v>
      </c>
      <c r="E33" s="44">
        <v>197</v>
      </c>
      <c r="F33" s="28">
        <v>853448</v>
      </c>
      <c r="G33" s="28">
        <v>1670497</v>
      </c>
      <c r="H33" s="52" t="s">
        <v>37</v>
      </c>
      <c r="I33" s="52" t="s">
        <v>25</v>
      </c>
    </row>
    <row r="34" spans="1:9" x14ac:dyDescent="0.3">
      <c r="A34" s="44">
        <v>197</v>
      </c>
      <c r="B34" s="52" t="s">
        <v>37</v>
      </c>
      <c r="C34" s="52" t="s">
        <v>25</v>
      </c>
      <c r="D34" s="45" t="s">
        <v>154</v>
      </c>
      <c r="E34" s="45">
        <v>219</v>
      </c>
      <c r="F34" s="28">
        <v>596493</v>
      </c>
      <c r="G34" s="28">
        <v>2665368</v>
      </c>
      <c r="H34" s="47" t="s">
        <v>34</v>
      </c>
      <c r="I34" s="47" t="s">
        <v>18</v>
      </c>
    </row>
    <row r="35" spans="1:9" x14ac:dyDescent="0.3">
      <c r="A35" s="44">
        <v>197</v>
      </c>
      <c r="B35" s="52" t="s">
        <v>37</v>
      </c>
      <c r="C35" s="52" t="s">
        <v>25</v>
      </c>
      <c r="D35" s="26" t="s">
        <v>155</v>
      </c>
      <c r="E35" s="26"/>
      <c r="F35" s="26">
        <v>6884350</v>
      </c>
      <c r="G35" s="26">
        <v>6418752</v>
      </c>
      <c r="H35" s="132" t="s">
        <v>419</v>
      </c>
    </row>
    <row r="36" spans="1:9" x14ac:dyDescent="0.3">
      <c r="A36" s="44">
        <v>263</v>
      </c>
      <c r="B36" s="52" t="s">
        <v>37</v>
      </c>
      <c r="C36" s="52" t="s">
        <v>25</v>
      </c>
      <c r="D36" s="41" t="s">
        <v>131</v>
      </c>
      <c r="E36" s="41">
        <v>230</v>
      </c>
      <c r="F36" s="28">
        <v>2315803</v>
      </c>
      <c r="G36" s="28">
        <v>9262072</v>
      </c>
      <c r="H36" s="42" t="s">
        <v>34</v>
      </c>
      <c r="I36" s="42" t="s">
        <v>16</v>
      </c>
    </row>
    <row r="37" spans="1:9" x14ac:dyDescent="0.3">
      <c r="A37" s="44">
        <v>197</v>
      </c>
      <c r="B37" s="52" t="s">
        <v>37</v>
      </c>
      <c r="C37" s="52" t="s">
        <v>25</v>
      </c>
      <c r="D37" s="41" t="s">
        <v>156</v>
      </c>
      <c r="E37" s="41">
        <v>230</v>
      </c>
      <c r="F37" s="28">
        <v>6653026</v>
      </c>
      <c r="G37" s="28">
        <v>9973056</v>
      </c>
      <c r="H37" s="42" t="s">
        <v>34</v>
      </c>
      <c r="I37" s="42" t="s">
        <v>16</v>
      </c>
    </row>
    <row r="38" spans="1:9" x14ac:dyDescent="0.3">
      <c r="A38" s="44">
        <v>263</v>
      </c>
      <c r="B38" s="52" t="s">
        <v>37</v>
      </c>
      <c r="C38" s="52" t="s">
        <v>25</v>
      </c>
      <c r="D38" s="26" t="s">
        <v>137</v>
      </c>
      <c r="E38" s="26">
        <v>321</v>
      </c>
      <c r="F38" s="26">
        <v>20875922</v>
      </c>
      <c r="G38" s="26">
        <v>10226208</v>
      </c>
      <c r="H38" s="132" t="s">
        <v>419</v>
      </c>
    </row>
    <row r="39" spans="1:9" x14ac:dyDescent="0.3">
      <c r="A39" s="44">
        <v>263</v>
      </c>
      <c r="B39" s="52" t="s">
        <v>37</v>
      </c>
      <c r="C39" s="52" t="s">
        <v>25</v>
      </c>
      <c r="D39" s="31" t="s">
        <v>81</v>
      </c>
      <c r="E39" s="31">
        <v>253</v>
      </c>
      <c r="F39" s="28">
        <v>4779921</v>
      </c>
      <c r="G39" s="28">
        <v>12847177</v>
      </c>
      <c r="H39" s="51" t="s">
        <v>37</v>
      </c>
      <c r="I39" s="51" t="s">
        <v>24</v>
      </c>
    </row>
    <row r="40" spans="1:9" x14ac:dyDescent="0.3">
      <c r="A40" s="43">
        <v>250</v>
      </c>
      <c r="B40" s="54" t="s">
        <v>37</v>
      </c>
      <c r="C40" s="54" t="s">
        <v>26</v>
      </c>
      <c r="D40" s="31" t="s">
        <v>157</v>
      </c>
      <c r="E40" s="31">
        <v>253</v>
      </c>
      <c r="F40" s="28">
        <v>4269962</v>
      </c>
      <c r="G40" s="28">
        <v>3068</v>
      </c>
      <c r="H40" s="51" t="s">
        <v>37</v>
      </c>
      <c r="I40" s="51" t="s">
        <v>24</v>
      </c>
    </row>
    <row r="41" spans="1:9" x14ac:dyDescent="0.3">
      <c r="A41" s="43">
        <v>251</v>
      </c>
      <c r="B41" s="54" t="s">
        <v>37</v>
      </c>
      <c r="C41" s="54" t="s">
        <v>26</v>
      </c>
      <c r="D41" s="31" t="s">
        <v>158</v>
      </c>
      <c r="E41" s="31"/>
      <c r="F41" s="28">
        <v>350424</v>
      </c>
      <c r="G41" s="28">
        <v>3976</v>
      </c>
      <c r="H41" s="51" t="s">
        <v>37</v>
      </c>
      <c r="I41" s="51" t="s">
        <v>24</v>
      </c>
    </row>
    <row r="42" spans="1:9" x14ac:dyDescent="0.3">
      <c r="A42" s="43">
        <v>157</v>
      </c>
      <c r="B42" s="54" t="s">
        <v>37</v>
      </c>
      <c r="C42" s="54" t="s">
        <v>26</v>
      </c>
      <c r="D42" s="44" t="s">
        <v>151</v>
      </c>
      <c r="E42" s="44">
        <v>263</v>
      </c>
      <c r="F42" s="28">
        <v>1361615</v>
      </c>
      <c r="G42" s="28">
        <v>5798</v>
      </c>
      <c r="H42" s="52" t="s">
        <v>37</v>
      </c>
      <c r="I42" s="52" t="s">
        <v>25</v>
      </c>
    </row>
    <row r="43" spans="1:9" x14ac:dyDescent="0.3">
      <c r="A43" s="43">
        <v>233</v>
      </c>
      <c r="B43" s="54" t="s">
        <v>37</v>
      </c>
      <c r="C43" s="54" t="s">
        <v>26</v>
      </c>
      <c r="D43" s="44" t="s">
        <v>151</v>
      </c>
      <c r="E43" s="44">
        <v>263</v>
      </c>
      <c r="F43" s="28">
        <v>294260</v>
      </c>
      <c r="G43" s="28">
        <v>16548</v>
      </c>
      <c r="H43" s="52" t="s">
        <v>37</v>
      </c>
      <c r="I43" s="52" t="s">
        <v>25</v>
      </c>
    </row>
    <row r="44" spans="1:9" x14ac:dyDescent="0.3">
      <c r="A44" s="43">
        <v>157</v>
      </c>
      <c r="B44" s="54" t="s">
        <v>37</v>
      </c>
      <c r="C44" s="54" t="s">
        <v>26</v>
      </c>
      <c r="D44" s="43" t="s">
        <v>159</v>
      </c>
      <c r="E44" s="43">
        <v>103</v>
      </c>
      <c r="F44" s="28">
        <v>723348</v>
      </c>
      <c r="G44" s="28">
        <v>34618</v>
      </c>
    </row>
    <row r="45" spans="1:9" x14ac:dyDescent="0.3">
      <c r="A45" s="43">
        <v>251</v>
      </c>
      <c r="B45" s="54" t="s">
        <v>37</v>
      </c>
      <c r="C45" s="54" t="s">
        <v>26</v>
      </c>
      <c r="D45" s="31" t="s">
        <v>144</v>
      </c>
      <c r="E45" s="31">
        <v>253</v>
      </c>
      <c r="F45" s="28">
        <v>3380447</v>
      </c>
      <c r="G45" s="28">
        <v>34915</v>
      </c>
      <c r="H45" s="51" t="s">
        <v>37</v>
      </c>
      <c r="I45" s="51" t="s">
        <v>24</v>
      </c>
    </row>
    <row r="46" spans="1:9" x14ac:dyDescent="0.3">
      <c r="A46" s="43">
        <v>233</v>
      </c>
      <c r="B46" s="54" t="s">
        <v>37</v>
      </c>
      <c r="C46" s="54" t="s">
        <v>26</v>
      </c>
      <c r="D46" s="43" t="s">
        <v>160</v>
      </c>
      <c r="E46" s="43">
        <v>103</v>
      </c>
      <c r="F46" s="28">
        <v>159292</v>
      </c>
      <c r="G46" s="28">
        <v>81038</v>
      </c>
    </row>
    <row r="47" spans="1:9" x14ac:dyDescent="0.3">
      <c r="A47" s="43">
        <v>233</v>
      </c>
      <c r="B47" s="54" t="s">
        <v>37</v>
      </c>
      <c r="C47" s="54" t="s">
        <v>26</v>
      </c>
      <c r="D47" s="43" t="s">
        <v>161</v>
      </c>
      <c r="E47" s="43">
        <v>250</v>
      </c>
      <c r="F47" s="28">
        <v>1295934</v>
      </c>
      <c r="G47" s="28">
        <v>124415</v>
      </c>
    </row>
    <row r="48" spans="1:9" x14ac:dyDescent="0.3">
      <c r="A48" s="43">
        <v>103</v>
      </c>
      <c r="B48" s="54" t="s">
        <v>37</v>
      </c>
      <c r="C48" s="54" t="s">
        <v>26</v>
      </c>
      <c r="D48" s="43" t="s">
        <v>162</v>
      </c>
      <c r="E48" s="43">
        <v>233</v>
      </c>
      <c r="F48" s="28">
        <v>81038</v>
      </c>
      <c r="G48" s="28">
        <v>159292</v>
      </c>
    </row>
    <row r="49" spans="1:9" x14ac:dyDescent="0.3">
      <c r="A49" s="43">
        <v>250</v>
      </c>
      <c r="B49" s="54" t="s">
        <v>37</v>
      </c>
      <c r="C49" s="54" t="s">
        <v>26</v>
      </c>
      <c r="D49" s="28" t="s">
        <v>163</v>
      </c>
      <c r="E49" s="28"/>
      <c r="F49" s="28">
        <v>71126</v>
      </c>
      <c r="G49" s="28">
        <v>232930</v>
      </c>
    </row>
    <row r="50" spans="1:9" x14ac:dyDescent="0.3">
      <c r="A50" s="43">
        <v>157</v>
      </c>
      <c r="B50" s="54" t="s">
        <v>37</v>
      </c>
      <c r="C50" s="54" t="s">
        <v>26</v>
      </c>
      <c r="D50" s="43" t="s">
        <v>161</v>
      </c>
      <c r="E50" s="43">
        <v>250</v>
      </c>
      <c r="F50" s="28">
        <v>1289615</v>
      </c>
      <c r="G50" s="28">
        <v>293332</v>
      </c>
    </row>
    <row r="51" spans="1:9" x14ac:dyDescent="0.3">
      <c r="A51" s="43">
        <v>157</v>
      </c>
      <c r="B51" s="54" t="s">
        <v>37</v>
      </c>
      <c r="C51" s="54" t="s">
        <v>26</v>
      </c>
      <c r="D51" s="28" t="s">
        <v>163</v>
      </c>
      <c r="E51" s="28"/>
      <c r="F51" s="28">
        <v>418414</v>
      </c>
      <c r="G51" s="28">
        <v>378552</v>
      </c>
    </row>
    <row r="52" spans="1:9" x14ac:dyDescent="0.3">
      <c r="A52" s="43">
        <v>251</v>
      </c>
      <c r="B52" s="54" t="s">
        <v>37</v>
      </c>
      <c r="C52" s="54" t="s">
        <v>26</v>
      </c>
      <c r="D52" s="31" t="s">
        <v>164</v>
      </c>
      <c r="E52" s="31"/>
      <c r="F52" s="28">
        <v>329390</v>
      </c>
      <c r="G52" s="28">
        <v>493325</v>
      </c>
      <c r="H52" s="51" t="s">
        <v>37</v>
      </c>
      <c r="I52" s="51" t="s">
        <v>24</v>
      </c>
    </row>
    <row r="53" spans="1:9" x14ac:dyDescent="0.3">
      <c r="A53" s="43">
        <v>103</v>
      </c>
      <c r="B53" s="54" t="s">
        <v>37</v>
      </c>
      <c r="C53" s="54" t="s">
        <v>26</v>
      </c>
      <c r="D53" s="43" t="s">
        <v>165</v>
      </c>
      <c r="E53" s="43">
        <v>157</v>
      </c>
      <c r="F53" s="28">
        <v>34640</v>
      </c>
      <c r="G53" s="28">
        <v>723370</v>
      </c>
    </row>
    <row r="54" spans="1:9" x14ac:dyDescent="0.3">
      <c r="A54" s="43">
        <v>157</v>
      </c>
      <c r="B54" s="54" t="s">
        <v>37</v>
      </c>
      <c r="C54" s="54" t="s">
        <v>26</v>
      </c>
      <c r="D54" s="41" t="s">
        <v>131</v>
      </c>
      <c r="E54" s="41">
        <v>230</v>
      </c>
      <c r="F54" s="28">
        <v>1502276</v>
      </c>
      <c r="G54" s="28">
        <v>1043700</v>
      </c>
      <c r="H54" s="42" t="s">
        <v>34</v>
      </c>
      <c r="I54" s="42" t="s">
        <v>16</v>
      </c>
    </row>
    <row r="55" spans="1:9" x14ac:dyDescent="0.3">
      <c r="A55" s="43">
        <v>250</v>
      </c>
      <c r="B55" s="54" t="s">
        <v>37</v>
      </c>
      <c r="C55" s="54" t="s">
        <v>26</v>
      </c>
      <c r="D55" s="43" t="s">
        <v>166</v>
      </c>
      <c r="E55" s="43">
        <v>157</v>
      </c>
      <c r="F55" s="28">
        <v>293322</v>
      </c>
      <c r="G55" s="28">
        <v>1289605</v>
      </c>
    </row>
    <row r="56" spans="1:9" x14ac:dyDescent="0.3">
      <c r="A56" s="43">
        <v>250</v>
      </c>
      <c r="B56" s="54" t="s">
        <v>37</v>
      </c>
      <c r="C56" s="54" t="s">
        <v>26</v>
      </c>
      <c r="D56" s="43" t="s">
        <v>162</v>
      </c>
      <c r="E56" s="43">
        <v>233</v>
      </c>
      <c r="F56" s="28">
        <v>124415</v>
      </c>
      <c r="G56" s="28">
        <v>1295934</v>
      </c>
    </row>
    <row r="57" spans="1:9" x14ac:dyDescent="0.3">
      <c r="A57" s="43">
        <v>233</v>
      </c>
      <c r="B57" s="54" t="s">
        <v>37</v>
      </c>
      <c r="C57" s="54" t="s">
        <v>26</v>
      </c>
      <c r="D57" s="43" t="s">
        <v>167</v>
      </c>
      <c r="E57" s="43">
        <v>251</v>
      </c>
      <c r="F57" s="28">
        <v>2189553</v>
      </c>
      <c r="G57" s="28">
        <v>1795152</v>
      </c>
    </row>
    <row r="58" spans="1:9" x14ac:dyDescent="0.3">
      <c r="A58" s="43">
        <v>157</v>
      </c>
      <c r="B58" s="54" t="s">
        <v>37</v>
      </c>
      <c r="C58" s="54" t="s">
        <v>26</v>
      </c>
      <c r="D58" s="31" t="s">
        <v>157</v>
      </c>
      <c r="E58" s="31">
        <v>253</v>
      </c>
      <c r="F58" s="28">
        <v>521654</v>
      </c>
      <c r="G58" s="28">
        <v>1914195</v>
      </c>
      <c r="H58" s="51" t="s">
        <v>37</v>
      </c>
      <c r="I58" s="51" t="s">
        <v>24</v>
      </c>
    </row>
    <row r="59" spans="1:9" x14ac:dyDescent="0.3">
      <c r="A59" s="43">
        <v>251</v>
      </c>
      <c r="B59" s="54" t="s">
        <v>37</v>
      </c>
      <c r="C59" s="54" t="s">
        <v>26</v>
      </c>
      <c r="D59" s="43" t="s">
        <v>168</v>
      </c>
      <c r="E59" s="43">
        <v>233</v>
      </c>
      <c r="F59" s="28">
        <v>1795044</v>
      </c>
      <c r="G59" s="28">
        <v>2189445</v>
      </c>
    </row>
    <row r="60" spans="1:9" x14ac:dyDescent="0.3">
      <c r="A60" s="43">
        <v>157</v>
      </c>
      <c r="B60" s="54" t="s">
        <v>37</v>
      </c>
      <c r="C60" s="54" t="s">
        <v>26</v>
      </c>
      <c r="D60" s="43" t="s">
        <v>169</v>
      </c>
      <c r="E60" s="43">
        <v>251</v>
      </c>
      <c r="F60" s="28">
        <v>3398562</v>
      </c>
      <c r="G60" s="28">
        <v>2538071</v>
      </c>
    </row>
    <row r="61" spans="1:9" x14ac:dyDescent="0.3">
      <c r="A61" s="43">
        <v>251</v>
      </c>
      <c r="B61" s="54" t="s">
        <v>37</v>
      </c>
      <c r="C61" s="54" t="s">
        <v>26</v>
      </c>
      <c r="D61" s="43" t="s">
        <v>161</v>
      </c>
      <c r="E61" s="43">
        <v>250</v>
      </c>
      <c r="F61" s="28">
        <v>6708900</v>
      </c>
      <c r="G61" s="28">
        <v>3085485</v>
      </c>
    </row>
    <row r="62" spans="1:9" x14ac:dyDescent="0.3">
      <c r="A62" s="43">
        <v>251</v>
      </c>
      <c r="B62" s="54" t="s">
        <v>37</v>
      </c>
      <c r="C62" s="54" t="s">
        <v>26</v>
      </c>
      <c r="D62" s="43" t="s">
        <v>165</v>
      </c>
      <c r="E62" s="43">
        <v>157</v>
      </c>
      <c r="F62" s="28">
        <v>2538071</v>
      </c>
      <c r="G62" s="28">
        <v>3398562</v>
      </c>
    </row>
    <row r="63" spans="1:9" x14ac:dyDescent="0.3">
      <c r="A63" s="43">
        <v>233</v>
      </c>
      <c r="B63" s="54" t="s">
        <v>37</v>
      </c>
      <c r="C63" s="54" t="s">
        <v>26</v>
      </c>
      <c r="D63" s="43" t="s">
        <v>170</v>
      </c>
      <c r="E63" s="43">
        <v>157</v>
      </c>
      <c r="F63" s="28">
        <v>9601189</v>
      </c>
      <c r="G63" s="28">
        <v>5879588</v>
      </c>
    </row>
    <row r="64" spans="1:9" x14ac:dyDescent="0.3">
      <c r="A64" s="43">
        <v>250</v>
      </c>
      <c r="B64" s="54" t="s">
        <v>37</v>
      </c>
      <c r="C64" s="54" t="s">
        <v>26</v>
      </c>
      <c r="D64" s="43" t="s">
        <v>169</v>
      </c>
      <c r="E64" s="43">
        <v>251</v>
      </c>
      <c r="F64" s="28">
        <v>3085486</v>
      </c>
      <c r="G64" s="28">
        <v>6708901</v>
      </c>
    </row>
    <row r="65" spans="1:9" x14ac:dyDescent="0.3">
      <c r="A65" s="43">
        <v>233</v>
      </c>
      <c r="B65" s="54" t="s">
        <v>37</v>
      </c>
      <c r="C65" s="54" t="s">
        <v>26</v>
      </c>
      <c r="D65" s="41" t="s">
        <v>171</v>
      </c>
      <c r="E65" s="41"/>
      <c r="F65" s="28">
        <v>2853340</v>
      </c>
      <c r="G65" s="28">
        <v>8534103</v>
      </c>
      <c r="H65" s="42" t="s">
        <v>34</v>
      </c>
      <c r="I65" s="42" t="s">
        <v>16</v>
      </c>
    </row>
    <row r="66" spans="1:9" x14ac:dyDescent="0.3">
      <c r="A66" s="43">
        <v>157</v>
      </c>
      <c r="B66" s="54" t="s">
        <v>37</v>
      </c>
      <c r="C66" s="54" t="s">
        <v>26</v>
      </c>
      <c r="D66" s="43" t="s">
        <v>172</v>
      </c>
      <c r="E66" s="43">
        <v>233</v>
      </c>
      <c r="F66" s="28">
        <v>5879594</v>
      </c>
      <c r="G66" s="28">
        <v>9601195</v>
      </c>
    </row>
    <row r="68" spans="1:9" x14ac:dyDescent="0.3">
      <c r="A68" s="61">
        <v>321</v>
      </c>
      <c r="B68" s="48" t="s">
        <v>37</v>
      </c>
      <c r="C68" s="49" t="s">
        <v>23</v>
      </c>
      <c r="D68" s="48" t="s">
        <v>358</v>
      </c>
      <c r="E68" s="48">
        <v>118</v>
      </c>
      <c r="F68" s="28">
        <v>778967</v>
      </c>
      <c r="G68" s="28">
        <v>10584</v>
      </c>
      <c r="H68" s="132" t="s">
        <v>419</v>
      </c>
    </row>
    <row r="69" spans="1:9" x14ac:dyDescent="0.3">
      <c r="A69" s="61">
        <v>321</v>
      </c>
      <c r="B69" s="44" t="s">
        <v>37</v>
      </c>
      <c r="C69" s="52" t="s">
        <v>25</v>
      </c>
      <c r="D69" s="44" t="s">
        <v>130</v>
      </c>
      <c r="E69" s="44">
        <v>197</v>
      </c>
      <c r="F69" s="28">
        <v>6418915</v>
      </c>
      <c r="G69" s="28">
        <v>6884524</v>
      </c>
      <c r="H69" s="132" t="s">
        <v>419</v>
      </c>
    </row>
    <row r="70" spans="1:9" x14ac:dyDescent="0.3">
      <c r="A70" s="61">
        <v>321</v>
      </c>
      <c r="B70" s="44" t="s">
        <v>37</v>
      </c>
      <c r="C70" s="52" t="s">
        <v>25</v>
      </c>
      <c r="D70" s="44" t="s">
        <v>133</v>
      </c>
      <c r="E70" s="44">
        <v>263</v>
      </c>
      <c r="F70" s="28">
        <v>10226209</v>
      </c>
      <c r="G70" s="28">
        <v>20875923</v>
      </c>
      <c r="H70" s="132" t="s">
        <v>419</v>
      </c>
    </row>
    <row r="71" spans="1:9" x14ac:dyDescent="0.3">
      <c r="A71" s="61">
        <v>321</v>
      </c>
      <c r="B71" s="48" t="s">
        <v>37</v>
      </c>
      <c r="C71" s="49" t="s">
        <v>23</v>
      </c>
      <c r="D71" s="48" t="s">
        <v>148</v>
      </c>
      <c r="E71" s="48">
        <v>118</v>
      </c>
      <c r="F71" s="28">
        <v>18379771</v>
      </c>
      <c r="G71" s="28">
        <v>16475777</v>
      </c>
      <c r="H71" s="132" t="s">
        <v>419</v>
      </c>
    </row>
    <row r="72" spans="1:9" x14ac:dyDescent="0.3">
      <c r="A72" s="28">
        <v>321</v>
      </c>
      <c r="B72" s="51" t="s">
        <v>37</v>
      </c>
      <c r="C72" s="51" t="s">
        <v>24</v>
      </c>
      <c r="D72" s="31" t="s">
        <v>81</v>
      </c>
      <c r="E72" s="31">
        <v>253</v>
      </c>
      <c r="F72" s="28">
        <v>8259053</v>
      </c>
      <c r="G72" s="28">
        <v>2954006</v>
      </c>
      <c r="H72" s="132" t="s">
        <v>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Totals</vt:lpstr>
      <vt:lpstr>ASCC</vt:lpstr>
      <vt:lpstr>FRCC</vt:lpstr>
      <vt:lpstr>HICC</vt:lpstr>
      <vt:lpstr>MRO</vt:lpstr>
      <vt:lpstr>NPCC#</vt:lpstr>
      <vt:lpstr>RFC</vt:lpstr>
      <vt:lpstr>SERC</vt:lpstr>
      <vt:lpstr>SPP#</vt:lpstr>
      <vt:lpstr>TRE</vt:lpstr>
      <vt:lpstr>WECC</vt:lpstr>
      <vt:lpstr>#MISO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2017-08-08T23:32:05Z</dcterms:modified>
</cp:coreProperties>
</file>