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updateLinks="never" codeName="ThisWorkbook" defaultThemeVersion="166925"/>
  <xr:revisionPtr revIDLastSave="0" documentId="13_ncr:1_{796C10B5-D7B8-480B-A443-6343A6B34501}"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s>
  <definedNames>
    <definedName name="num_gcms">MAX(co_models[row_id])</definedName>
    <definedName name="SectorDropDown">controlTables!$D$15:$D$27</definedName>
    <definedName name="SectorDropDown_1">controlTables!$D$15:$D$37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5" i="24" l="1"/>
  <c r="I15" i="24" a="1"/>
  <c r="I15" i="24" s="1"/>
  <c r="O15" i="24" s="1"/>
  <c r="I16" i="24" a="1"/>
  <c r="I16" i="24" s="1"/>
  <c r="O16" i="24" s="1"/>
  <c r="I17" i="24" a="1"/>
  <c r="I17" i="24" s="1"/>
  <c r="O17" i="24" s="1"/>
  <c r="I18" i="24" a="1"/>
  <c r="I18" i="24" s="1"/>
  <c r="O18" i="24" s="1"/>
  <c r="I19" i="24" a="1"/>
  <c r="I19" i="24" s="1"/>
  <c r="O19" i="24" s="1"/>
  <c r="I20" i="24" a="1"/>
  <c r="I20" i="24" s="1"/>
  <c r="O20" i="24" s="1"/>
  <c r="I21" i="24" a="1"/>
  <c r="I21" i="24" s="1"/>
  <c r="O21" i="24" s="1"/>
  <c r="I22" i="24" a="1"/>
  <c r="I22" i="24" s="1"/>
  <c r="O22" i="24" s="1"/>
  <c r="I23" i="24" a="1"/>
  <c r="I23" i="24" s="1"/>
  <c r="O23" i="24" s="1"/>
  <c r="I24" i="24" a="1"/>
  <c r="I24" i="24" s="1"/>
  <c r="O24" i="24" s="1"/>
  <c r="I25" i="24" a="1"/>
  <c r="I25" i="24" s="1"/>
  <c r="O25" i="24" s="1"/>
  <c r="I26" i="24" a="1"/>
  <c r="I26" i="24" s="1"/>
  <c r="O26" i="24" s="1"/>
  <c r="I27" i="24" a="1"/>
  <c r="I27" i="24" s="1"/>
  <c r="O27" i="24" s="1"/>
  <c r="I28" i="24" a="1"/>
  <c r="I28" i="24" s="1"/>
  <c r="O28" i="24" s="1"/>
  <c r="I29" i="24" a="1"/>
  <c r="I29" i="24" s="1"/>
  <c r="O29" i="24" s="1"/>
  <c r="I30" i="24" a="1"/>
  <c r="I30" i="24" s="1"/>
  <c r="O30" i="24" s="1"/>
  <c r="I31" i="24" a="1"/>
  <c r="I31" i="24" s="1"/>
  <c r="O31" i="24" s="1"/>
  <c r="I32" i="24" a="1"/>
  <c r="I32" i="24" s="1"/>
  <c r="O32" i="24" s="1"/>
  <c r="I33" i="24" a="1"/>
  <c r="I33" i="24" s="1"/>
  <c r="O33" i="24" s="1"/>
  <c r="I34" i="24" a="1"/>
  <c r="I34" i="24" s="1"/>
  <c r="O34" i="24" s="1"/>
  <c r="I35" i="24" a="1"/>
  <c r="I35" i="24" s="1"/>
  <c r="O35" i="24" s="1"/>
  <c r="I36" i="24" a="1"/>
  <c r="I36" i="24" s="1"/>
  <c r="O36" i="24" s="1"/>
  <c r="I37" i="24" a="1"/>
  <c r="I37" i="24" s="1"/>
  <c r="O37" i="24" s="1"/>
  <c r="I38" i="24" a="1"/>
  <c r="I38" i="24" s="1"/>
  <c r="O38" i="24" s="1"/>
  <c r="I39" i="24" a="1"/>
  <c r="I39" i="24" s="1"/>
  <c r="O39" i="24" s="1"/>
  <c r="I40" i="24" a="1"/>
  <c r="I40" i="24" s="1"/>
  <c r="O40" i="24" s="1"/>
  <c r="I41" i="24" a="1"/>
  <c r="I41" i="24" s="1"/>
  <c r="O41" i="24" s="1"/>
  <c r="I42" i="24" a="1"/>
  <c r="I42" i="24" s="1"/>
  <c r="O42" i="24" s="1"/>
  <c r="I43" i="24" a="1"/>
  <c r="I43" i="24" s="1"/>
  <c r="O43" i="24" s="1"/>
  <c r="I44" i="24" a="1"/>
  <c r="I44" i="24" s="1"/>
  <c r="O44" i="24" s="1"/>
  <c r="I45" i="24" a="1"/>
  <c r="I45" i="24" s="1"/>
  <c r="O45" i="24" s="1"/>
  <c r="B285" i="24"/>
  <c r="C285" i="24"/>
  <c r="B257" i="24"/>
  <c r="B175" i="24"/>
  <c r="P175" i="24"/>
  <c r="B176" i="24"/>
  <c r="P176" i="24"/>
  <c r="B121" i="24"/>
  <c r="G121" i="24"/>
  <c r="H121" i="24" a="1"/>
  <c r="H121" i="24" s="1"/>
  <c r="B122" i="24"/>
  <c r="G122" i="24"/>
  <c r="H122" i="24" a="1"/>
  <c r="H122" i="24" s="1"/>
  <c r="B67" i="24"/>
  <c r="B29" i="24"/>
  <c r="K29" i="24" a="1"/>
  <c r="K29" i="24" s="1"/>
  <c r="M29" i="24" a="1"/>
  <c r="M29" i="24" s="1"/>
  <c r="N29" i="24" a="1"/>
  <c r="N29" i="24" s="1"/>
  <c r="B271" i="24"/>
  <c r="K15" i="24" a="1"/>
  <c r="K15" i="24" s="1"/>
  <c r="K16" i="24" a="1"/>
  <c r="K16" i="24" s="1"/>
  <c r="K17" i="24" a="1"/>
  <c r="K17" i="24" s="1"/>
  <c r="K18" i="24" a="1"/>
  <c r="K18" i="24" s="1"/>
  <c r="K19" i="24" a="1"/>
  <c r="K19" i="24" s="1"/>
  <c r="K20" i="24" a="1"/>
  <c r="K20" i="24" s="1"/>
  <c r="K21" i="24" a="1"/>
  <c r="K21" i="24" s="1"/>
  <c r="K22" i="24" a="1"/>
  <c r="K22" i="24" s="1"/>
  <c r="K23" i="24" a="1"/>
  <c r="K23" i="24" s="1"/>
  <c r="K24" i="24" a="1"/>
  <c r="K24" i="24" s="1"/>
  <c r="K25" i="24" a="1"/>
  <c r="K25" i="24" s="1"/>
  <c r="K26" i="24" a="1"/>
  <c r="K26" i="24" s="1"/>
  <c r="K27" i="24" a="1"/>
  <c r="K27" i="24" s="1"/>
  <c r="K28" i="24" a="1"/>
  <c r="K28" i="24" s="1"/>
  <c r="K30" i="24" a="1"/>
  <c r="K30" i="24" s="1"/>
  <c r="K31" i="24" a="1"/>
  <c r="K31" i="24" s="1"/>
  <c r="K32" i="24" a="1"/>
  <c r="K32" i="24" s="1"/>
  <c r="K33" i="24" a="1"/>
  <c r="K33" i="24" s="1"/>
  <c r="K34" i="24" a="1"/>
  <c r="K34" i="24" s="1"/>
  <c r="K35" i="24" a="1"/>
  <c r="K35"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B231"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B222" i="24"/>
  <c r="B223" i="24"/>
  <c r="B171" i="24"/>
  <c r="P171" i="24"/>
  <c r="B114" i="24"/>
  <c r="H114" i="24" a="1"/>
  <c r="H114" i="24" s="1"/>
  <c r="B115" i="24"/>
  <c r="H115" i="24" a="1"/>
  <c r="H115" i="24" s="1"/>
  <c r="B63" i="24"/>
  <c r="B25" i="24"/>
  <c r="M25" i="24" a="1"/>
  <c r="M25" i="24" s="1"/>
  <c r="N25" i="24" a="1"/>
  <c r="N25" i="24" s="1"/>
  <c r="B243" i="24"/>
  <c r="B239" i="24"/>
  <c r="B230" i="24"/>
  <c r="B184" i="24"/>
  <c r="P184" i="24"/>
  <c r="B185" i="24"/>
  <c r="P185" i="24"/>
  <c r="B186" i="24"/>
  <c r="P186" i="24"/>
  <c r="B187" i="24"/>
  <c r="P187" i="24"/>
  <c r="B188" i="24"/>
  <c r="P188" i="24"/>
  <c r="B131" i="24"/>
  <c r="H131" i="24" a="1"/>
  <c r="H131" i="24" s="1"/>
  <c r="B132" i="24"/>
  <c r="H132" i="24" a="1"/>
  <c r="H132" i="24" s="1"/>
  <c r="B72" i="24"/>
  <c r="B34" i="24"/>
  <c r="M34" i="24" a="1"/>
  <c r="M34" i="24" s="1"/>
  <c r="N34" i="24" a="1"/>
  <c r="N34" i="24" s="1"/>
  <c r="B236" i="24"/>
  <c r="B177" i="24" l="1"/>
  <c r="P177" i="24"/>
  <c r="B123" i="24"/>
  <c r="H123" i="24" a="1"/>
  <c r="H123" i="24" s="1"/>
  <c r="B68" i="24"/>
  <c r="B30" i="24"/>
  <c r="M30" i="24" a="1"/>
  <c r="M30" i="24" s="1"/>
  <c r="N30" i="24" a="1"/>
  <c r="N30"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6" i="24" a="1"/>
  <c r="H116" i="24" s="1"/>
  <c r="H117" i="24" a="1"/>
  <c r="H117" i="24" s="1"/>
  <c r="H118" i="24" a="1"/>
  <c r="H118" i="24" s="1"/>
  <c r="H119" i="24" a="1"/>
  <c r="H119" i="24" s="1"/>
  <c r="H120" i="24" a="1"/>
  <c r="H120" i="24" s="1"/>
  <c r="H124" i="24" a="1"/>
  <c r="H124" i="24" s="1"/>
  <c r="H125" i="24" a="1"/>
  <c r="H125" i="24" s="1"/>
  <c r="H126" i="24" a="1"/>
  <c r="H126" i="24" s="1"/>
  <c r="H127" i="24" a="1"/>
  <c r="H127" i="24" s="1"/>
  <c r="H128" i="24" a="1"/>
  <c r="H128" i="24" s="1"/>
  <c r="H129" i="24" a="1"/>
  <c r="H129" i="24" s="1"/>
  <c r="H130" i="24" a="1"/>
  <c r="H130"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B128" i="24"/>
  <c r="B129" i="24"/>
  <c r="B130" i="24"/>
  <c r="B71" i="24"/>
  <c r="B32" i="24"/>
  <c r="M32" i="24" a="1"/>
  <c r="M32" i="24" s="1"/>
  <c r="N32" i="24" a="1"/>
  <c r="N32" i="24" s="1"/>
  <c r="B179" i="24"/>
  <c r="P179" i="24"/>
  <c r="B180" i="24"/>
  <c r="P180" i="24"/>
  <c r="B181" i="24"/>
  <c r="P181" i="24"/>
  <c r="B182" i="24"/>
  <c r="P182" i="24"/>
  <c r="B183" i="24"/>
  <c r="P183" i="24"/>
  <c r="B125" i="24"/>
  <c r="B126" i="24"/>
  <c r="B127" i="24"/>
  <c r="B70" i="24"/>
  <c r="B33" i="24"/>
  <c r="M33" i="24" a="1"/>
  <c r="M33" i="24" s="1"/>
  <c r="N33" i="24" a="1"/>
  <c r="N33" i="24" s="1"/>
  <c r="C277" i="24"/>
  <c r="C278" i="24"/>
  <c r="C279" i="24"/>
  <c r="C280" i="24"/>
  <c r="C281" i="24"/>
  <c r="C282" i="24"/>
  <c r="C283" i="24"/>
  <c r="C284" i="24"/>
  <c r="F9" i="43"/>
  <c r="B258" i="24"/>
  <c r="B259" i="24" l="1"/>
  <c r="B260" i="24"/>
  <c r="B227" i="24" l="1"/>
  <c r="B228" i="24"/>
  <c r="B9" i="43" l="1"/>
  <c r="B270" i="24"/>
  <c r="B262" i="24"/>
  <c r="K9" i="43" a="1"/>
  <c r="G9" i="43" a="1"/>
  <c r="J9" i="43" a="1"/>
  <c r="C8" i="24"/>
  <c r="H9" i="43"/>
  <c r="K9" i="43" l="1"/>
  <c r="J9" i="43"/>
  <c r="G9" i="43"/>
  <c r="I9" i="43" s="1"/>
  <c r="B261" i="24"/>
  <c r="B189" i="24"/>
  <c r="P189" i="24"/>
  <c r="B73" i="24"/>
  <c r="B35" i="24"/>
  <c r="M35" i="24" a="1"/>
  <c r="M35" i="24" s="1"/>
  <c r="N35" i="24" a="1"/>
  <c r="N35" i="24" s="1"/>
  <c r="B133" i="24"/>
  <c r="L9" i="43" l="1"/>
  <c r="B201" i="24" l="1"/>
  <c r="P201" i="24"/>
  <c r="B202" i="24"/>
  <c r="P202" i="24"/>
  <c r="B203" i="24"/>
  <c r="P203" i="24"/>
  <c r="B143" i="24"/>
  <c r="B79" i="24"/>
  <c r="B41" i="24"/>
  <c r="M41" i="24" a="1"/>
  <c r="M41" i="24" s="1"/>
  <c r="N41" i="24" a="1"/>
  <c r="N41" i="24" s="1"/>
  <c r="B40" i="24"/>
  <c r="B11" i="43" l="1"/>
  <c r="F11" i="43"/>
  <c r="B28" i="52"/>
  <c r="B27" i="52"/>
  <c r="B26" i="52"/>
  <c r="B25" i="52"/>
  <c r="B24" i="52"/>
  <c r="B23" i="52"/>
  <c r="B22" i="52"/>
  <c r="B21" i="52"/>
  <c r="B20" i="52"/>
  <c r="B19" i="52"/>
  <c r="B18" i="52"/>
  <c r="B17" i="52"/>
  <c r="B16" i="52"/>
  <c r="B15" i="52"/>
  <c r="B14" i="52"/>
  <c r="B13" i="52"/>
  <c r="B12" i="52"/>
  <c r="B11" i="52"/>
  <c r="B10" i="52"/>
  <c r="B9" i="52"/>
  <c r="B8" i="52"/>
  <c r="B7" i="52"/>
  <c r="B6" i="52"/>
  <c r="B5" i="52"/>
  <c r="B4" i="52"/>
  <c r="K11" i="43" a="1"/>
  <c r="G11" i="43" a="1"/>
  <c r="G11" i="43" l="1"/>
  <c r="K11" i="43"/>
  <c r="M17" i="24" a="1"/>
  <c r="M17" i="24" s="1"/>
  <c r="B103" i="24"/>
  <c r="B104" i="24"/>
  <c r="B18" i="24"/>
  <c r="B15" i="24"/>
  <c r="B16" i="24"/>
  <c r="B20" i="24"/>
  <c r="B21" i="24"/>
  <c r="B22" i="24"/>
  <c r="B23" i="24"/>
  <c r="B24" i="24"/>
  <c r="B17" i="24"/>
  <c r="B26" i="24"/>
  <c r="B27" i="24"/>
  <c r="B28" i="24"/>
  <c r="B31" i="24"/>
  <c r="B36" i="24"/>
  <c r="B37" i="24"/>
  <c r="B38" i="24"/>
  <c r="B39" i="24"/>
  <c r="B42" i="24"/>
  <c r="B43" i="24"/>
  <c r="B44" i="24"/>
  <c r="B45" i="24"/>
  <c r="B19" i="24"/>
  <c r="B158" i="24"/>
  <c r="P158" i="24"/>
  <c r="B96" i="24"/>
  <c r="B97" i="24"/>
  <c r="B98" i="24"/>
  <c r="B55" i="24"/>
  <c r="N17" i="24" a="1"/>
  <c r="N17" i="24" s="1"/>
  <c r="H11" i="43"/>
  <c r="J11" i="43" a="1"/>
  <c r="I11" i="43" l="1"/>
  <c r="J11" i="43"/>
  <c r="L11" i="43" s="1"/>
  <c r="B241" i="24"/>
  <c r="B238" i="24"/>
  <c r="B164" i="24"/>
  <c r="P164" i="24"/>
  <c r="B163" i="24"/>
  <c r="P163" i="24"/>
  <c r="B101" i="24"/>
  <c r="B57" i="24"/>
  <c r="C4" i="24"/>
  <c r="M19" i="24" l="1" a="1"/>
  <c r="M19" i="24" s="1"/>
  <c r="N19" i="24" a="1"/>
  <c r="N19" i="24" s="1"/>
  <c r="M31" i="24" a="1"/>
  <c r="M31" i="24" s="1"/>
  <c r="N31" i="24" a="1"/>
  <c r="N31" i="24" s="1"/>
  <c r="M18" i="24" a="1"/>
  <c r="M18" i="24" s="1"/>
  <c r="N18" i="24" a="1"/>
  <c r="N18" i="24" s="1"/>
  <c r="P159" i="24"/>
  <c r="P160" i="24"/>
  <c r="P161" i="24"/>
  <c r="P162" i="24"/>
  <c r="B159" i="24"/>
  <c r="B160" i="24"/>
  <c r="B161" i="24"/>
  <c r="B162" i="24"/>
  <c r="B100" i="24"/>
  <c r="B99" i="24"/>
  <c r="B56" i="24"/>
  <c r="B165" i="24"/>
  <c r="P165" i="24"/>
  <c r="B102" i="24"/>
  <c r="B58" i="24"/>
  <c r="B69" i="24"/>
  <c r="B124" i="24"/>
  <c r="B178" i="24"/>
  <c r="P178" i="24"/>
  <c r="M20" i="24" a="1"/>
  <c r="M20" i="24" s="1"/>
  <c r="N20" i="24" a="1"/>
  <c r="N20" i="24" s="1"/>
  <c r="B15" i="50"/>
  <c r="B14" i="50"/>
  <c r="B13" i="50"/>
  <c r="B12" i="50"/>
  <c r="B11" i="50"/>
  <c r="B10" i="50"/>
  <c r="B5" i="50"/>
  <c r="B4" i="50"/>
  <c r="N44" i="24" l="1" a="1"/>
  <c r="N44" i="24" s="1"/>
  <c r="M44" i="24" a="1"/>
  <c r="M44" i="24" s="1"/>
  <c r="B283" i="24"/>
  <c r="B208" i="24"/>
  <c r="P208" i="24"/>
  <c r="B146" i="24"/>
  <c r="B82" i="24"/>
  <c r="N27" i="24" l="1" a="1"/>
  <c r="N27" i="24" s="1"/>
  <c r="N28" i="24" a="1"/>
  <c r="N28" i="24" s="1"/>
  <c r="N36" i="24" a="1"/>
  <c r="N36" i="24" s="1"/>
  <c r="N37" i="24" a="1"/>
  <c r="N37" i="24" s="1"/>
  <c r="N38" i="24" a="1"/>
  <c r="N38" i="24" s="1"/>
  <c r="N39" i="24" a="1"/>
  <c r="N39" i="24" s="1"/>
  <c r="N40" i="24" a="1"/>
  <c r="N40" i="24" s="1"/>
  <c r="N42" i="24" a="1"/>
  <c r="N42" i="24" s="1"/>
  <c r="N43" i="24" a="1"/>
  <c r="N43" i="24" s="1"/>
  <c r="N45" i="24" a="1"/>
  <c r="N45" i="24" s="1"/>
  <c r="M27" i="24" a="1"/>
  <c r="M27" i="24" s="1"/>
  <c r="B284" i="24"/>
  <c r="B173" i="24"/>
  <c r="P173" i="24"/>
  <c r="B119" i="24"/>
  <c r="B65" i="24"/>
  <c r="C7" i="24"/>
  <c r="C3" i="24"/>
  <c r="C6" i="24"/>
  <c r="C2" i="24"/>
  <c r="B251" i="24" l="1"/>
  <c r="B157" i="24"/>
  <c r="P157" i="24"/>
  <c r="B54" i="24"/>
  <c r="B95" i="24"/>
  <c r="M16" i="24" a="1"/>
  <c r="M16" i="24" s="1"/>
  <c r="N16" i="24" a="1"/>
  <c r="N16" i="24" s="1"/>
  <c r="B78" i="24" l="1"/>
  <c r="B229" i="24"/>
  <c r="B240" i="24"/>
  <c r="B199" i="24"/>
  <c r="B198" i="24"/>
  <c r="P199" i="24"/>
  <c r="P198" i="24"/>
  <c r="B249" i="24"/>
  <c r="B248" i="24"/>
  <c r="B250" i="24"/>
  <c r="B200" i="24"/>
  <c r="P200" i="24"/>
  <c r="M40" i="24" a="1"/>
  <c r="M40" i="24" s="1"/>
  <c r="B142" i="24"/>
  <c r="P206" i="24" l="1"/>
  <c r="N15" i="24" l="1" a="1"/>
  <c r="N15" i="24" s="1"/>
  <c r="N21" i="24" a="1"/>
  <c r="N21" i="24" s="1"/>
  <c r="N22" i="24" a="1"/>
  <c r="N22" i="24" s="1"/>
  <c r="N24" i="24" a="1"/>
  <c r="N24" i="24" s="1"/>
  <c r="N23" i="24" a="1"/>
  <c r="N23" i="24" s="1"/>
  <c r="N26" i="24" a="1"/>
  <c r="N26" i="24" s="1"/>
  <c r="M15" i="24" a="1"/>
  <c r="M15" i="24" s="1"/>
  <c r="M21" i="24" a="1"/>
  <c r="M21" i="24" s="1"/>
  <c r="M22" i="24" a="1"/>
  <c r="M22" i="24" s="1"/>
  <c r="M24" i="24" a="1"/>
  <c r="M24" i="24" s="1"/>
  <c r="M23" i="24" a="1"/>
  <c r="M23" i="24" s="1"/>
  <c r="M26" i="24" a="1"/>
  <c r="M26" i="24" s="1"/>
  <c r="M28" i="24" a="1"/>
  <c r="M28" i="24" s="1"/>
  <c r="M36" i="24" a="1"/>
  <c r="M36" i="24" s="1"/>
  <c r="M37" i="24" a="1"/>
  <c r="M37" i="24" s="1"/>
  <c r="M38" i="24" a="1"/>
  <c r="M38" i="24" s="1"/>
  <c r="M39" i="24" a="1"/>
  <c r="M39" i="24" s="1"/>
  <c r="M42" i="24" a="1"/>
  <c r="M42" i="24" s="1"/>
  <c r="M43" i="24" a="1"/>
  <c r="M43" i="24" s="1"/>
  <c r="M45" i="24" a="1"/>
  <c r="M45" i="24" s="1"/>
  <c r="B94" i="24" l="1"/>
  <c r="B224" i="24" l="1"/>
  <c r="B247" i="24"/>
  <c r="B253" i="24"/>
  <c r="B237" i="24"/>
  <c r="B10" i="43" l="1"/>
  <c r="F10" i="43"/>
  <c r="B61" i="24"/>
  <c r="B64" i="24"/>
  <c r="B66" i="24"/>
  <c r="B74" i="24"/>
  <c r="B75" i="24"/>
  <c r="B76" i="24"/>
  <c r="B77" i="24"/>
  <c r="B80" i="24"/>
  <c r="B81" i="24"/>
  <c r="B83" i="24"/>
  <c r="B226" i="24"/>
  <c r="K10" i="43" a="1"/>
  <c r="G10" i="43" a="1"/>
  <c r="C5" i="24"/>
  <c r="K10" i="43" l="1"/>
  <c r="G10" i="43"/>
  <c r="J10" i="43" a="1"/>
  <c r="J10" i="43" l="1"/>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H38" i="24" a="1"/>
  <c r="H45" i="24" a="1"/>
  <c r="H23" i="24" a="1"/>
  <c r="H43" i="24" a="1"/>
  <c r="H30" i="24" a="1"/>
  <c r="H37" i="24" a="1"/>
  <c r="H44" i="24" a="1"/>
  <c r="H25" i="24" a="1"/>
  <c r="H28" i="24" a="1"/>
  <c r="H34" i="24" a="1"/>
  <c r="H26" i="24" a="1"/>
  <c r="H17" i="24" a="1"/>
  <c r="H33" i="24" a="1"/>
  <c r="H39" i="24" a="1"/>
  <c r="H16" i="24" a="1"/>
  <c r="H22" i="24" a="1"/>
  <c r="H29" i="24" a="1"/>
  <c r="H20" i="24" a="1"/>
  <c r="H40" i="24" a="1"/>
  <c r="H36" i="24" a="1"/>
  <c r="H21" i="24" a="1"/>
  <c r="H19" i="24" a="1"/>
  <c r="H42" i="24" a="1"/>
  <c r="H35" i="24" a="1"/>
  <c r="H18" i="24" a="1"/>
  <c r="H27" i="24" a="1"/>
  <c r="H32" i="24" a="1"/>
  <c r="H41" i="24" a="1"/>
  <c r="H24" i="24" a="1"/>
  <c r="H31" i="24" a="1"/>
  <c r="H15" i="24" a="1"/>
  <c r="H15" i="24" l="1"/>
  <c r="H16" i="24"/>
  <c r="H17" i="24"/>
  <c r="H18" i="24"/>
  <c r="H19" i="24"/>
  <c r="H20" i="24"/>
  <c r="H21" i="24"/>
  <c r="H22" i="24"/>
  <c r="H23" i="24"/>
  <c r="H24" i="24"/>
  <c r="H25" i="24"/>
  <c r="H26" i="24"/>
  <c r="H27" i="24"/>
  <c r="H28" i="24"/>
  <c r="H29" i="24"/>
  <c r="H30" i="24"/>
  <c r="H31" i="24"/>
  <c r="H32" i="24"/>
  <c r="H33" i="24"/>
  <c r="H34" i="24"/>
  <c r="H35" i="24"/>
  <c r="H36" i="24"/>
  <c r="H37" i="24"/>
  <c r="H38" i="24"/>
  <c r="H39" i="24"/>
  <c r="H40" i="24"/>
  <c r="H41" i="24"/>
  <c r="H42" i="24"/>
  <c r="H43" i="24"/>
  <c r="H44" i="24"/>
  <c r="H45" i="24"/>
  <c r="B8" i="43"/>
  <c r="F8" i="43"/>
  <c r="B7" i="43"/>
  <c r="F7" i="43"/>
  <c r="B5" i="43"/>
  <c r="F5" i="43"/>
  <c r="B6" i="43"/>
  <c r="F6" i="43"/>
  <c r="B246" i="24"/>
  <c r="B221" i="24"/>
  <c r="B225" i="24"/>
  <c r="B255" i="24"/>
  <c r="B252" i="24"/>
  <c r="B254" i="24"/>
  <c r="B256" i="24"/>
  <c r="F4" i="43"/>
  <c r="K6" i="43" a="1"/>
  <c r="G5" i="43" a="1"/>
  <c r="K5" i="43" a="1"/>
  <c r="G7" i="43" a="1"/>
  <c r="K7" i="43" a="1"/>
  <c r="G4" i="43" a="1"/>
  <c r="K8" i="43" a="1"/>
  <c r="G6" i="43" a="1"/>
  <c r="G8" i="43" a="1"/>
  <c r="G6" i="43" l="1"/>
  <c r="G8" i="43"/>
  <c r="K8" i="43"/>
  <c r="G7" i="43"/>
  <c r="K7" i="43"/>
  <c r="G5" i="43"/>
  <c r="K5" i="43"/>
  <c r="K6" i="43"/>
  <c r="G4" i="43"/>
  <c r="J8" i="43" a="1"/>
  <c r="J7" i="43" a="1"/>
  <c r="J4" i="43" a="1"/>
  <c r="J5" i="43" a="1"/>
  <c r="J6" i="43" a="1"/>
  <c r="J4" i="43" l="1"/>
  <c r="M4" i="43" s="1" a="1"/>
  <c r="M4" i="43" s="1"/>
  <c r="J6" i="43"/>
  <c r="M6" i="43" s="1"/>
  <c r="J8" i="43"/>
  <c r="J7" i="43"/>
  <c r="J5" i="43"/>
  <c r="L5" i="43" s="1"/>
  <c r="L6" i="43" l="1"/>
  <c r="L8" i="43"/>
  <c r="L7" i="43"/>
  <c r="P155" i="24"/>
  <c r="P156" i="24"/>
  <c r="P166" i="24"/>
  <c r="P167" i="24"/>
  <c r="P169" i="24"/>
  <c r="P170" i="24"/>
  <c r="P168" i="24"/>
  <c r="P172" i="24"/>
  <c r="P174" i="24"/>
  <c r="P190" i="24"/>
  <c r="P191" i="24"/>
  <c r="P192" i="24"/>
  <c r="P193" i="24"/>
  <c r="P194" i="24"/>
  <c r="P195" i="24"/>
  <c r="P196" i="24"/>
  <c r="P197" i="24"/>
  <c r="P204" i="24"/>
  <c r="P205" i="24"/>
  <c r="P207" i="24"/>
  <c r="P209" i="24"/>
  <c r="P210" i="24"/>
  <c r="P211" i="24"/>
  <c r="N197" i="24"/>
  <c r="L29" i="24" s="1" a="1"/>
  <c r="L29" i="24" s="1"/>
  <c r="B244" i="24"/>
  <c r="B197" i="24"/>
  <c r="B204" i="24"/>
  <c r="B168" i="24"/>
  <c r="B172" i="24"/>
  <c r="B174" i="24"/>
  <c r="B190" i="24"/>
  <c r="B191" i="24"/>
  <c r="B167" i="24"/>
  <c r="B166" i="24"/>
  <c r="L15" i="24" l="1" a="1"/>
  <c r="L15" i="24" s="1"/>
  <c r="L21" i="24" a="1"/>
  <c r="L21" i="24" s="1"/>
  <c r="L33" i="24" a="1"/>
  <c r="L33" i="24" s="1"/>
  <c r="L27" i="24" a="1"/>
  <c r="L27" i="24" s="1"/>
  <c r="L16" i="24" a="1"/>
  <c r="L16" i="24" s="1"/>
  <c r="L22" i="24" a="1"/>
  <c r="L22" i="24" s="1"/>
  <c r="L17" i="24" a="1"/>
  <c r="L17" i="24" s="1"/>
  <c r="L28" i="24" a="1"/>
  <c r="L28" i="24" s="1"/>
  <c r="L40" i="24" a="1"/>
  <c r="L40" i="24" s="1"/>
  <c r="L31" i="24" a="1"/>
  <c r="L31" i="24" s="1"/>
  <c r="L23" i="24" a="1"/>
  <c r="L23" i="24" s="1"/>
  <c r="L30" i="24" a="1"/>
  <c r="L30" i="24" s="1"/>
  <c r="L35" i="24" a="1"/>
  <c r="L35" i="24" s="1"/>
  <c r="L41" i="24" a="1"/>
  <c r="L41" i="24" s="1"/>
  <c r="L25" i="24" a="1"/>
  <c r="L25" i="24" s="1"/>
  <c r="L18" i="24" a="1"/>
  <c r="L18" i="24" s="1"/>
  <c r="L24" i="24" a="1"/>
  <c r="L24" i="24" s="1"/>
  <c r="L42" i="24" a="1"/>
  <c r="L42" i="24" s="1"/>
  <c r="L36" i="24" a="1"/>
  <c r="L36" i="24" s="1"/>
  <c r="L19" i="24" a="1"/>
  <c r="L19" i="24" s="1"/>
  <c r="L37" i="24" a="1"/>
  <c r="L37" i="24" s="1"/>
  <c r="L44" i="24" a="1"/>
  <c r="L44" i="24" s="1"/>
  <c r="L39" i="24" a="1"/>
  <c r="L39" i="24" s="1"/>
  <c r="L20" i="24" a="1"/>
  <c r="L20" i="24" s="1"/>
  <c r="L26" i="24" a="1"/>
  <c r="L26" i="24" s="1"/>
  <c r="L32" i="24" a="1"/>
  <c r="L32" i="24" s="1"/>
  <c r="L38" i="24" a="1"/>
  <c r="L38" i="24" s="1"/>
  <c r="L45" i="24" a="1"/>
  <c r="L45" i="24" s="1"/>
  <c r="L34" i="24" a="1"/>
  <c r="L34" i="24" s="1"/>
  <c r="L43" i="24" a="1"/>
  <c r="L43" i="24" s="1"/>
  <c r="B207" i="24"/>
  <c r="B205" i="24"/>
  <c r="B206" i="24"/>
  <c r="B156" i="24"/>
  <c r="B155" i="24"/>
  <c r="B233" i="24"/>
  <c r="B235" i="24"/>
  <c r="B234" i="24"/>
  <c r="H6" i="43"/>
  <c r="I6" i="43" l="1"/>
  <c r="B242" i="24" l="1"/>
  <c r="B232" i="24"/>
  <c r="B220" i="24"/>
  <c r="H8" i="43"/>
  <c r="I8" i="43" l="1"/>
  <c r="B211" i="24" l="1"/>
  <c r="B209" i="24"/>
  <c r="B210" i="24"/>
  <c r="B193" i="24"/>
  <c r="B196" i="24"/>
  <c r="B192" i="24"/>
  <c r="B195" i="24"/>
  <c r="B194" i="24"/>
  <c r="B169" i="24"/>
  <c r="B170" i="24"/>
  <c r="J18" i="24" a="1"/>
  <c r="J44" i="24" a="1"/>
  <c r="J16" i="24" a="1"/>
  <c r="J28" i="24" a="1"/>
  <c r="J21" i="24" a="1"/>
  <c r="J35" i="24" a="1"/>
  <c r="J15" i="24" a="1"/>
  <c r="J40" i="24" a="1"/>
  <c r="J45" i="24" a="1"/>
  <c r="J32" i="24" a="1"/>
  <c r="H7" i="43"/>
  <c r="J36" i="24" a="1"/>
  <c r="J42" i="24" a="1"/>
  <c r="J20" i="24" a="1"/>
  <c r="J29" i="24" a="1"/>
  <c r="J22" i="24" a="1"/>
  <c r="J23" i="24" a="1"/>
  <c r="J34" i="24" a="1"/>
  <c r="J37" i="24" a="1"/>
  <c r="J30" i="24" a="1"/>
  <c r="J31" i="24" a="1"/>
  <c r="J17" i="24" a="1"/>
  <c r="J38" i="24" a="1"/>
  <c r="J27" i="24" a="1"/>
  <c r="J39" i="24" a="1"/>
  <c r="J33" i="24" a="1"/>
  <c r="J19" i="24" a="1"/>
  <c r="J24" i="24" a="1"/>
  <c r="J41" i="24" a="1"/>
  <c r="J26" i="24" a="1"/>
  <c r="J25" i="24" a="1"/>
  <c r="J43" i="24" a="1"/>
  <c r="J45" i="24" l="1"/>
  <c r="J44" i="24"/>
  <c r="J43" i="24"/>
  <c r="J42" i="24"/>
  <c r="J41" i="24"/>
  <c r="J40" i="24"/>
  <c r="J39" i="24"/>
  <c r="J38" i="24"/>
  <c r="J37" i="24"/>
  <c r="J36" i="24"/>
  <c r="J35" i="24"/>
  <c r="J34" i="24"/>
  <c r="J33" i="24"/>
  <c r="J32" i="24"/>
  <c r="J31" i="24"/>
  <c r="J30" i="24"/>
  <c r="J29" i="24"/>
  <c r="J28" i="24"/>
  <c r="J27" i="24"/>
  <c r="J26" i="24"/>
  <c r="J25" i="24"/>
  <c r="J24" i="24"/>
  <c r="J23" i="24"/>
  <c r="J22" i="24"/>
  <c r="J21" i="24"/>
  <c r="J20" i="24"/>
  <c r="J19" i="24"/>
  <c r="J18" i="24"/>
  <c r="J17" i="24"/>
  <c r="J16" i="24"/>
  <c r="J15" i="24"/>
  <c r="I7" i="43"/>
  <c r="B4" i="43" l="1"/>
  <c r="K4" i="43" a="1"/>
  <c r="K4" i="43" l="1"/>
  <c r="L4" i="43" s="1"/>
  <c r="B53" i="24"/>
  <c r="B59" i="24"/>
  <c r="B60" i="24"/>
  <c r="B62" i="24"/>
  <c r="B277" i="24"/>
  <c r="B278" i="24"/>
  <c r="B279" i="24"/>
  <c r="B280" i="24"/>
  <c r="B281" i="24"/>
  <c r="B282" i="24"/>
  <c r="H10" i="43"/>
  <c r="H5" i="43"/>
  <c r="H4" i="43"/>
  <c r="I10" i="43" l="1"/>
  <c r="I5"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tc={40274E0A-9A04-480D-A5E8-2C38F8B3CAD3}</author>
    <author>tc={61FF9366-C253-4143-8900-DE7FDB924463}</author>
    <author>tc={7C7D377F-2B53-48B7-807A-23CFCBC48B83}</author>
    <author>tc={B944EC01-36D0-40EC-99E6-BA8270B055AE}</author>
    <author>tc={598E79C9-39CE-4C83-8177-F43FEBB6C21B}</author>
    <author>tc={FA1AC513-0BB2-47F3-B99C-6E691B7FCE74}</author>
    <author>tc={45995C5B-1874-4FBF-9CBD-578FACFFD9A9}</author>
    <author>tc={90944A2C-29AE-4D7E-84B7-3CC8EDDC5150}</author>
    <author>tc={A0D64BDD-1681-4C8F-9929-C1898D0603B0}</author>
  </authors>
  <commentList>
    <comment ref="E14"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D52" authorId="1"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D92" authorId="2"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3"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H173" authorId="4"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E219" authorId="5" shapeId="0" xr:uid="{598E79C9-39CE-4C83-8177-F43FEBB6C21B}">
      <text>
        <t>[Threaded comment]
Your version of Excel allows you to read this threaded comment; however, any edits to it will get removed if the file is opened in a newer version of Excel. Learn more: https://go.microsoft.com/fwlink/?linkid=870924
Comment:
    Possible scalar types: 
- damageAdj
- econMultiplier
- econScalar
- physAdj
- physScalar</t>
      </text>
    </comment>
    <comment ref="F219" authorId="6" shapeId="0" xr:uid="{FA1AC513-0BB2-47F3-B99C-6E691B7FCE74}">
      <text>
        <t xml:space="preserve">[Threaded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
Enter 1 for dynamic and 0 for constant.
</t>
      </text>
    </comment>
    <comment ref="G219" authorId="7" shapeId="0" xr:uid="{45995C5B-1874-4FBF-9CBD-578FACFFD9A9}">
      <text>
        <t>[Threaded comment]
Your version of Excel allows you to read this threaded comment; however, any edits to it will get removed if the file is opened in a newer version of Excel. Learn more: https://go.microsoft.com/fwlink/?linkid=870924
Comment:
    This field tracks whether the input scalar varies by state (i.e., “regional”) or is the same for all states (i.e., “national”). 
Enter 0 for national and 1 for regional.</t>
      </text>
    </comment>
    <comment ref="I219" authorId="8" shapeId="0" xr:uid="{90944A2C-29AE-4D7E-84B7-3CC8EDDC5150}">
      <text>
        <t>[Threaded comment]
Your version of Excel allows you to read this threaded comment; however, any edits to it will get removed if the file is opened in a newer version of Excel. Learn more: https://go.microsoft.com/fwlink/?linkid=870924
Comment:
    This field is used for recordkeeping</t>
      </text>
    </comment>
    <comment ref="E276" authorId="9"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<sst xmlns="http://schemas.openxmlformats.org/spreadsheetml/2006/main" count="1425" uniqueCount="506">
  <si>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</si>
  <si>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</si>
  <si>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</si>
  <si>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</si>
  <si>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</si>
  <si>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</si>
  <si>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</si>
  <si>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</si>
  <si>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</si>
  <si>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</si>
  <si>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</si>
  <si>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</si>
  <si>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</si>
  <si>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</si>
  <si>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</si>
  <si>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</si>
  <si>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</si>
  <si>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</si>
  <si>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</si>
  <si>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</si>
  <si>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</si>
  <si>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</si>
  <si>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</si>
  <si>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</si>
  <si>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</si>
  <si>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</si>
  <si>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</si>
  <si>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</si>
  <si>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</si>
  <si>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</si>
  <si>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</si>
  <si>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</si>
  <si>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</si>
  <si>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</si>
  <si>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</si>
  <si>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</si>
  <si>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</si>
  <si>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</si>
  <si>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</si>
  <si>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</si>
  <si>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</si>
  <si>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</si>
  <si>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</si>
  <si>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</si>
  <si>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</si>
  <si>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</si>
  <si>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</si>
  <si>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</si>
  <si>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</si>
  <si>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</si>
  <si>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</si>
  <si>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</si>
  <si>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</si>
  <si>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</si>
  <si>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</si>
  <si>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</si>
  <si>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</si>
  <si>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</si>
  <si>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</si>
  <si>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</si>
  <si>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</si>
  <si>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</si>
  <si>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</si>
  <si>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</si>
  <si>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</si>
  <si>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</si>
  <si>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</si>
  <si>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</si>
  <si>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</si>
  <si>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</si>
  <si>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</si>
  <si>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</si>
  <si>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</si>
  <si>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</si>
  <si>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</si>
  <si>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</si>
  <si>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</si>
  <si>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</si>
  <si>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</si>
  <si>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</si>
  <si>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</si>
  <si>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</si>
  <si>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</si>
  <si>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</si>
  <si>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</si>
  <si>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</si>
  <si>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</si>
  <si>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</si>
  <si>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</si>
  <si>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</si>
  <si>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</si>
  <si>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</si>
  <si>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</si>
  <si>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</si>
  <si>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</si>
  <si>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</si>
  <si>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</si>
  <si>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</si>
  <si>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</si>
  <si>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</si>
  <si>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</si>
  <si>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</si>
  <si>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</si>
  <si>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</si>
  <si>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</si>
  <si>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</si>
  <si>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</si>
  <si>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</si>
  <si>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</si>
  <si>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</si>
  <si>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</si>
  <si>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</si>
  <si>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</si>
  <si>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</si>
  <si>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</si>
  <si>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</si>
  <si>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</si>
  <si>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</si>
  <si>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</si>
  <si>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</si>
  <si>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</si>
  <si>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</si>
  <si>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</si>
  <si>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</si>
  <si>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</si>
  <si>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</si>
  <si>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</si>
  <si>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</si>
  <si>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</si>
  <si>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</si>
  <si>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</si>
  <si>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</si>
  <si>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</si>
  <si>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</si>
  <si>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</si>
  <si>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</si>
  <si>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</si>
  <si>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</si>
  <si>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</si>
  <si>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</si>
  <si>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</si>
  <si>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</si>
  <si>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</si>
  <si>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</si>
  <si>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</si>
  <si>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</si>
  <si>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</si>
  <si>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</si>
  <si>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</si>
  <si>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</si>
  <si>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</si>
  <si>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</si>
  <si>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</si>
  <si>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</si>
  <si>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</si>
  <si>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</si>
  <si>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</si>
  <si>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</si>
  <si>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</si>
  <si>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</si>
  <si>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</si>
  <si>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</si>
  <si>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</si>
  <si>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</si>
  <si>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</si>
  <si>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</si>
  <si>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</si>
  <si>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</si>
  <si>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</si>
  <si>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</si>
  <si>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</si>
  <si>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</si>
  <si>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</si>
  <si>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regional</t>
  </si>
  <si>
    <t>dynamic</t>
  </si>
  <si>
    <t>2010</t>
  </si>
  <si>
    <t>2090</t>
  </si>
  <si>
    <t>gdp_usd</t>
  </si>
  <si>
    <t>data_scaledImpacts</t>
  </si>
  <si>
    <t>dataType</t>
  </si>
  <si>
    <t>In data</t>
  </si>
  <si>
    <t>Calculated or input</t>
  </si>
  <si>
    <t>Calculated</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</si>
  <si>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</si>
  <si>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</si>
  <si>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</si>
  <si>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</si>
  <si>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</si>
  <si>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</si>
  <si>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</si>
  <si>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</si>
  <si>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</si>
  <si>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</si>
  <si>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</si>
  <si>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</si>
  <si>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</si>
  <si>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</si>
  <si>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</si>
  <si>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</si>
  <si>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impactType_description</t>
  </si>
  <si>
    <t>excludeCol_ids</t>
  </si>
  <si>
    <t>Table with impact type information</t>
  </si>
  <si>
    <t>Table with impact year information</t>
  </si>
  <si>
    <t>Table with information about scalars</t>
  </si>
  <si>
    <t>Table with information about GCMs</t>
  </si>
  <si>
    <t>pop_Northern.Plains</t>
  </si>
  <si>
    <t>pop_Southern.Plains</t>
  </si>
  <si>
    <t>2040 Emissions</t>
  </si>
  <si>
    <t>--</t>
  </si>
  <si>
    <t>scaledImpacts</t>
  </si>
  <si>
    <t>model_label</t>
  </si>
  <si>
    <t>co_models</t>
  </si>
  <si>
    <t>co_modelTypes</t>
  </si>
  <si>
    <t>controlTables</t>
  </si>
  <si>
    <t>modelUnitValue</t>
  </si>
  <si>
    <t>Number of impact types</t>
  </si>
  <si>
    <t>Number of impact years</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</si>
  <si>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</si>
  <si>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</si>
  <si>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</si>
  <si>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</si>
  <si>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</si>
  <si>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</si>
  <si>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</si>
  <si>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</si>
  <si>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</si>
  <si>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</si>
  <si>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</si>
  <si>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</si>
  <si>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</si>
  <si>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</si>
  <si>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</si>
  <si>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</si>
  <si>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</si>
  <si>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</si>
  <si>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</si>
  <si>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</si>
  <si>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</si>
  <si>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</si>
  <si>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</si>
  <si>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</si>
  <si>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</si>
  <si>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</si>
  <si>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</si>
  <si>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</si>
  <si>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</si>
  <si>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</si>
  <si>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</si>
  <si>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</si>
  <si>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</si>
  <si>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</si>
  <si>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</si>
  <si>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</si>
  <si>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</si>
  <si>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</si>
  <si>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</si>
  <si>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Impact Year Estimates</t>
  </si>
  <si>
    <t>Hard-coded value/included in model</t>
  </si>
  <si>
    <t>Temperature and SLR-binning models (GCMs and SLR scenarios)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</si>
  <si>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</si>
  <si>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</si>
  <si>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</si>
  <si>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</si>
  <si>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</si>
  <si>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slr_cm</t>
  </si>
  <si>
    <t>co_inputScenarioInfo</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</si>
  <si>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</si>
  <si>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</si>
  <si>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</si>
  <si>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</si>
  <si>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</si>
  <si>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</si>
  <si>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</si>
  <si>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</si>
  <si>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</si>
  <si>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</si>
  <si>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</si>
  <si>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</si>
  <si>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</si>
  <si>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</si>
  <si>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</si>
  <si>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</si>
  <si>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</si>
  <si>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</si>
  <si>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</si>
  <si>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</si>
  <si>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</si>
  <si>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</si>
  <si>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</si>
  <si>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</si>
  <si>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</si>
  <si>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</si>
  <si>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</si>
  <si>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</si>
  <si>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</si>
  <si>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</si>
  <si>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</si>
  <si>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</si>
  <si>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</si>
  <si>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</si>
  <si>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</si>
  <si>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</si>
  <si>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</si>
  <si>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</si>
  <si>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</si>
  <si>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</si>
  <si>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</si>
  <si>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</si>
  <si>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</si>
  <si>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</si>
  <si>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</si>
  <si>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</si>
  <si>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</si>
  <si>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</si>
  <si>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</si>
  <si>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</si>
  <si>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</si>
  <si>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</si>
  <si>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</si>
  <si>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</si>
  <si>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</si>
  <si>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</si>
  <si>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</si>
  <si>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</si>
  <si>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</si>
  <si>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</si>
  <si>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</si>
  <si>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</si>
  <si>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</si>
  <si>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</si>
  <si>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</si>
  <si>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</si>
  <si>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</si>
  <si>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</si>
  <si>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</si>
  <si>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</si>
  <si>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</si>
  <si>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</si>
  <si>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</si>
  <si>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</si>
  <si>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</si>
  <si>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</si>
  <si>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</si>
  <si>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</si>
  <si>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</si>
  <si>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</si>
  <si>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</si>
  <si>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</si>
  <si>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</si>
  <si>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</si>
  <si>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</si>
  <si>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</si>
  <si>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</si>
  <si>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</si>
  <si>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</si>
  <si>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</si>
  <si>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</si>
  <si>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</si>
  <si>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</si>
  <si>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</si>
  <si>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</si>
  <si>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</si>
  <si>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</si>
  <si>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</si>
  <si>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</si>
  <si>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</si>
  <si>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</si>
  <si>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</si>
  <si>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</si>
  <si>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</si>
  <si>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</si>
  <si>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</si>
  <si>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</si>
  <si>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</si>
  <si>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</si>
  <si>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SLR Scalars</t>
  </si>
  <si>
    <t>c2</t>
  </si>
  <si>
    <t>refYear</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</si>
  <si>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</si>
  <si>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</si>
  <si>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</si>
  <si>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</si>
  <si>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</si>
  <si>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</si>
  <si>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</si>
  <si>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</si>
  <si>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</si>
  <si>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</si>
  <si>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</si>
  <si>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</si>
  <si>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</si>
  <si>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</si>
  <si>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</si>
  <si>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</si>
  <si>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</si>
  <si>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</si>
  <si>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</si>
  <si>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</si>
  <si>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</si>
  <si>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</si>
  <si>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</si>
  <si>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</si>
  <si>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</si>
  <si>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</si>
  <si>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GCM Models &amp; SLR Scenarios</t>
  </si>
  <si>
    <t>hasImpacts</t>
  </si>
  <si>
    <t>For the no adaptation scenario</t>
  </si>
  <si>
    <t>For the proactive adaptation scenario</t>
  </si>
  <si>
    <t>For the reactive adaptation scenario</t>
  </si>
  <si>
    <t>lowCI</t>
  </si>
  <si>
    <t>highCI</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</si>
  <si>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</si>
  <si>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</si>
  <si>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</si>
  <si>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</si>
  <si>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</si>
  <si>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</si>
  <si>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</si>
  <si>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</si>
  <si>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</si>
  <si>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</si>
  <si>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</si>
  <si>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</si>
  <si>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</si>
  <si>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</si>
  <si>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</si>
  <si>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</si>
  <si>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</si>
  <si>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</si>
  <si>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</si>
  <si>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</si>
  <si>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</si>
  <si>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</si>
  <si>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</si>
  <si>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</si>
  <si>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</si>
  <si>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</si>
  <si>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</si>
  <si>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</si>
  <si>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</si>
  <si>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</si>
  <si>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</si>
  <si>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</si>
  <si>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</si>
  <si>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</si>
  <si>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</si>
  <si>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</si>
  <si>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</si>
  <si>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</si>
  <si>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</si>
  <si>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</si>
  <si>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</si>
  <si>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</si>
  <si>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</si>
  <si>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</si>
  <si>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</si>
  <si>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</si>
  <si>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</si>
  <si>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</si>
  <si>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</si>
  <si>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</si>
  <si>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</si>
  <si>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</si>
  <si>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</si>
  <si>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</si>
  <si>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</si>
  <si>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</si>
  <si>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</si>
  <si>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</si>
  <si>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</si>
  <si>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</si>
  <si>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</si>
  <si>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</si>
  <si>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</si>
  <si>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</si>
  <si>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</si>
  <si>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</si>
  <si>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</si>
  <si>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</si>
  <si>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</si>
  <si>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</si>
  <si>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</si>
  <si>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</si>
  <si>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</si>
  <si>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</si>
  <si>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</si>
  <si>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</si>
  <si>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</si>
  <si>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</si>
  <si>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</si>
  <si>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</si>
  <si>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</si>
  <si>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</si>
  <si>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</si>
  <si>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</si>
  <si>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</si>
  <si>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</si>
  <si>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</si>
  <si>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</si>
  <si>
    <t>model_type</t>
  </si>
  <si>
    <t>variant</t>
  </si>
  <si>
    <t>driverDataMax</t>
  </si>
  <si>
    <t>Interpolation</t>
  </si>
  <si>
    <t>Scalars for SLR sectors past 2100</t>
  </si>
  <si>
    <t>Info on SLR scalars past 2100</t>
  </si>
  <si>
    <t>econMultiplier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</si>
</sst>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4" fillId="0" borderId="0" applyNumberFormat="0" applyFill="0" applyBorder="0" applyAlignment="0" applyProtection="0"/>
    <xf numFmtId="0" fontId="14" fillId="0" borderId="0" applyNumberFormat="0" applyFill="0" applyBorder="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5" fillId="18" borderId="14" applyNumberFormat="0" applyAlignment="0" applyProtection="0"/>
    <xf numFmtId="0" fontId="26" fillId="19" borderId="15" applyNumberFormat="0" applyAlignment="0" applyProtection="0"/>
    <xf numFmtId="0" fontId="27" fillId="19" borderId="14" applyNumberFormat="0" applyAlignment="0" applyProtection="0"/>
    <xf numFmtId="0" fontId="28" fillId="0" borderId="16" applyNumberFormat="0" applyFill="0" applyAlignment="0" applyProtection="0"/>
    <xf numFmtId="0" fontId="12" fillId="20" borderId="17" applyNumberFormat="0" applyAlignment="0" applyProtection="0"/>
    <xf numFmtId="0" fontId="16" fillId="0" borderId="0" applyNumberFormat="0" applyFill="0" applyBorder="0" applyAlignment="0" applyProtection="0"/>
    <xf numFmtId="0" fontId="2" fillId="21" borderId="1" applyNumberFormat="0" applyFont="0" applyAlignment="0" applyProtection="0"/>
    <xf numFmtId="0" fontId="29"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0" fillId="0" borderId="0"/>
    <xf numFmtId="0" fontId="30" fillId="0" borderId="0"/>
    <xf numFmtId="0" fontId="31" fillId="0" borderId="0"/>
    <xf numFmtId="0" fontId="2" fillId="0" borderId="0"/>
    <xf numFmtId="0" fontId="7" fillId="0" borderId="0"/>
    <xf numFmtId="0" fontId="14" fillId="0" borderId="0" applyNumberFormat="0" applyFill="0" applyBorder="0" applyAlignment="0" applyProtection="0"/>
    <xf numFmtId="0" fontId="32" fillId="0" borderId="0"/>
  </cellStyleXfs>
  <cellXfs count="77">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2"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5" fillId="0" borderId="3" xfId="0" applyFont="1" applyBorder="1" applyAlignment="1">
      <alignment vertical="center" wrapText="1"/>
    </xf>
    <xf numFmtId="0" fontId="15" fillId="0" borderId="7" xfId="0" applyFont="1" applyBorder="1" applyAlignment="1">
      <alignment vertical="center" wrapText="1"/>
    </xf>
    <xf numFmtId="0" fontId="15" fillId="6" borderId="0" xfId="0" applyFont="1" applyFill="1" applyAlignment="1">
      <alignment vertical="center"/>
    </xf>
    <xf numFmtId="0" fontId="15" fillId="6" borderId="0" xfId="0" applyFont="1" applyFill="1" applyAlignment="1">
      <alignment vertical="center" wrapText="1"/>
    </xf>
    <xf numFmtId="0" fontId="9" fillId="6" borderId="0" xfId="0" applyFont="1" applyFill="1" applyAlignment="1">
      <alignment horizontal="center" vertical="center"/>
    </xf>
    <xf numFmtId="0" fontId="15"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5"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5" fillId="6" borderId="0" xfId="0" quotePrefix="1" applyFont="1" applyFill="1" applyAlignment="1">
      <alignment horizontal="left" vertical="center" wrapText="1"/>
    </xf>
    <xf numFmtId="0" fontId="10" fillId="0" borderId="0" xfId="0" applyFont="1" applyAlignment="1">
      <alignment vertical="center"/>
    </xf>
    <xf numFmtId="0" fontId="9" fillId="6" borderId="0" xfId="0" applyFont="1" applyFill="1" applyAlignment="1">
      <alignment vertical="center"/>
    </xf>
    <xf numFmtId="0" fontId="15" fillId="0" borderId="0" xfId="0" applyFont="1" applyAlignment="1">
      <alignment vertical="center"/>
    </xf>
    <xf numFmtId="0" fontId="13" fillId="6" borderId="0" xfId="0" applyFont="1" applyFill="1" applyAlignment="1">
      <alignment horizontal="left" vertical="center" wrapText="1"/>
    </xf>
    <xf numFmtId="0" fontId="13" fillId="6" borderId="0" xfId="0" applyFont="1" applyFill="1" applyAlignment="1">
      <alignment horizontal="center" vertical="center" wrapText="1"/>
    </xf>
    <xf numFmtId="0" fontId="14" fillId="0" borderId="0" xfId="13" applyAlignment="1">
      <alignment vertical="center"/>
    </xf>
    <xf numFmtId="0" fontId="13" fillId="6" borderId="9" xfId="0" applyFont="1" applyFill="1" applyBorder="1" applyAlignment="1">
      <alignment horizontal="center" vertical="center" wrapText="1"/>
    </xf>
    <xf numFmtId="0" fontId="13" fillId="7" borderId="9" xfId="0" applyFont="1" applyFill="1" applyBorder="1" applyAlignment="1">
      <alignment horizontal="center" vertical="center" wrapText="1"/>
    </xf>
    <xf numFmtId="0" fontId="13" fillId="8" borderId="9" xfId="0" applyFont="1" applyFill="1" applyBorder="1" applyAlignment="1">
      <alignment horizontal="center" vertical="center" wrapText="1"/>
    </xf>
    <xf numFmtId="0" fontId="12"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2"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3" fillId="6" borderId="0" xfId="0" applyFont="1" applyFill="1" applyAlignment="1">
      <alignment vertical="center" wrapText="1"/>
    </xf>
    <xf numFmtId="0" fontId="15"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3"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5"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applyAlignment="1">
      <alignment vertical="center" wrapText="1"/>
    </xf>
    <xf numFmtId="0" fontId="15" fillId="0" borderId="0" xfId="0" applyFont="1" applyAlignment="1">
      <alignment horizontal="center" vertical="center" wrapText="1"/>
    </xf>
    <xf numFmtId="0" fontId="9" fillId="2" borderId="0" xfId="0" applyFont="1" applyFill="1" applyAlignment="1">
      <alignment vertical="center"/>
    </xf>
    <xf numFmtId="0" fontId="15" fillId="46" borderId="0" xfId="0" applyFont="1" applyFill="1" applyAlignment="1">
      <alignment horizontal="center" vertical="center" wrapText="1"/>
    </xf>
    <xf numFmtId="0" fontId="15" fillId="8" borderId="0" xfId="0" applyFont="1" applyFill="1" applyAlignment="1">
      <alignment horizontal="center" vertical="center" wrapText="1"/>
    </xf>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4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43"/>
    </tableStyle>
    <tableStyle name="Table Style 2" pivot="0" count="2" xr9:uid="{5906E8DD-1157-4888-9A27-3B2DB57DF7A2}">
      <tableStyleElement type="wholeTable" dxfId="142"/>
      <tableStyleElement type="headerRow" dxfId="141"/>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 displayName="readMeTable" ref="B9:C34" totalsRowShown="0" headerRowDxfId="140">
  <autoFilter ref="B9:C34" xr:uid="{DBDF25E7-D35C-4344-9B72-491345FCBF34}"/>
  <tableColumns count="2">
    <tableColumn id="1" xr3:uid="{306AD3FA-EE0B-4D9C-828A-C0B76198AE0B}" name="Worksheet" dataDxfId="13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1" totalsRowShown="0" headerRowDxfId="138" dataDxfId="137">
  <autoFilter ref="B3:N11" xr:uid="{AD244AAD-EF2A-4E3D-905E-7CC1947F3F1F}"/>
  <sortState xmlns:xlrd2="http://schemas.microsoft.com/office/spreadsheetml/2017/richdata2" ref="B4:N11">
    <sortCondition descending="1" ref="D4:D11"/>
    <sortCondition ref="E4:E11"/>
    <sortCondition ref="G4:G11"/>
  </sortState>
  <tableColumns count="13">
    <tableColumn id="1" xr3:uid="{6892DC4A-A19B-418A-9799-A326D8EAC317}" name="ID" dataDxfId="136">
      <calculatedColumnFormula xml:space="preserve"> ROW( doc_tablesList[[#This Row],[ID]] ) - ROW(doc_tablesList[[#Headers],[ID]] )</calculatedColumnFormula>
    </tableColumn>
    <tableColumn id="2" xr3:uid="{238E4D6F-DBDF-41A4-8350-E77587A7D4B3}" name="Table Name" dataDxfId="135"/>
    <tableColumn id="8" xr3:uid="{D46F7497-B3FD-485E-91E8-C8117D6673FA}" name="Import" dataDxfId="134"/>
    <tableColumn id="3" xr3:uid="{39F2BFBD-30E6-473D-B9E5-9F407D5928C3}" name="Worksheet" dataDxfId="133"/>
    <tableColumn id="9" xr3:uid="{507E67A6-0C2B-4342-A04B-6A8E615993E3}" name="ID_columnName" dataDxfId="132">
      <calculatedColumnFormula xml:space="preserve"> "row_id"</calculatedColumnFormula>
    </tableColumn>
    <tableColumn id="4" xr3:uid="{961C935C-163D-4860-BA16-6CB492916203}" name="Header Row" dataDxfId="13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30">
      <calculatedColumnFormula xml:space="preserve"> MAX( INDIRECT( _xlfn.TEXTJOIN( "", , doc_tablesList[[#This Row],[Table Name]], "[", doc_tablesList[[#This Row],[ID_columnName]], "]" ) ) )</calculatedColumnFormula>
    </tableColumn>
    <tableColumn id="13" xr3:uid="{F53E64F1-7445-4927-A376-2FB765265648}" name="Last Row" dataDxfId="129">
      <calculatedColumnFormula xml:space="preserve"> doc_tablesList[[#This Row],[Number of Data Rows]] + doc_tablesList[[#This Row],[Header Row]]</calculatedColumnFormula>
    </tableColumn>
    <tableColumn id="6" xr3:uid="{86A51CF5-A3BA-4019-9C90-7A94C7FBA534}" name="id_colIndex" dataDxfId="128">
      <calculatedColumnFormula array="1" xml:space="preserve"> INDEX( COLUMN( INDIRECT( doc_tablesList[[#This Row],[Table Name]] &amp; "[" &amp; doc_tablesList[[#This Row],[ID_columnName]] &amp; "]" ) ), 1 )</calculatedColumnFormula>
    </tableColumn>
    <tableColumn id="7" xr3:uid="{DD29767F-0B22-4C97-9012-467EF6380323}" name="last_colIndex" dataDxfId="127">
      <calculatedColumnFormula array="1" xml:space="preserve"> MAX( COLUMN( INDIRECT( doc_tablesList[[#This Row],[Table Name]] ) ) )</calculatedColumnFormula>
    </tableColumn>
    <tableColumn id="12" xr3:uid="{7F09C7E5-85E6-4334-8C65-926F0EE13A13}" name="num_tableCols" dataDxfId="126">
      <calculatedColumnFormula xml:space="preserve"> doc_tablesList[[#This Row],[last_colIndex]] - doc_tablesList[[#This Row],[id_colIndex]] + 1</calculatedColumnFormula>
    </tableColumn>
    <tableColumn id="11" xr3:uid="{C4016964-772D-4CB1-A4CA-7E815387BA94}" name="excludeCol_ids" dataDxfId="125"/>
    <tableColumn id="10" xr3:uid="{1AD286DF-FF1E-4EA7-92C2-04966DE58B94}" name="Notes" dataDxfId="12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4:O45" totalsRowShown="0" headerRowDxfId="123" dataDxfId="121" headerRowBorderDxfId="122" tableBorderDxfId="120" totalsRowBorderDxfId="119">
  <autoFilter ref="B14:O45" xr:uid="{4FB08D13-3C4C-4BB6-9ED3-E44A55D938B0}"/>
  <sortState xmlns:xlrd2="http://schemas.microsoft.com/office/spreadsheetml/2017/richdata2" ref="B15:O45">
    <sortCondition ref="D15:D45"/>
  </sortState>
  <tableColumns count="14">
    <tableColumn id="14" xr3:uid="{60C3EA8F-72E0-495B-8B73-6D682443C60B}" name="row_id" dataDxfId="118" totalsRowDxfId="117">
      <calculatedColumnFormula xml:space="preserve"> ROW( co_sectors[[#This Row],[row_id]] ) - ROW( co_sectors[[#Headers],[row_id]] )</calculatedColumnFormula>
    </tableColumn>
    <tableColumn id="1" xr3:uid="{05E901B8-39C9-4448-8C69-F1824616C5B3}" name="sector" dataDxfId="116" totalsRowDxfId="115"/>
    <tableColumn id="2" xr3:uid="{8435BE36-75E6-4124-BCAF-A700C82839D8}" name="sector_label" dataDxfId="114" totalsRowDxfId="113"/>
    <tableColumn id="6" xr3:uid="{2BB914B0-56FF-4336-B8AD-DDDF5E8FE532}" name="include" dataDxfId="112" totalsRowDxfId="111"/>
    <tableColumn id="8" xr3:uid="{18B4827C-060D-4556-903A-BB8A82781CB7}" name="model_type" dataDxfId="110" totalsRowDxfId="109"/>
    <tableColumn id="15" xr3:uid="{BC821CC3-D68F-42E0-A4DF-EC316F7C1E74}" name="includeaggregate" dataDxfId="108" totalsRowDxfId="107"/>
    <tableColumn id="4" xr3:uid="{60EA29EE-87DF-48ED-AC00-5DE87371BD83}" name="variants" dataDxfId="106" totalsRowDxfId="105">
      <calculatedColumnFormula array="1" xml:space="preserve"> _xlfn.TEXTJOIN( ", ", 1,
  IF( OFFSET( INDIRECT( ADDRESS( ROW( co_variants[[#Headers],[row_id]] ),  COLUMN( co_variants[[#Headers],[sector]] ), , , "controlTables" ) ), 1, 0, MAX( co_variants[row_id] ), 1 ) = co_sectors[[#This Row],[sector]], co_variants[variant_label], "" )
)</calculatedColumnFormula>
    </tableColumn>
    <tableColumn id="5" xr3:uid="{037FAF60-CB1C-4C29-A873-6D3C321F2480}" name="impactYears" dataDxfId="104" totalsRowDxfId="103">
      <calculatedColumnFormula array="1" xml:space="preserve"> IF( SUMPRODUCT( --( co_sectors[[#This Row],[sector]] = co_impactYears[sector] ), co_impactYears[NA] ) = 1, "N/A", _xlfn.TEXTJOIN( ", ", , co_impactYears[[#Headers],[2010]:[2090]] ) )</calculatedColumnFormula>
    </tableColumn>
    <tableColumn id="7" xr3:uid="{28F0B34D-48CC-469A-9D3C-5A943883A167}" name="impactTypes" dataDxfId="102" totalsRowDxfId="101">
      <calculatedColumnFormula array="1" xml:space="preserve">  _xlfn.TEXTJOIN( ", ", 1,
  IF( OFFSET( INDIRECT( ADDRESS( ROW( co_impactTypes[[#Headers],[row_id]] ),  COLUMN( co_impactTypes[[#Headers],[sector]] ), , , "controlTables" ) ), 1, 0, MAX( co_impactTypes[row_id] ), 1 ) = co_sectors[[#This Row],[sector]], co_impactTypes[impactType_label], "" )
)</calculatedColumnFormula>
    </tableColumn>
    <tableColumn id="3" xr3:uid="{131F4380-0D81-4321-BEC8-8F7D57B7E216}" name="hasPhysicalImpacts" dataDxfId="100" totalsRowDxfId="99">
      <calculatedColumnFormula array="1" xml:space="preserve"> SUMPRODUCT( --( co_sectors[[#This Row],[sector]] = co_impactTypes[sector] ), --IF( co_impactTypes[physicalmeasure] = "N/A", 0, 1) ) &gt;= 1</calculatedColumnFormula>
    </tableColumn>
    <tableColumn id="12" xr3:uid="{B7C2D68F-C2A9-4F34-BC0E-46157710709A}" name="hasEconomicImpacts" dataDxfId="98" totalsRowDxfId="97">
      <calculatedColumnFormula array="1" xml:space="preserve"> OR( SUMPRODUCT( --( co_sectors[[#This Row],[sector]] = co_impactTypes[sector] ), --IF( co_impactTypes[c0] &lt;&gt; 0, 1, 0) ) &gt;= 1,
      SUMPRODUCT( --( co_sectors[[#This Row],[sector]] = co_impactTypes[sector] ), --IF( co_impactTypes[c1] &lt;&gt; 0, 1, 0) ) &gt;= 1 )</calculatedColumnFormula>
    </tableColumn>
    <tableColumn id="10" xr3:uid="{C86349E6-E4A5-4E4F-8866-5A0EC09E18B2}" name="Number of variants" dataDxfId="96" totalsRowDxfId="95">
      <calculatedColumnFormula array="1" xml:space="preserve"> SUMPRODUCT( --( co_sectors[[#This Row],[sector]] = co_variants[sector] ) )</calculatedColumnFormula>
    </tableColumn>
    <tableColumn id="11" xr3:uid="{5F0E2743-320C-46C8-BF83-E0748C4ED15D}" name="Number of impact types" dataDxfId="94" totalsRowDxfId="93">
      <calculatedColumnFormula array="1" xml:space="preserve"> SUMPRODUCT( --( co_sectors[[#This Row],[sector]] = co_impactTypes[sector] ) )</calculatedColumnFormula>
    </tableColumn>
    <tableColumn id="13" xr3:uid="{39CDE92C-BE84-47A0-A80A-EB0EC7367742}" name="Number of impact years" dataDxfId="92" totalsRowDxfId="91">
      <calculatedColumnFormula xml:space="preserve"> IF( co_sectors[[#This Row],[impactYears]]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76:F285" totalsRowShown="0" headerRowDxfId="90" dataDxfId="89">
  <tableColumns count="5">
    <tableColumn id="1" xr3:uid="{BF1485BD-F9FE-4F5B-9D9F-D9CB3D918F44}" name="row_id" dataDxfId="88">
      <calculatedColumnFormula xml:space="preserve"> ROW( co_models[[#This Row],[row_id]] ) - ROW( co_models[[#Headers],[row_id]] )</calculatedColumnFormula>
    </tableColumn>
    <tableColumn id="2" xr3:uid="{A209304D-718C-45BB-922A-A83B3EC89858}" name="model" dataDxfId="87">
      <calculatedColumnFormula xml:space="preserve"> SUBSTITUTE( SUBSTITUTE( co_models[[#This Row],[model_label]], " ", "" ), "-", "" )</calculatedColumnFormula>
    </tableColumn>
    <tableColumn id="3" xr3:uid="{F9DE0808-4FD0-4FB6-9363-B580ED760D5C}" name="model_label" dataDxfId="86"/>
    <tableColumn id="5" xr3:uid="{CBC70E09-D146-4CF4-911F-60EB221755C0}" name="driverDataMax" dataDxfId="85"/>
    <tableColumn id="20" xr3:uid="{A1F83970-3B0E-4464-8376-1B37DBE20974}" name="model_type" dataDxfId="84"/>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2:F83" totalsRowShown="0" headerRowDxfId="83" dataDxfId="82">
  <autoFilter ref="B52:F83" xr:uid="{965CD6B2-887D-46C8-9D98-6C6AECBC7B1A}"/>
  <sortState xmlns:xlrd2="http://schemas.microsoft.com/office/spreadsheetml/2017/richdata2" ref="B53:F83">
    <sortCondition ref="C53:C83"/>
  </sortState>
  <tableColumns count="5">
    <tableColumn id="1" xr3:uid="{CDF8B6C0-3166-4A5F-954A-6DD921A48F0D}" name="row_id" dataDxfId="81" totalsRowDxfId="80">
      <calculatedColumnFormula xml:space="preserve"> ROW( co_impactYears[[#This Row],[row_id]] ) - ROW(co_impactYears[[#Headers],[row_id]] )</calculatedColumnFormula>
    </tableColumn>
    <tableColumn id="2" xr3:uid="{CE04D22F-F326-49F0-9B89-F7BBAC07F272}" name="sector" dataDxfId="79" totalsRowDxfId="78"/>
    <tableColumn id="4" xr3:uid="{D085A6D5-2B6A-46B4-9638-D837648BB08B}" name="NA" dataDxfId="77" totalsRowDxfId="76"/>
    <tableColumn id="5" xr3:uid="{EB302892-BCFD-4CA5-B470-8D81C8E73DDE}" name="2010" dataDxfId="75" totalsRowDxfId="74"/>
    <tableColumn id="6" xr3:uid="{FADA0A2C-2C06-4E27-9064-B329CB26787D}" name="2090" dataDxfId="73" totalsRowDxfId="72"/>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4:P211" totalsRowShown="0" headerRowDxfId="71" dataDxfId="70">
  <autoFilter ref="B154:P211" xr:uid="{E446364F-959A-4BFF-80B5-CD65050C4865}"/>
  <sortState xmlns:xlrd2="http://schemas.microsoft.com/office/spreadsheetml/2017/richdata2" ref="B155:P211">
    <sortCondition ref="C155:C211"/>
    <sortCondition ref="E155:E211"/>
  </sortState>
  <tableColumns count="15">
    <tableColumn id="1" xr3:uid="{3C0C87EC-3301-4189-A438-330FBC0C23CE}" name="row_id" dataDxfId="69">
      <calculatedColumnFormula xml:space="preserve"> ROW( co_impactTypes[[#This Row],[row_id]] ) - ROW(co_impactTypes[[#Headers],[row_id]] )</calculatedColumnFormula>
    </tableColumn>
    <tableColumn id="5" xr3:uid="{695E7B0A-9CCF-4B48-8FB4-7B2C8AC23CA2}" name="sector" dataDxfId="68"/>
    <tableColumn id="2" xr3:uid="{389F4E81-E357-4437-B986-87606739FD52}" name="impactType" dataDxfId="67"/>
    <tableColumn id="3" xr3:uid="{AC7D2590-5F6F-4E8A-8395-3ACC925DD65E}" name="impactType_label" dataDxfId="66"/>
    <tableColumn id="7" xr3:uid="{252ECC08-A081-4155-A2E4-6E6953775245}" name="impactType_description" dataDxfId="65"/>
    <tableColumn id="18" xr3:uid="{20E67458-91EF-4192-9F05-0BEE3F89945B}" name="physicalmeasure" dataDxfId="64"/>
    <tableColumn id="6" xr3:uid="{3CFD45D4-B79B-4F80-92FC-337937E46944}" name="physScalarName" dataDxfId="63"/>
    <tableColumn id="9" xr3:uid="{40E9B945-11EE-47C9-B5D8-A41A8FC63734}" name="physAdjName" dataDxfId="62"/>
    <tableColumn id="16" xr3:uid="{5C5AE37A-2086-491F-BF3C-F22CC928E516}" name="damageAdjName" dataDxfId="61"/>
    <tableColumn id="10" xr3:uid="{2A5B466E-A990-49E9-92E3-0103059D4863}" name="econScalarName" dataDxfId="60"/>
    <tableColumn id="11" xr3:uid="{74F77DB7-A970-4C19-A8F9-04E79FC664FD}" name="econMultiplierName" dataDxfId="59"/>
    <tableColumn id="12" xr3:uid="{DA200B1A-95FB-4000-933E-BC048A1E0631}" name="c0" dataDxfId="58"/>
    <tableColumn id="13" xr3:uid="{F6CED4C7-F96B-4766-BD90-7B52A49FAABA}" name="c1" dataDxfId="57"/>
    <tableColumn id="14" xr3:uid="{E36983CA-3DF1-4DD8-A727-E60C1D905346}" name="exp0" dataDxfId="56"/>
    <tableColumn id="15" xr3:uid="{861014FE-4437-4D17-8CED-BC8B72417DD9}" name="year0" dataDxfId="55">
      <calculatedColumnFormula xml:space="preserve"> IF(co_impactTypes[[#This Row],[econMultiplierName]]="None", "N/A", 2010)</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19:J262" totalsRowShown="0" headerRowDxfId="54" dataDxfId="53">
  <autoFilter ref="B219:J262" xr:uid="{7F79E836-A486-4549-B875-6F873C0BCABB}"/>
  <sortState xmlns:xlrd2="http://schemas.microsoft.com/office/spreadsheetml/2017/richdata2" ref="B220:J256">
    <sortCondition ref="E220:E256"/>
    <sortCondition ref="C220:C256"/>
  </sortState>
  <tableColumns count="9">
    <tableColumn id="1" xr3:uid="{B5AB138C-E49F-456B-8F7B-6A701BD94314}" name="row_id" dataDxfId="52">
      <calculatedColumnFormula xml:space="preserve"> ROW( co_scalarInfo[[#This Row],[row_id]] ) - ROW( co_scalarInfo[[#Headers],[row_id]] )</calculatedColumnFormula>
    </tableColumn>
    <tableColumn id="4" xr3:uid="{057C556C-4A5B-41BF-9EA5-CD5D06EC20A3}" name="scalarName" dataDxfId="51"/>
    <tableColumn id="2" xr3:uid="{11586BC8-9866-411F-AFB1-B54CDBE58BC8}" name="scalarLabel" dataDxfId="50"/>
    <tableColumn id="3" xr3:uid="{59273865-10D7-4E58-A34B-98B12FD27367}" name="scalarType" dataDxfId="49"/>
    <tableColumn id="7" xr3:uid="{EA7BD84A-9970-4177-9C79-E21708B14BCC}" name="dynamic" dataDxfId="48"/>
    <tableColumn id="5" xr3:uid="{4CE14C2D-DBB4-4C94-8671-AFB1E53A6593}" name="regional" dataDxfId="47"/>
    <tableColumn id="12" xr3:uid="{DA5FA732-C673-49CC-B393-EEDF239C5944}" name="valueYear" dataDxfId="46"/>
    <tableColumn id="9" xr3:uid="{072DFA28-3A99-48D9-9F87-0B9663CC8EBE}" name="dataType" dataDxfId="45"/>
    <tableColumn id="8" xr3:uid="{083C27B7-8723-4638-8D25-C880E916AEB0}" name="notes" dataDxfId="44"/>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H147" totalsRowShown="0" headerRowDxfId="43" dataDxfId="42">
  <sortState xmlns:xlrd2="http://schemas.microsoft.com/office/spreadsheetml/2017/richdata2" ref="B93:H147">
    <sortCondition ref="C93:C147"/>
  </sortState>
  <tableColumns count="7">
    <tableColumn id="1" xr3:uid="{1BCFA006-CF85-4F3A-AC79-60916A48ED39}" name="row_id" dataDxfId="41" totalsRowDxfId="40">
      <calculatedColumnFormula xml:space="preserve"> ROW( co_variants[[#This Row],[row_id]] ) - ROW( co_variants[[#Headers],[row_id]] )</calculatedColumnFormula>
    </tableColumn>
    <tableColumn id="18" xr3:uid="{11CBE921-72AF-48C1-82DE-27D30284B810}" name="sector" dataDxfId="39" totalsRowDxfId="38"/>
    <tableColumn id="4" xr3:uid="{BD980D22-60C8-4EA5-878C-1F6646D73814}" name="variant" dataDxfId="37" totalsRowDxfId="36"/>
    <tableColumn id="3" xr3:uid="{1A31D87B-CDD5-4D8C-A4C9-8892B2B2C1E8}" name="variant_label" dataDxfId="35" totalsRowDxfId="34"/>
    <tableColumn id="7" xr3:uid="{77C8D2EF-4466-45BD-90C6-9DB11F371760}" name="sectorprimary" dataDxfId="33" totalsRowDxfId="32"/>
    <tableColumn id="19" xr3:uid="{C16D6C81-A98D-4F3D-B812-6AFD7158219C}" name="damageAdjName" dataDxfId="31" totalsRowDxfId="30">
      <calculatedColumnFormula xml:space="preserve"> INDEX( co_impactTypes[damageAdjName], MATCH( co_variants[[#This Row],[sector]], co_impactTypes[sector], 0 ) ) &amp;
   IF( OR(co_variants[[#This Row],[sector]] = "Roads", co_variants[[#This Row],[sector]] = "ForestryLoss"),"_" &amp; co_variants[[#This Row],[variant]], "" )</calculatedColumnFormula>
    </tableColumn>
    <tableColumn id="8" xr3:uid="{DBDAE92A-E63D-41B7-BD88-AE325DF1F4FE}" name="hasImpacts" dataDxfId="29">
      <calculatedColumnFormula array="1" xml:space="preserve"> --( SUMPRODUCT( --( co_impactTypes[sector] = co_variants[[#This Row],[sector]] ) ) &gt;= 1 )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69:J271" totalsRowShown="0" headerRowDxfId="28" dataDxfId="27">
  <tableColumns count="9">
    <tableColumn id="1" xr3:uid="{39608CCF-EBE2-4EFA-BA66-990DD890C7D3}" name="row_id" dataDxfId="26">
      <calculatedColumnFormula xml:space="preserve"> ROW( co_slrScalars[[#This Row],[row_id]] ) - ROW( co_slrScalars[[#Headers],[row_id]] )</calculatedColumnFormula>
    </tableColumn>
    <tableColumn id="3" xr3:uid="{24491F20-89B9-4A6B-A87E-CDB3D398E1DA}" name="sector" dataDxfId="25"/>
    <tableColumn id="5" xr3:uid="{6AB21964-D6DD-4BA3-BDFD-E851D5F956FF}" name="impactType"/>
    <tableColumn id="2" xr3:uid="{60DDD337-313C-431F-83CE-788A259B2B14}" name="physScalarName" dataDxfId="24"/>
    <tableColumn id="6" xr3:uid="{AB34CD40-6627-470D-9B2F-2360E9A41A63}" name="econMultiplierName" dataDxfId="23"/>
    <tableColumn id="7" xr3:uid="{774FF8C9-540D-4647-BB5C-0F27D92917EB}" name="c1" dataDxfId="22"/>
    <tableColumn id="8" xr3:uid="{6D77C177-ACD8-474A-9CEF-58627396E0D5}" name="exp0" dataDxfId="21"/>
    <tableColumn id="9" xr3:uid="{45D5B794-1A45-47DA-8A77-45C881CC1B29}" name="c2" dataDxfId="20"/>
    <tableColumn id="4" xr3:uid="{07C4CFF2-DEE6-4176-813C-12CE016805C3}" name="refYear" dataDxfId="19"/>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8">
      <calculatedColumnFormula xml:space="preserve"> ROW( Readme_adaptations[[#This Row],[row_id]] ) - ROW( Readme_adaptations[[#Headers],[row_id]] )</calculatedColumnFormula>
    </tableColumn>
    <tableColumn id="4" xr3:uid="{8F8CD713-0ECF-4957-8E94-F3FC5C746031}" name="sector_id" dataDxfId="17"/>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6" dataDxfId="15">
  <autoFilter ref="B3:F5" xr:uid="{58C7AF19-DB28-47F8-BE56-AE985DF1009B}"/>
  <tableColumns count="5">
    <tableColumn id="1" xr3:uid="{055BC283-B8DC-4F37-B787-CE15D79337AE}" name="row_id" dataDxfId="14">
      <calculatedColumnFormula xml:space="preserve"> ROW( Readme_sectors[[#This Row],[row_id]] ) - ROW( Readme_sectors[[#Headers],[row_id]] )</calculatedColumnFormula>
    </tableColumn>
    <tableColumn id="4" xr3:uid="{F1DE1E87-7416-4EC2-83F4-443E818D69E2}" name="sector_id" dataDxfId="13"/>
    <tableColumn id="2" xr3:uid="{69F42C58-EA29-416E-A03E-490DCD1DAC6F}" name="adapt_id" dataDxfId="12"/>
    <tableColumn id="3" xr3:uid="{995768DD-996C-4A25-A331-EA651CF80A08}" name="adapt_label" dataDxfId="11"/>
    <tableColumn id="5" xr3:uid="{B607221E-C635-413E-A992-7E4B369F50F2}" name="Description" dataDxfId="1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9" dataDxfId="8">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7">
      <calculatedColumnFormula xml:space="preserve"> ROW( testDev[[#This Row],[row_id]] ) - ROW(testDev[[#Headers],[row_id]] )</calculatedColumnFormula>
    </tableColumn>
    <tableColumn id="2" xr3:uid="{724C3667-B22B-4E0E-A26D-84EB27DA32DC}" name="Table Name" dataDxfId="6"/>
    <tableColumn id="8" xr3:uid="{2DE33227-E2C9-4F8F-BDC2-7C7EB619B32B}" name="Changes if new sector added" dataDxfId="5"/>
    <tableColumn id="3" xr3:uid="{91AE5770-239D-41B2-B469-E73127600B2A}" name="New sector changes"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4" dT="2021-04-02T15:07:48.34" personId="{00000000-0000-0000-0000-000000000000}" id="{B1227AEC-55F2-4D4B-9D62-D8081C156293}">
    <text>Boolean field -- indicates if sector is included in run of R script.</text>
  </threadedComment>
  <threadedComment ref="D52" dT="2021-01-25T18:27:33.65" personId="{00000000-0000-0000-0000-000000000000}" id="{40274E0A-9A04-480D-A5E8-2C38F8B3CAD3}">
    <text>Empty values are replaced with "NA" in the R tool.</text>
  </threadedComment>
  <threadedComment ref="D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H173" dT="2021-04-29T18:53:19.81" personId="{00000000-0000-0000-0000-000000000000}" id="{B944EC01-36D0-40EC-99E6-BA8270B055AE}">
    <text>May add a physical scalar in the future - total regional property value</text>
  </threadedComment>
  <threadedComment ref="H173" dT="2021-04-29T18:53:45.21" personId="{00000000-0000-0000-0000-000000000000}" id="{D0F6E8CF-0610-4E7B-8A56-BC47CE157016}" parentId="{B944EC01-36D0-40EC-99E6-BA8270B055AE}">
    <text>For now keeping it without, for consistency with coastal properties</text>
  </threadedComment>
  <threadedComment ref="E219" dT="2025-03-14T02:00:24.66" personId="{00000000-0000-0000-0000-000000000000}" id="{598E79C9-39CE-4C83-8177-F43FEBB6C21B}">
    <text>Possible scalar types: 
- damageAdj
- econMultiplier
- econScalar
- physAdj
- physScalar</text>
  </threadedComment>
  <threadedComment ref="F219" dT="2025-03-14T01:57:54.00" personId="{00000000-0000-0000-0000-000000000000}" id="{FA1AC513-0BB2-47F3-B99C-6E691B7FCE74}">
    <text xml:space="preserve">This field tracks whether the input scalar is a time series of scalars, or a single input used to calculate a trajectory of the scalar in R. "Dynamic" scalars are a full series; "constant" are a single value from which a series is calculated in the R script.
Enter 1 for dynamic and 0 for constant.
</text>
  </threadedComment>
  <threadedComment ref="G219" dT="2025-03-14T01:59:26.79" personId="{00000000-0000-0000-0000-000000000000}" id="{45995C5B-1874-4FBF-9CBD-578FACFFD9A9}">
    <text>This field tracks whether the input scalar varies by state (i.e., “regional”) or is the same for all states (i.e., “national”). 
Enter 0 for national and 1 for regional.</text>
  </threadedComment>
  <threadedComment ref="I219" dT="2025-03-14T02:00:56.13" personId="{00000000-0000-0000-0000-000000000000}" id="{90944A2C-29AE-4D7E-84B7-3CC8EDDC5150}">
    <text>This field is used for recordkeeping</text>
  </threadedComment>
  <threadedComment ref="E276" dT="2023-12-08T22:41:08.83" personId="{00000000-0000-0000-0000-000000000000}" id="{A0D64BDD-1681-4C8F-9929-C1898D0603B0}">
    <text>Max extrapolation temperature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microsoft.com/office/2017/10/relationships/threadedComment" Target="../threadedComments/threadedComment2.xml"/><Relationship Id="rId5" Type="http://schemas.openxmlformats.org/officeDocument/2006/relationships/table" Target="../tables/table5.xml"/><Relationship Id="rId10" Type="http://schemas.openxmlformats.org/officeDocument/2006/relationships/comments" Target="../comments2.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46" t="s">
        <v>74</v>
      </c>
      <c r="C9" s="46" t="s">
        <v>266</v>
      </c>
    </row>
    <row r="10" spans="2:3" ht="29.25" customHeight="1" x14ac:dyDescent="0.25">
      <c r="B10" s="68" t="s">
        <v>79</v>
      </c>
      <c r="C10" s="45" t="s">
        <v>269</v>
      </c>
    </row>
    <row r="11" spans="2:3" ht="32.25" customHeight="1" x14ac:dyDescent="0.25">
      <c r="B11" s="69" t="s">
        <v>213</v>
      </c>
      <c r="C11" s="67" t="s">
        <v>272</v>
      </c>
    </row>
    <row r="12" spans="2:3" ht="15" customHeight="1" collapsed="1" x14ac:dyDescent="0.25">
      <c r="B12" s="68" t="s">
        <v>163</v>
      </c>
      <c r="C12" s="45" t="s">
        <v>268</v>
      </c>
    </row>
    <row r="13" spans="2:3" ht="15" hidden="1" customHeight="1" outlineLevel="1" collapsed="1" x14ac:dyDescent="0.25">
      <c r="B13" s="68"/>
      <c r="C13" s="47" t="s">
        <v>267</v>
      </c>
    </row>
    <row r="14" spans="2:3" ht="15" hidden="1" customHeight="1" outlineLevel="1" x14ac:dyDescent="0.25">
      <c r="B14" s="69"/>
      <c r="C14" s="44" t="s">
        <v>121</v>
      </c>
    </row>
    <row r="15" spans="2:3" ht="15" hidden="1" customHeight="1" outlineLevel="1" x14ac:dyDescent="0.25">
      <c r="B15" s="69"/>
      <c r="C15" t="s">
        <v>68</v>
      </c>
    </row>
    <row r="16" spans="2:3" ht="45" hidden="1" customHeight="1" outlineLevel="1" x14ac:dyDescent="0.25">
      <c r="B16" s="69"/>
      <c r="C16" s="44" t="s">
        <v>156</v>
      </c>
    </row>
    <row r="17" spans="2:3" ht="45" hidden="1" customHeight="1" outlineLevel="1" x14ac:dyDescent="0.25">
      <c r="B17" s="69"/>
      <c r="C17" t="s">
        <v>177</v>
      </c>
    </row>
    <row r="18" spans="2:3" ht="45" hidden="1" customHeight="1" outlineLevel="1" x14ac:dyDescent="0.25">
      <c r="B18" s="69"/>
      <c r="C18" s="44" t="s">
        <v>157</v>
      </c>
    </row>
    <row r="19" spans="2:3" ht="45" hidden="1" customHeight="1" outlineLevel="1" x14ac:dyDescent="0.25">
      <c r="B19" s="69"/>
      <c r="C19" t="s">
        <v>158</v>
      </c>
    </row>
    <row r="20" spans="2:3" ht="45" hidden="1" customHeight="1" outlineLevel="1" x14ac:dyDescent="0.25">
      <c r="B20" s="69"/>
      <c r="C20" s="44" t="s">
        <v>205</v>
      </c>
    </row>
    <row r="21" spans="2:3" ht="45" hidden="1" customHeight="1" outlineLevel="1" x14ac:dyDescent="0.25">
      <c r="B21" s="69"/>
      <c r="C21" t="s">
        <v>159</v>
      </c>
    </row>
    <row r="22" spans="2:3" ht="45" hidden="1" customHeight="1" outlineLevel="1" x14ac:dyDescent="0.25">
      <c r="B22" s="69"/>
      <c r="C22" s="44" t="s">
        <v>160</v>
      </c>
    </row>
    <row r="23" spans="2:3" ht="45" hidden="1" customHeight="1" outlineLevel="1" x14ac:dyDescent="0.25">
      <c r="B23" s="69"/>
      <c r="C23" t="s">
        <v>206</v>
      </c>
    </row>
    <row r="24" spans="2:3" ht="45" hidden="1" customHeight="1" outlineLevel="1" x14ac:dyDescent="0.25">
      <c r="B24" s="69"/>
      <c r="C24" s="44" t="s">
        <v>161</v>
      </c>
    </row>
    <row r="25" spans="2:3" ht="30.75" customHeight="1" collapsed="1" x14ac:dyDescent="0.25">
      <c r="B25" s="69" t="s">
        <v>168</v>
      </c>
      <c r="C25" s="8" t="s">
        <v>271</v>
      </c>
    </row>
    <row r="26" spans="2:3" ht="15" hidden="1" customHeight="1" outlineLevel="1" collapsed="1" x14ac:dyDescent="0.25">
      <c r="B26" s="69"/>
      <c r="C26" s="47" t="s">
        <v>267</v>
      </c>
    </row>
    <row r="27" spans="2:3" ht="15" hidden="1" customHeight="1" outlineLevel="1" x14ac:dyDescent="0.25">
      <c r="B27" s="69"/>
      <c r="C27" s="44" t="s">
        <v>121</v>
      </c>
    </row>
    <row r="28" spans="2:3" ht="15" hidden="1" customHeight="1" outlineLevel="1" x14ac:dyDescent="0.25">
      <c r="B28" s="69"/>
      <c r="C28" t="s">
        <v>149</v>
      </c>
    </row>
    <row r="29" spans="2:3" ht="15" hidden="1" customHeight="1" outlineLevel="1" x14ac:dyDescent="0.25">
      <c r="B29" s="69"/>
      <c r="C29" s="44" t="s">
        <v>86</v>
      </c>
    </row>
    <row r="30" spans="2:3" ht="15" hidden="1" customHeight="1" outlineLevel="1" x14ac:dyDescent="0.25">
      <c r="B30" s="69"/>
      <c r="C30" t="s">
        <v>87</v>
      </c>
    </row>
    <row r="31" spans="2:3" ht="15" hidden="1" customHeight="1" outlineLevel="1" x14ac:dyDescent="0.25">
      <c r="B31" s="69"/>
      <c r="C31" s="44" t="s">
        <v>55</v>
      </c>
    </row>
    <row r="32" spans="2:3" ht="15" hidden="1" customHeight="1" outlineLevel="1" x14ac:dyDescent="0.25">
      <c r="B32" s="69"/>
      <c r="C32" t="s">
        <v>68</v>
      </c>
    </row>
    <row r="33" spans="2:3" ht="15" hidden="1" customHeight="1" outlineLevel="1" x14ac:dyDescent="0.25">
      <c r="B33" s="69"/>
      <c r="C33" s="48" t="s">
        <v>88</v>
      </c>
    </row>
    <row r="34" spans="2:3" ht="31.5" customHeight="1" collapsed="1" x14ac:dyDescent="0.25">
      <c r="B34" s="68" t="s">
        <v>209</v>
      </c>
      <c r="C34" s="45" t="s">
        <v>270</v>
      </c>
    </row>
    <row r="35" spans="2:3" hidden="1" outlineLevel="1" collapsed="1" x14ac:dyDescent="0.25">
      <c r="B35" s="44"/>
      <c r="C35" s="47" t="s">
        <v>267</v>
      </c>
    </row>
    <row r="36" spans="2:3" hidden="1" outlineLevel="1" x14ac:dyDescent="0.25">
      <c r="C36" s="44" t="s">
        <v>121</v>
      </c>
    </row>
    <row r="37" spans="2:3" hidden="1" outlineLevel="1" x14ac:dyDescent="0.25">
      <c r="C37" t="s">
        <v>69</v>
      </c>
    </row>
    <row r="38" spans="2:3" hidden="1" outlineLevel="1" x14ac:dyDescent="0.25">
      <c r="C38" s="44" t="s">
        <v>187</v>
      </c>
    </row>
    <row r="39" spans="2:3" hidden="1" outlineLevel="1" x14ac:dyDescent="0.25">
      <c r="C39" t="s">
        <v>197</v>
      </c>
    </row>
    <row r="40" spans="2:3" hidden="1" outlineLevel="1" x14ac:dyDescent="0.25">
      <c r="C40" s="44" t="s">
        <v>214</v>
      </c>
    </row>
    <row r="41" spans="2:3" hidden="1" outlineLevel="1" x14ac:dyDescent="0.25">
      <c r="C41" t="s">
        <v>188</v>
      </c>
    </row>
    <row r="42" spans="2:3" hidden="1" outlineLevel="1" x14ac:dyDescent="0.25">
      <c r="C42" s="49" t="s">
        <v>189</v>
      </c>
    </row>
    <row r="43" spans="2:3" hidden="1" outlineLevel="1" x14ac:dyDescent="0.25">
      <c r="C43" t="s">
        <v>196</v>
      </c>
    </row>
    <row r="44" spans="2:3" hidden="1" outlineLevel="1" x14ac:dyDescent="0.25">
      <c r="C44" s="44" t="s">
        <v>190</v>
      </c>
    </row>
    <row r="45" spans="2:3" hidden="1" outlineLevel="1" x14ac:dyDescent="0.25">
      <c r="C45" t="s">
        <v>6</v>
      </c>
    </row>
    <row r="46" spans="2:3" hidden="1" outlineLevel="1" x14ac:dyDescent="0.25">
      <c r="C46" s="44" t="s">
        <v>7</v>
      </c>
    </row>
    <row r="47" spans="2:3" hidden="1" outlineLevel="1" x14ac:dyDescent="0.25">
      <c r="C47" t="s">
        <v>8</v>
      </c>
    </row>
    <row r="48" spans="2:3" hidden="1" outlineLevel="1" x14ac:dyDescent="0.25">
      <c r="C48" s="44" t="s">
        <v>9</v>
      </c>
    </row>
    <row r="49" spans="3:3" hidden="1" outlineLevel="1" x14ac:dyDescent="0.25">
      <c r="C49" t="s">
        <v>10</v>
      </c>
    </row>
    <row r="50" spans="3:3" hidden="1" outlineLevel="1" x14ac:dyDescent="0.25">
      <c r="C50" s="4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1"/>
  <sheetViews>
    <sheetView topLeftCell="B1" workbookViewId="0">
      <pane xSplit="2" topLeftCell="D1" activePane="topRight" state="frozen"/>
      <selection activeCell="B1" sqref="B1"/>
      <selection pane="topRight" activeCell="J23" sqref="J23"/>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79</v>
      </c>
      <c r="B1" s="2" t="s">
        <v>80</v>
      </c>
    </row>
    <row r="2" spans="1:14" x14ac:dyDescent="0.25">
      <c r="B2" s="2"/>
    </row>
    <row r="3" spans="1:14" ht="25.5" x14ac:dyDescent="0.25">
      <c r="B3" s="6" t="s">
        <v>47</v>
      </c>
      <c r="C3" s="6" t="s">
        <v>73</v>
      </c>
      <c r="D3" s="15" t="s">
        <v>82</v>
      </c>
      <c r="E3" s="6" t="s">
        <v>74</v>
      </c>
      <c r="F3" s="15" t="s">
        <v>78</v>
      </c>
      <c r="G3" s="15" t="s">
        <v>96</v>
      </c>
      <c r="H3" s="15" t="s">
        <v>75</v>
      </c>
      <c r="I3" s="15" t="s">
        <v>95</v>
      </c>
      <c r="J3" s="15" t="s">
        <v>191</v>
      </c>
      <c r="K3" s="15" t="s">
        <v>192</v>
      </c>
      <c r="L3" s="15" t="s">
        <v>193</v>
      </c>
      <c r="M3" s="15" t="s">
        <v>200</v>
      </c>
      <c r="N3" s="6" t="s">
        <v>65</v>
      </c>
    </row>
    <row r="4" spans="1:14" ht="22.5" x14ac:dyDescent="0.25">
      <c r="B4" s="4">
        <f xml:space="preserve"> ROW( doc_tablesList[[#This Row],[ID]] ) - ROW(doc_tablesList[[#Headers],[ID]] )</f>
        <v>1</v>
      </c>
      <c r="C4" s="7" t="s">
        <v>77</v>
      </c>
      <c r="D4" s="25">
        <v>1</v>
      </c>
      <c r="E4" s="7" t="s">
        <v>213</v>
      </c>
      <c r="F4" s="25" t="str">
        <f t="shared" ref="F4:F11" si="0" xml:space="preserve"> "row_id"</f>
        <v>row_id</v>
      </c>
      <c r="G4" s="29" cm="1">
        <f t="array" aca="1" ref="G4" ca="1" xml:space="preserve"> INDEX( ROW( INDIRECT( _xlfn.TEXTJOIN( "", , doc_tablesList[[#This Row],[Table Name]], "[[#Headers],[", doc_tablesList[[#This Row],[ID_columnName]], "]]" ) ) ), 1 )</f>
        <v>14</v>
      </c>
      <c r="H4" s="29">
        <f ca="1" xml:space="preserve"> MAX( INDIRECT( _xlfn.TEXTJOIN( "", , doc_tablesList[[#This Row],[Table Name]], "[", doc_tablesList[[#This Row],[ID_columnName]], "]" ) ) )</f>
        <v>31</v>
      </c>
      <c r="I4" s="29">
        <f ca="1" xml:space="preserve"> doc_tablesList[[#This Row],[Number of Data Rows]] + doc_tablesList[[#This Row],[Header Row]]</f>
        <v>45</v>
      </c>
      <c r="J4" s="29" cm="1">
        <f t="array" aca="1" ref="J4" ca="1" xml:space="preserve"> INDEX( COLUMN( INDIRECT( doc_tablesList[[#This Row],[Table Name]] &amp; "[" &amp; doc_tablesList[[#This Row],[ID_columnName]] &amp; "]" ) ), 1 )</f>
        <v>2</v>
      </c>
      <c r="K4" s="29" cm="1">
        <f t="array" aca="1" ref="K4" ca="1" xml:space="preserve"> MAX( COLUMN( INDIRECT( doc_tablesList[[#This Row],[Table Name]] ) ) )</f>
        <v>15</v>
      </c>
      <c r="L4" s="29">
        <f ca="1" xml:space="preserve"> doc_tablesList[[#This Row],[last_colIndex]] - doc_tablesList[[#This Row],[id_colIndex]] + 1</f>
        <v>14</v>
      </c>
      <c r="M4" s="38" t="str" cm="1">
        <f t="array" aca="1" ref="M4" ca="1" xml:space="preserve"> _xlfn.TEXTJOIN( ", ", ,  COLUMN( co_sectors[[#Headers],[hasPhysicalImpacts]:[Number of impact years]] )  - doc_tablesList[[#This Row],[id_colIndex]] + 1 )</f>
        <v>10, 11, 12, 13, 14</v>
      </c>
      <c r="N4" s="37" t="s">
        <v>315</v>
      </c>
    </row>
    <row r="5" spans="1:14" x14ac:dyDescent="0.25">
      <c r="B5" s="4">
        <f xml:space="preserve"> ROW( doc_tablesList[[#This Row],[ID]] ) - ROW(doc_tablesList[[#Headers],[ID]] )</f>
        <v>2</v>
      </c>
      <c r="C5" s="7" t="s">
        <v>170</v>
      </c>
      <c r="D5" s="25">
        <v>1</v>
      </c>
      <c r="E5" s="7" t="s">
        <v>213</v>
      </c>
      <c r="F5" s="25" t="str">
        <f t="shared" si="0"/>
        <v>row_id</v>
      </c>
      <c r="G5" s="29" cm="1">
        <f t="array" aca="1" ref="G5" ca="1" xml:space="preserve"> INDEX( ROW( INDIRECT( _xlfn.TEXTJOIN( "", , doc_tablesList[[#This Row],[Table Name]], "[[#Headers],[", doc_tablesList[[#This Row],[ID_columnName]], "]]" ) ) ), 1 )</f>
        <v>52</v>
      </c>
      <c r="H5" s="29">
        <f ca="1" xml:space="preserve"> MAX( INDIRECT( _xlfn.TEXTJOIN( "", , doc_tablesList[[#This Row],[Table Name]], "[", doc_tablesList[[#This Row],[ID_columnName]], "]" ) ) )</f>
        <v>31</v>
      </c>
      <c r="I5" s="29">
        <f ca="1" xml:space="preserve"> doc_tablesList[[#This Row],[Number of Data Rows]] + doc_tablesList[[#This Row],[Header Row]]</f>
        <v>83</v>
      </c>
      <c r="J5" s="29" cm="1">
        <f t="array" aca="1" ref="J5" ca="1" xml:space="preserve"> INDEX( COLUMN( INDIRECT( doc_tablesList[[#This Row],[Table Name]] &amp; "[" &amp; doc_tablesList[[#This Row],[ID_columnName]] &amp; "]" ) ), 1 )</f>
        <v>2</v>
      </c>
      <c r="K5" s="29" cm="1">
        <f t="array" aca="1" ref="K5" ca="1" xml:space="preserve"> MAX( COLUMN( INDIRECT( doc_tablesList[[#This Row],[Table Name]] ) ) )</f>
        <v>6</v>
      </c>
      <c r="L5" s="29">
        <f ca="1" xml:space="preserve"> doc_tablesList[[#This Row],[last_colIndex]] - doc_tablesList[[#This Row],[id_colIndex]] + 1</f>
        <v>5</v>
      </c>
      <c r="M5" s="38"/>
      <c r="N5" s="37" t="s">
        <v>202</v>
      </c>
    </row>
    <row r="6" spans="1:14" x14ac:dyDescent="0.25">
      <c r="B6" s="4">
        <f xml:space="preserve"> ROW( doc_tablesList[[#This Row],[ID]] ) - ROW(doc_tablesList[[#Headers],[ID]] )</f>
        <v>3</v>
      </c>
      <c r="C6" s="7" t="s">
        <v>313</v>
      </c>
      <c r="D6" s="25">
        <v>1</v>
      </c>
      <c r="E6" s="7" t="s">
        <v>213</v>
      </c>
      <c r="F6" s="25" t="str">
        <f t="shared" si="0"/>
        <v>row_id</v>
      </c>
      <c r="G6" s="29" cm="1">
        <f t="array" aca="1" ref="G6" ca="1" xml:space="preserve"> INDEX( ROW( INDIRECT( _xlfn.TEXTJOIN( "", , doc_tablesList[[#This Row],[Table Name]], "[[#Headers],[", doc_tablesList[[#This Row],[ID_columnName]], "]]" ) ) ), 1 )</f>
        <v>92</v>
      </c>
      <c r="H6" s="29">
        <f ca="1" xml:space="preserve"> MAX( INDIRECT( _xlfn.TEXTJOIN( "", , doc_tablesList[[#This Row],[Table Name]], "[", doc_tablesList[[#This Row],[ID_columnName]], "]" ) ) )</f>
        <v>55</v>
      </c>
      <c r="I6" s="29">
        <f ca="1" xml:space="preserve"> doc_tablesList[[#This Row],[Number of Data Rows]] + doc_tablesList[[#This Row],[Header Row]]</f>
        <v>147</v>
      </c>
      <c r="J6" s="29" cm="1">
        <f t="array" aca="1" ref="J6" ca="1" xml:space="preserve"> INDEX( COLUMN( INDIRECT( doc_tablesList[[#This Row],[Table Name]] &amp; "[" &amp; doc_tablesList[[#This Row],[ID_columnName]] &amp; "]" ) ), 1 )</f>
        <v>2</v>
      </c>
      <c r="K6" s="29" cm="1">
        <f t="array" aca="1" ref="K6" ca="1" xml:space="preserve"> MAX( COLUMN( INDIRECT( doc_tablesList[[#This Row],[Table Name]] ) ) )</f>
        <v>8</v>
      </c>
      <c r="L6" s="29">
        <f ca="1" xml:space="preserve"> doc_tablesList[[#This Row],[last_colIndex]] - doc_tablesList[[#This Row],[id_colIndex]] + 1</f>
        <v>7</v>
      </c>
      <c r="M6" s="38" t="str">
        <f ca="1" xml:space="preserve"> _xlfn.TEXTJOIN( ", ", ,
COLUMN( co_variants[[#Headers],[hasImpacts]] )  - doc_tablesList[[#This Row],[id_colIndex]] + 1
 )</f>
        <v>7</v>
      </c>
      <c r="N6" s="37" t="s">
        <v>314</v>
      </c>
    </row>
    <row r="7" spans="1:14" x14ac:dyDescent="0.25">
      <c r="B7" s="4">
        <f xml:space="preserve"> ROW( doc_tablesList[[#This Row],[ID]] ) - ROW(doc_tablesList[[#Headers],[ID]] )</f>
        <v>4</v>
      </c>
      <c r="C7" s="7" t="s">
        <v>171</v>
      </c>
      <c r="D7" s="25">
        <v>1</v>
      </c>
      <c r="E7" s="7" t="s">
        <v>213</v>
      </c>
      <c r="F7" s="25" t="str">
        <f t="shared" si="0"/>
        <v>row_id</v>
      </c>
      <c r="G7" s="29" cm="1">
        <f t="array" aca="1" ref="G7" ca="1" xml:space="preserve"> INDEX( ROW( INDIRECT( _xlfn.TEXTJOIN( "", , doc_tablesList[[#This Row],[Table Name]], "[[#Headers],[", doc_tablesList[[#This Row],[ID_columnName]], "]]" ) ) ), 1 )</f>
        <v>154</v>
      </c>
      <c r="H7" s="29">
        <f ca="1" xml:space="preserve"> MAX( INDIRECT( _xlfn.TEXTJOIN( "", , doc_tablesList[[#This Row],[Table Name]], "[", doc_tablesList[[#This Row],[ID_columnName]], "]" ) ) )</f>
        <v>57</v>
      </c>
      <c r="I7" s="29">
        <f ca="1" xml:space="preserve"> doc_tablesList[[#This Row],[Number of Data Rows]] + doc_tablesList[[#This Row],[Header Row]]</f>
        <v>211</v>
      </c>
      <c r="J7" s="29" cm="1">
        <f t="array" aca="1" ref="J7" ca="1" xml:space="preserve"> INDEX( COLUMN( INDIRECT( doc_tablesList[[#This Row],[Table Name]] &amp; "[" &amp; doc_tablesList[[#This Row],[ID_columnName]] &amp; "]" ) ), 1 )</f>
        <v>2</v>
      </c>
      <c r="K7" s="29" cm="1">
        <f t="array" aca="1" ref="K7" ca="1" xml:space="preserve"> MAX( COLUMN( INDIRECT( doc_tablesList[[#This Row],[Table Name]] ) ) )</f>
        <v>16</v>
      </c>
      <c r="L7" s="29">
        <f ca="1" xml:space="preserve"> doc_tablesList[[#This Row],[last_colIndex]] - doc_tablesList[[#This Row],[id_colIndex]] + 1</f>
        <v>15</v>
      </c>
      <c r="M7" s="38"/>
      <c r="N7" s="37" t="s">
        <v>201</v>
      </c>
    </row>
    <row r="8" spans="1:14" x14ac:dyDescent="0.25">
      <c r="B8" s="4">
        <f xml:space="preserve"> ROW( doc_tablesList[[#This Row],[ID]] ) - ROW(doc_tablesList[[#Headers],[ID]] )</f>
        <v>5</v>
      </c>
      <c r="C8" s="7" t="s">
        <v>172</v>
      </c>
      <c r="D8" s="25">
        <v>1</v>
      </c>
      <c r="E8" s="7" t="s">
        <v>213</v>
      </c>
      <c r="F8" s="25" t="str">
        <f t="shared" si="0"/>
        <v>row_id</v>
      </c>
      <c r="G8" s="29" cm="1">
        <f t="array" aca="1" ref="G8" ca="1" xml:space="preserve"> INDEX( ROW( INDIRECT( _xlfn.TEXTJOIN( "", , doc_tablesList[[#This Row],[Table Name]], "[[#Headers],[", doc_tablesList[[#This Row],[ID_columnName]], "]]" ) ) ), 1 )</f>
        <v>219</v>
      </c>
      <c r="H8" s="29">
        <f ca="1" xml:space="preserve"> MAX( INDIRECT( _xlfn.TEXTJOIN( "", , doc_tablesList[[#This Row],[Table Name]], "[", doc_tablesList[[#This Row],[ID_columnName]], "]" ) ) )</f>
        <v>43</v>
      </c>
      <c r="I8" s="29">
        <f ca="1" xml:space="preserve"> doc_tablesList[[#This Row],[Number of Data Rows]] + doc_tablesList[[#This Row],[Header Row]]</f>
        <v>262</v>
      </c>
      <c r="J8" s="29" cm="1">
        <f t="array" aca="1" ref="J8" ca="1" xml:space="preserve"> INDEX( COLUMN( INDIRECT( doc_tablesList[[#This Row],[Table Name]] &amp; "[" &amp; doc_tablesList[[#This Row],[ID_columnName]] &amp; "]" ) ), 1 )</f>
        <v>2</v>
      </c>
      <c r="K8" s="29" cm="1">
        <f t="array" aca="1" ref="K8" ca="1" xml:space="preserve"> MAX( COLUMN( INDIRECT( doc_tablesList[[#This Row],[Table Name]] ) ) )</f>
        <v>10</v>
      </c>
      <c r="L8" s="29">
        <f ca="1" xml:space="preserve"> doc_tablesList[[#This Row],[last_colIndex]] - doc_tablesList[[#This Row],[id_colIndex]] + 1</f>
        <v>9</v>
      </c>
      <c r="M8" s="38"/>
      <c r="N8" s="37" t="s">
        <v>203</v>
      </c>
    </row>
    <row r="9" spans="1:14" x14ac:dyDescent="0.25">
      <c r="B9" s="4">
        <f xml:space="preserve"> ROW( doc_tablesList[[#This Row],[ID]] ) - ROW(doc_tablesList[[#Headers],[ID]] )</f>
        <v>6</v>
      </c>
      <c r="C9" s="7" t="s">
        <v>378</v>
      </c>
      <c r="D9" s="25">
        <v>1</v>
      </c>
      <c r="E9" s="7" t="s">
        <v>213</v>
      </c>
      <c r="F9" s="25" t="str">
        <f t="shared" si="0"/>
        <v>row_id</v>
      </c>
      <c r="G9" s="29" cm="1">
        <f t="array" aca="1" ref="G9" ca="1" xml:space="preserve"> INDEX( ROW( INDIRECT( _xlfn.TEXTJOIN( "", , doc_tablesList[[#This Row],[Table Name]], "[[#Headers],[", doc_tablesList[[#This Row],[ID_columnName]], "]]" ) ) ), 1 )</f>
        <v>269</v>
      </c>
      <c r="H9" s="29">
        <f ca="1" xml:space="preserve"> MAX( INDIRECT( _xlfn.TEXTJOIN( "", , doc_tablesList[[#This Row],[Table Name]], "[", doc_tablesList[[#This Row],[ID_columnName]], "]" ) ) )</f>
        <v>2</v>
      </c>
      <c r="I9" s="29">
        <f ca="1" xml:space="preserve"> doc_tablesList[[#This Row],[Number of Data Rows]] + doc_tablesList[[#This Row],[Header Row]]</f>
        <v>271</v>
      </c>
      <c r="J9" s="29" cm="1">
        <f t="array" aca="1" ref="J9" ca="1" xml:space="preserve"> INDEX( COLUMN( INDIRECT( doc_tablesList[[#This Row],[Table Name]] &amp; "[" &amp; doc_tablesList[[#This Row],[ID_columnName]] &amp; "]" ) ), 1 )</f>
        <v>2</v>
      </c>
      <c r="K9" s="29" cm="1">
        <f t="array" aca="1" ref="K9" ca="1" xml:space="preserve"> MAX( COLUMN( INDIRECT( doc_tablesList[[#This Row],[Table Name]] ) ) )</f>
        <v>10</v>
      </c>
      <c r="L9" s="29">
        <f ca="1" xml:space="preserve"> doc_tablesList[[#This Row],[last_colIndex]] - doc_tablesList[[#This Row],[id_colIndex]] + 1</f>
        <v>9</v>
      </c>
      <c r="M9" s="38"/>
      <c r="N9" s="37" t="s">
        <v>379</v>
      </c>
    </row>
    <row r="10" spans="1:14" x14ac:dyDescent="0.25">
      <c r="B10" s="4">
        <f xml:space="preserve"> ROW( doc_tablesList[[#This Row],[ID]] ) - ROW(doc_tablesList[[#Headers],[ID]] )</f>
        <v>7</v>
      </c>
      <c r="C10" s="7" t="s">
        <v>211</v>
      </c>
      <c r="D10" s="25">
        <v>1</v>
      </c>
      <c r="E10" s="7" t="s">
        <v>213</v>
      </c>
      <c r="F10" s="25" t="str">
        <f t="shared" si="0"/>
        <v>row_id</v>
      </c>
      <c r="G10" s="29" cm="1">
        <f t="array" aca="1" ref="G10" ca="1" xml:space="preserve"> INDEX( ROW( INDIRECT( _xlfn.TEXTJOIN( "", , doc_tablesList[[#This Row],[Table Name]], "[[#Headers],[", doc_tablesList[[#This Row],[ID_columnName]], "]]" ) ) ), 1 )</f>
        <v>276</v>
      </c>
      <c r="H10" s="29">
        <f ca="1" xml:space="preserve"> MAX( INDIRECT( _xlfn.TEXTJOIN( "", , doc_tablesList[[#This Row],[Table Name]], "[", doc_tablesList[[#This Row],[ID_columnName]], "]" ) ) )</f>
        <v>9</v>
      </c>
      <c r="I10" s="29">
        <f ca="1" xml:space="preserve"> doc_tablesList[[#This Row],[Number of Data Rows]] + doc_tablesList[[#This Row],[Header Row]]</f>
        <v>285</v>
      </c>
      <c r="J10" s="29" cm="1">
        <f t="array" aca="1" ref="J10" ca="1" xml:space="preserve"> INDEX( COLUMN( INDIRECT( doc_tablesList[[#This Row],[Table Name]] &amp; "[" &amp; doc_tablesList[[#This Row],[ID_columnName]] &amp; "]" ) ), 1 )</f>
        <v>2</v>
      </c>
      <c r="K10" s="29" cm="1">
        <f t="array" aca="1" ref="K10" ca="1" xml:space="preserve"> MAX( COLUMN( INDIRECT( doc_tablesList[[#This Row],[Table Name]] ) ) )</f>
        <v>6</v>
      </c>
      <c r="L10" s="29">
        <f ca="1" xml:space="preserve"> doc_tablesList[[#This Row],[last_colIndex]] - doc_tablesList[[#This Row],[id_colIndex]] + 1</f>
        <v>5</v>
      </c>
      <c r="M10" s="38"/>
      <c r="N10" s="37" t="s">
        <v>204</v>
      </c>
    </row>
    <row r="11" spans="1:14" x14ac:dyDescent="0.25">
      <c r="B11" s="4">
        <f xml:space="preserve"> ROW( doc_tablesList[[#This Row],[ID]] ) - ROW(doc_tablesList[[#Headers],[ID]] )</f>
        <v>8</v>
      </c>
      <c r="C11" s="7" t="s">
        <v>362</v>
      </c>
      <c r="D11" s="25">
        <v>1</v>
      </c>
      <c r="E11" s="7" t="s">
        <v>362</v>
      </c>
      <c r="F11" s="25" t="str">
        <f t="shared" si="0"/>
        <v>row_id</v>
      </c>
      <c r="G11" s="29" cm="1">
        <f t="array" aca="1" ref="G11" ca="1" xml:space="preserve"> INDEX( ROW( INDIRECT( _xlfn.TEXTJOIN( "", , doc_tablesList[[#This Row],[Table Name]], "[[#Headers],[", doc_tablesList[[#This Row],[ID_columnName]], "]]" ) ) ), 1 )</f>
        <v>3</v>
      </c>
      <c r="H11" s="29">
        <f ca="1" xml:space="preserve"> MAX( INDIRECT( _xlfn.TEXTJOIN( "", , doc_tablesList[[#This Row],[Table Name]], "[", doc_tablesList[[#This Row],[ID_columnName]], "]" ) ) )</f>
        <v>25</v>
      </c>
      <c r="I11" s="29">
        <f ca="1" xml:space="preserve"> doc_tablesList[[#This Row],[Number of Data Rows]] + doc_tablesList[[#This Row],[Header Row]]</f>
        <v>28</v>
      </c>
      <c r="J11" s="29" cm="1">
        <f t="array" aca="1" ref="J11" ca="1" xml:space="preserve"> INDEX( COLUMN( INDIRECT( doc_tablesList[[#This Row],[Table Name]] &amp; "[" &amp; doc_tablesList[[#This Row],[ID_columnName]] &amp; "]" ) ), 1 )</f>
        <v>2</v>
      </c>
      <c r="K11" s="29" cm="1">
        <f t="array" aca="1" ref="K11" ca="1" xml:space="preserve"> MAX( COLUMN( INDIRECT( doc_tablesList[[#This Row],[Table Name]] ) ) )</f>
        <v>5</v>
      </c>
      <c r="L11" s="29">
        <f ca="1" xml:space="preserve"> doc_tablesList[[#This Row],[last_colIndex]] - doc_tablesList[[#This Row],[id_colIndex]] + 1</f>
        <v>4</v>
      </c>
      <c r="M11" s="38"/>
      <c r="N11" s="37" t="s">
        <v>363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85"/>
  <sheetViews>
    <sheetView tabSelected="1" zoomScale="90" zoomScaleNormal="90" workbookViewId="0">
      <pane xSplit="3" topLeftCell="D1" activePane="topRight" state="frozen"/>
      <selection pane="topRight" activeCell="D220" sqref="D220"/>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255</v>
      </c>
      <c r="C1" s="17"/>
      <c r="D1" s="17"/>
      <c r="E1" s="17"/>
      <c r="F1" s="17"/>
      <c r="G1" s="17"/>
      <c r="H1" s="17"/>
      <c r="I1" s="17"/>
      <c r="J1" s="17"/>
      <c r="K1" s="17"/>
      <c r="L1" s="17"/>
      <c r="M1" s="17"/>
      <c r="N1" s="17"/>
      <c r="O1" s="17"/>
      <c r="P1" s="17"/>
      <c r="Q1" s="17"/>
      <c r="R1" s="17"/>
      <c r="S1" s="17"/>
      <c r="T1" s="17"/>
      <c r="U1" s="17"/>
    </row>
    <row r="2" spans="1:21" x14ac:dyDescent="0.2">
      <c r="C2" s="39" t="str">
        <f ca="1" xml:space="preserve"> OFFSET( INDIRECT( ADDRESS( ROW( co_sectors[[#Headers],[row_id]] ), COLUMN( co_sectors[[#Headers],[row_id]] ), , , ) ), -2, , 1, 1 )</f>
        <v>Sectors Table</v>
      </c>
      <c r="D2" s="2" t="s">
        <v>259</v>
      </c>
    </row>
    <row r="3" spans="1:21" x14ac:dyDescent="0.2">
      <c r="C3" s="39" t="str">
        <f ca="1" xml:space="preserve"> OFFSET( INDIRECT( ADDRESS( ROW( co_impactYears[[#Headers],[row_id]] ), COLUMN( co_impactYears[[#Headers],[row_id]] ), , , ) ), -2, , 1, 1 )</f>
        <v>Impact Year Estimates</v>
      </c>
      <c r="D3" s="2" t="s">
        <v>260</v>
      </c>
    </row>
    <row r="4" spans="1:21" x14ac:dyDescent="0.2">
      <c r="C4" s="39" t="str">
        <f ca="1" xml:space="preserve"> OFFSET( INDIRECT( ADDRESS( ROW( co_variants[[#Headers],[row_id]] ), COLUMN( co_variants[[#Headers],[row_id]] ), , , ) ), -4, , 1, 1 )</f>
        <v>Variants Table</v>
      </c>
      <c r="D4" s="2" t="s">
        <v>261</v>
      </c>
    </row>
    <row r="5" spans="1:21" x14ac:dyDescent="0.2">
      <c r="C5" s="39" t="str">
        <f ca="1" xml:space="preserve"> OFFSET( INDIRECT( ADDRESS( ROW( co_impactTypes[[#Headers],[row_id]] ), COLUMN( co_impactTypes[[#Headers],[row_id]] ), , , ) ), -2, , 1, 1 )</f>
        <v>Impact Types</v>
      </c>
      <c r="D5" s="2" t="s">
        <v>262</v>
      </c>
    </row>
    <row r="6" spans="1:21" x14ac:dyDescent="0.2">
      <c r="C6" s="39">
        <f ca="1" xml:space="preserve"> OFFSET( INDIRECT( ADDRESS( ROW( co_scalarInfo[[#Headers],[row_id]] ), COLUMN( co_scalarInfo[[#Headers],[row_id]] ), , , ) ), -2, , 1, 1 )</f>
        <v>0</v>
      </c>
      <c r="D6" s="2" t="s">
        <v>263</v>
      </c>
    </row>
    <row r="7" spans="1:21" x14ac:dyDescent="0.2">
      <c r="C7" s="39" t="str">
        <f ca="1" xml:space="preserve"> OFFSET( INDIRECT( ADDRESS( ROW( co_models[[#Headers],[row_id]] ), COLUMN( co_models[[#Headers],[row_id]] ), , , ) ), -2, , 1, 1 )</f>
        <v>GCM Models &amp; SLR Scenarios</v>
      </c>
      <c r="D7" s="2" t="s">
        <v>258</v>
      </c>
    </row>
    <row r="8" spans="1:21" x14ac:dyDescent="0.2">
      <c r="C8" s="39" t="str">
        <f ca="1" xml:space="preserve"> OFFSET( INDIRECT( ADDRESS( ROW( co_slrScalars[[#Headers],[row_id]] ), COLUMN( co_slrScalars[[#Headers],[row_id]] ), , , ) ), -3, , 1, 1 )</f>
        <v>SLR Scalars</v>
      </c>
      <c r="D8" s="2" t="s">
        <v>504</v>
      </c>
    </row>
    <row r="10" spans="1:21" ht="22.5" x14ac:dyDescent="0.2">
      <c r="C10" s="43" t="s">
        <v>254</v>
      </c>
      <c r="D10" s="40" t="s">
        <v>257</v>
      </c>
      <c r="E10" s="41" t="s">
        <v>247</v>
      </c>
      <c r="F10" s="42" t="s">
        <v>253</v>
      </c>
    </row>
    <row r="12" spans="1:21" ht="15" x14ac:dyDescent="0.25">
      <c r="A12" s="16"/>
      <c r="B12" s="17" t="s">
        <v>72</v>
      </c>
      <c r="C12" s="17"/>
      <c r="D12" s="17"/>
      <c r="E12" s="17"/>
      <c r="F12" s="17"/>
      <c r="G12" s="17"/>
      <c r="H12" s="17"/>
      <c r="I12" s="17"/>
      <c r="J12" s="17"/>
      <c r="K12" s="17"/>
      <c r="L12" s="17"/>
      <c r="M12" s="17"/>
      <c r="N12" s="17"/>
      <c r="O12" s="17"/>
      <c r="P12" s="17"/>
      <c r="Q12" s="17"/>
      <c r="R12" s="17"/>
      <c r="S12" s="17"/>
      <c r="T12" s="17"/>
      <c r="U12" s="17"/>
    </row>
    <row r="14" spans="1:21" ht="25.5" x14ac:dyDescent="0.2">
      <c r="B14" s="18" t="s">
        <v>121</v>
      </c>
      <c r="C14" s="19" t="s">
        <v>187</v>
      </c>
      <c r="D14" s="18" t="s">
        <v>81</v>
      </c>
      <c r="E14" s="20" t="s">
        <v>102</v>
      </c>
      <c r="F14" s="20" t="s">
        <v>499</v>
      </c>
      <c r="G14" s="20" t="s">
        <v>249</v>
      </c>
      <c r="H14" s="20" t="s">
        <v>321</v>
      </c>
      <c r="I14" s="20" t="s">
        <v>164</v>
      </c>
      <c r="J14" s="20" t="s">
        <v>165</v>
      </c>
      <c r="K14" s="20" t="s">
        <v>486</v>
      </c>
      <c r="L14" s="20" t="s">
        <v>487</v>
      </c>
      <c r="M14" s="20" t="s">
        <v>322</v>
      </c>
      <c r="N14" s="20" t="s">
        <v>215</v>
      </c>
      <c r="O14" s="20" t="s">
        <v>216</v>
      </c>
    </row>
    <row r="15" spans="1:21" ht="22.5" x14ac:dyDescent="0.2">
      <c r="B15" s="59">
        <f xml:space="preserve"> ROW( co_sectors[[#This Row],[row_id]] ) - ROW( co_sectors[[#Headers],[row_id]] )</f>
        <v>1</v>
      </c>
      <c r="C15" s="60" t="s">
        <v>97</v>
      </c>
      <c r="D15" s="21" t="s">
        <v>386</v>
      </c>
      <c r="E15" s="11">
        <v>1</v>
      </c>
      <c r="F15" s="14" t="s">
        <v>155</v>
      </c>
      <c r="G15" s="14">
        <v>1</v>
      </c>
      <c r="H15" s="73" t="str" cm="1">
        <f t="array" aca="1" ref="H15" ca="1" xml:space="preserve"> _xlfn.TEXTJOIN( ", ", 1,
  IF( OFFSET( INDIRECT( ADDRESS( ROW( co_variants[[#Headers],[row_id]] ),  COLUMN( co_variants[[#Headers],[sector]] ), , , "controlTables" ) ), 1, 0, MAX( co_variants[row_id] ), 1 ) = co_sectors[[#This Row],[sector]], co_variants[variant_label], "" )
)</f>
        <v>2011 Emissions, 2040 Emissions</v>
      </c>
      <c r="I15" s="73" t="str" cm="1">
        <f t="array" ref="I15" xml:space="preserve"> IF( SUMPRODUCT( --( co_sectors[[#This Row],[sector]] = co_impactYears[sector] ), co_impactYears[NA] ) = 1, "N/A", _xlfn.TEXTJOIN( ", ", , co_impactYears[[#Headers],[2010]:[2090]] ) )</f>
        <v>N/A</v>
      </c>
      <c r="J15" s="73" t="str" cm="1">
        <f t="array" aca="1" ref="J15" ca="1" xml:space="preserve">  _xlfn.TEXTJOIN( ", ", 1,
  IF( OFFSET( INDIRECT( ADDRESS( ROW( co_impactTypes[[#Headers],[row_id]] ),  COLUMN( co_impactTypes[[#Headers],[sector]] ), , , "controlTables" ) ), 1, 0, MAX( co_impactTypes[row_id] ), 1 ) = co_sectors[[#This Row],[sector]], co_impactTypes[impactType_label], "" )
)</f>
        <v>Ozone, PM2.5</v>
      </c>
      <c r="K15" s="75" t="b" cm="1">
        <f t="array" ref="K15" xml:space="preserve"> SUMPRODUCT( --( co_sectors[[#This Row],[sector]] = co_impactTypes[sector] ), --IF( co_impactTypes[physicalmeasure] = "N/A", 0, 1) ) &gt;= 1</f>
        <v>1</v>
      </c>
      <c r="L15" s="75" t="b" cm="1">
        <f t="array" ref="L15" xml:space="preserve"> OR( SUMPRODUCT( --( co_sectors[[#This Row],[sector]] = co_impactTypes[sector] ), --IF( co_impactTypes[c0] &lt;&gt; 0, 1, 0) ) &gt;= 1,
      SUMPRODUCT( --( co_sectors[[#This Row],[sector]] = co_impactTypes[sector] ), --IF( co_impactTypes[c1] &lt;&gt; 0, 1, 0) ) &gt;= 1 )</f>
        <v>1</v>
      </c>
      <c r="M15" s="75" cm="1">
        <f t="array" ref="M15" xml:space="preserve"> SUMPRODUCT( --( co_sectors[[#This Row],[sector]] = co_variants[sector] ) )</f>
        <v>2</v>
      </c>
      <c r="N15" s="75" cm="1">
        <f t="array" ref="N15" xml:space="preserve"> SUMPRODUCT( --( co_sectors[[#This Row],[sector]] = co_impactTypes[sector] ) )</f>
        <v>2</v>
      </c>
      <c r="O15" s="75">
        <f xml:space="preserve"> IF( co_sectors[[#This Row],[impactYears]] = "N/A", 1, 2 )</f>
        <v>1</v>
      </c>
    </row>
    <row r="16" spans="1:21" x14ac:dyDescent="0.2">
      <c r="B16" s="61">
        <f xml:space="preserve"> ROW( co_sectors[[#This Row],[row_id]] ) - ROW( co_sectors[[#Headers],[row_id]] )</f>
        <v>2</v>
      </c>
      <c r="C16" s="62" t="s">
        <v>240</v>
      </c>
      <c r="D16" s="22" t="s">
        <v>242</v>
      </c>
      <c r="E16" s="12">
        <v>1</v>
      </c>
      <c r="F16" s="15" t="s">
        <v>155</v>
      </c>
      <c r="G16" s="15">
        <v>0</v>
      </c>
      <c r="H16" s="73" t="str" cm="1">
        <f t="array" aca="1" ref="H16" ca="1" xml:space="preserve"> _xlfn.TEXTJOIN( ", ", 1,
  IF( OFFSET( INDIRECT( ADDRESS( ROW( co_variants[[#Headers],[row_id]] ),  COLUMN( co_variants[[#Headers],[sector]] ), , , "controlTables" ) ), 1, 0, MAX( co_variants[row_id] ), 1 ) = co_sectors[[#This Row],[sector]], co_variants[variant_label], "" )
)</f>
        <v>N/A</v>
      </c>
      <c r="I16" s="73" t="str" cm="1">
        <f t="array" ref="I16" xml:space="preserve"> IF( SUMPRODUCT( --( co_sectors[[#This Row],[sector]] = co_impactYears[sector] ), co_impactYears[NA] ) = 1, "N/A", _xlfn.TEXTJOIN( ", ", , co_impactYears[[#Headers],[2010]:[2090]] ) )</f>
        <v>N/A</v>
      </c>
      <c r="J16" s="73" t="str" cm="1">
        <f t="array" aca="1" ref="J16" ca="1" xml:space="preserve">  _xlfn.TEXTJOIN( ", ", 1,
  IF( OFFSET( INDIRECT( ADDRESS( ROW( co_impactTypes[[#Headers],[row_id]] ),  COLUMN( co_impactTypes[[#Headers],[sector]] ), , , "controlTables" ) ), 1, 0, MAX( co_impactTypes[row_id] ), 1 ) = co_sectors[[#This Row],[sector]], co_impactTypes[impactType_label], "" )
)</f>
        <v>N/A</v>
      </c>
      <c r="K16" s="75" t="b" cm="1">
        <f t="array" ref="K16" xml:space="preserve"> SUMPRODUCT( --( co_sectors[[#This Row],[sector]] = co_impactTypes[sector] ), --IF( co_impactTypes[physicalmeasure] = "N/A", 0, 1) ) &gt;= 1</f>
        <v>1</v>
      </c>
      <c r="L16" s="75" t="b" cm="1">
        <f t="array" ref="L16" xml:space="preserve"> OR( SUMPRODUCT( --( co_sectors[[#This Row],[sector]] = co_impactTypes[sector] ), --IF( co_impactTypes[c0] &lt;&gt; 0, 1, 0) ) &gt;= 1,
      SUMPRODUCT( --( co_sectors[[#This Row],[sector]] = co_impactTypes[sector] ), --IF( co_impactTypes[c1] &lt;&gt; 0, 1, 0) ) &gt;= 1 )</f>
        <v>1</v>
      </c>
      <c r="M16" s="75" cm="1">
        <f t="array" ref="M16" xml:space="preserve"> SUMPRODUCT( --( co_sectors[[#This Row],[sector]] = co_variants[sector] ) )</f>
        <v>1</v>
      </c>
      <c r="N16" s="75" cm="1">
        <f t="array" ref="N16" xml:space="preserve"> SUMPRODUCT( --( co_sectors[[#This Row],[sector]] = co_impactTypes[sector] ) )</f>
        <v>1</v>
      </c>
      <c r="O16" s="75">
        <f xml:space="preserve"> IF( co_sectors[[#This Row],[impactYears]] = "N/A", 1, 2 )</f>
        <v>1</v>
      </c>
    </row>
    <row r="17" spans="2:15" ht="22.5" x14ac:dyDescent="0.2">
      <c r="B17" s="63">
        <f xml:space="preserve"> ROW( co_sectors[[#This Row],[row_id]] ) - ROW( co_sectors[[#Headers],[row_id]] )</f>
        <v>3</v>
      </c>
      <c r="C17" s="60" t="s">
        <v>380</v>
      </c>
      <c r="D17" s="21" t="s">
        <v>383</v>
      </c>
      <c r="E17" s="11">
        <v>1</v>
      </c>
      <c r="F17" s="15" t="s">
        <v>155</v>
      </c>
      <c r="G17" s="15">
        <v>1</v>
      </c>
      <c r="H17" s="73" t="str" cm="1">
        <f t="array" aca="1" ref="H17" ca="1" xml:space="preserve"> _xlfn.TEXTJOIN( ", ", 1,
  IF( OFFSET( INDIRECT( ADDRESS( ROW( co_variants[[#Headers],[row_id]] ),  COLUMN( co_variants[[#Headers],[sector]] ), , , "controlTables" ) ), 1, 0, MAX( co_variants[row_id] ), 1 ) = co_sectors[[#This Row],[sector]], co_variants[variant_label], "" )
)</f>
        <v>Mean, Low Confidence Interval, High Confidence Interval</v>
      </c>
      <c r="I17" s="73" t="str" cm="1">
        <f t="array" ref="I17" xml:space="preserve"> IF( SUMPRODUCT( --( co_sectors[[#This Row],[sector]] = co_impactYears[sector] ), co_impactYears[NA] ) = 1, "N/A", _xlfn.TEXTJOIN( ", ", , co_impactYears[[#Headers],[2010]:[2090]] ) )</f>
        <v>N/A</v>
      </c>
      <c r="J17" s="73" t="str" cm="1">
        <f t="array" aca="1" ref="J17" ca="1" xml:space="preserve">  _xlfn.TEXTJOIN( ", ", 1,
  IF( OFFSET( INDIRECT( ADDRESS( ROW( co_impactTypes[[#Headers],[row_id]] ),  COLUMN( co_impactTypes[[#Headers],[sector]] ), , , "controlTables" ) ), 1, 0, MAX( co_impactTypes[row_id] ), 1 ) = co_sectors[[#This Row],[sector]], co_impactTypes[impactType_label], "" )
)</f>
        <v>N/A</v>
      </c>
      <c r="K17" s="75" t="b" cm="1">
        <f t="array" ref="K17" xml:space="preserve"> SUMPRODUCT( --( co_sectors[[#This Row],[sector]] = co_impactTypes[sector] ), --IF( co_impactTypes[physicalmeasure] = "N/A", 0, 1) ) &gt;= 1</f>
        <v>1</v>
      </c>
      <c r="L17" s="75" t="b" cm="1">
        <f t="array" ref="L17" xml:space="preserve"> OR( SUMPRODUCT( --( co_sectors[[#This Row],[sector]] = co_impactTypes[sector] ), --IF( co_impactTypes[c0] &lt;&gt; 0, 1, 0) ) &gt;= 1,
      SUMPRODUCT( --( co_sectors[[#This Row],[sector]] = co_impactTypes[sector] ), --IF( co_impactTypes[c1] &lt;&gt; 0, 1, 0) ) &gt;= 1 )</f>
        <v>1</v>
      </c>
      <c r="M17" s="75" cm="1">
        <f t="array" ref="M17" xml:space="preserve"> SUMPRODUCT( --( co_sectors[[#This Row],[sector]] = co_variants[sector] ) )</f>
        <v>3</v>
      </c>
      <c r="N17" s="75" cm="1">
        <f t="array" ref="N17" xml:space="preserve"> SUMPRODUCT( --( co_sectors[[#This Row],[sector]] = co_impactTypes[sector] ) )</f>
        <v>1</v>
      </c>
      <c r="O17" s="75">
        <f xml:space="preserve"> IF( co_sectors[[#This Row],[impactYears]] = "N/A", 1, 2 )</f>
        <v>1</v>
      </c>
    </row>
    <row r="18" spans="2:15" ht="22.5" x14ac:dyDescent="0.2">
      <c r="B18" s="63">
        <f xml:space="preserve"> ROW( co_sectors[[#This Row],[row_id]] ) - ROW( co_sectors[[#Headers],[row_id]] )</f>
        <v>4</v>
      </c>
      <c r="C18" s="60" t="s">
        <v>307</v>
      </c>
      <c r="D18" s="21" t="s">
        <v>309</v>
      </c>
      <c r="E18" s="11">
        <v>1</v>
      </c>
      <c r="F18" s="15" t="s">
        <v>155</v>
      </c>
      <c r="G18" s="15">
        <v>1</v>
      </c>
      <c r="H18" s="73" t="str" cm="1">
        <f t="array" aca="1" ref="H18" ca="1" xml:space="preserve"> _xlfn.TEXTJOIN( ", ", 1,
  IF( OFFSET( INDIRECT( ADDRESS( ROW( co_variants[[#Headers],[row_id]] ),  COLUMN( co_variants[[#Headers],[sector]] ), , , "controlTables" ) ), 1, 0, MAX( co_variants[row_id] ), 1 ) = co_sectors[[#This Row],[sector]], co_variants[variant_label], "" )
)</f>
        <v>With CO2 Fertilization, Without CO2 Fertilization</v>
      </c>
      <c r="I18" s="73" t="str" cm="1">
        <f t="array" ref="I18" xml:space="preserve"> IF( SUMPRODUCT( --( co_sectors[[#This Row],[sector]] = co_impactYears[sector] ), co_impactYears[NA] ) = 1, "N/A", _xlfn.TEXTJOIN( ", ", , co_impactYears[[#Headers],[2010]:[2090]] ) )</f>
        <v>N/A</v>
      </c>
      <c r="J18" s="73" t="str" cm="1">
        <f t="array" aca="1" ref="J18" ca="1" xml:space="preserve">  _xlfn.TEXTJOIN( ", ", 1,
  IF( OFFSET( INDIRECT( ADDRESS( ROW( co_impactTypes[[#Headers],[row_id]] ),  COLUMN( co_impactTypes[[#Headers],[sector]] ), , , "controlTables" ) ), 1, 0, MAX( co_impactTypes[row_id] ), 1 ) = co_sectors[[#This Row],[sector]], co_impactTypes[impactType_label], "" )
)</f>
        <v>Cotton, Maize, Soybean, Wheat</v>
      </c>
      <c r="K18" s="75" t="b" cm="1">
        <f t="array" ref="K18" xml:space="preserve"> SUMPRODUCT( --( co_sectors[[#This Row],[sector]] = co_impactTypes[sector] ), --IF( co_impactTypes[physicalmeasure] = "N/A", 0, 1) ) &gt;= 1</f>
        <v>0</v>
      </c>
      <c r="L18" s="75" t="b" cm="1">
        <f t="array" ref="L18" xml:space="preserve"> OR( SUMPRODUCT( --( co_sectors[[#This Row],[sector]] = co_impactTypes[sector] ), --IF( co_impactTypes[c0] &lt;&gt; 0, 1, 0) ) &gt;= 1,
      SUMPRODUCT( --( co_sectors[[#This Row],[sector]] = co_impactTypes[sector] ), --IF( co_impactTypes[c1] &lt;&gt; 0, 1, 0) ) &gt;= 1 )</f>
        <v>1</v>
      </c>
      <c r="M18" s="75" cm="1">
        <f t="array" ref="M18" xml:space="preserve"> SUMPRODUCT( --( co_sectors[[#This Row],[sector]] = co_variants[sector] ) )</f>
        <v>2</v>
      </c>
      <c r="N18" s="75" cm="1">
        <f t="array" ref="N18" xml:space="preserve"> SUMPRODUCT( --( co_sectors[[#This Row],[sector]] = co_impactTypes[sector] ) )</f>
        <v>4</v>
      </c>
      <c r="O18" s="75">
        <f xml:space="preserve"> IF( co_sectors[[#This Row],[impactYears]] = "N/A", 1, 2 )</f>
        <v>1</v>
      </c>
    </row>
    <row r="19" spans="2:15" x14ac:dyDescent="0.2">
      <c r="B19" s="63">
        <f xml:space="preserve"> ROW( co_sectors[[#This Row],[row_id]] ) - ROW( co_sectors[[#Headers],[row_id]] )</f>
        <v>5</v>
      </c>
      <c r="C19" s="60" t="s">
        <v>308</v>
      </c>
      <c r="D19" s="21" t="s">
        <v>310</v>
      </c>
      <c r="E19" s="11">
        <v>1</v>
      </c>
      <c r="F19" s="14" t="s">
        <v>155</v>
      </c>
      <c r="G19" s="14">
        <v>1</v>
      </c>
      <c r="H19" s="73" t="str" cm="1">
        <f t="array" aca="1" ref="H19" ca="1" xml:space="preserve"> _xlfn.TEXTJOIN( ", ", 1,
  IF( OFFSET( INDIRECT( ADDRESS( ROW( co_variants[[#Headers],[row_id]] ),  COLUMN( co_variants[[#Headers],[sector]] ), , , "controlTables" ) ), 1, 0, MAX( co_variants[row_id] ), 1 ) = co_sectors[[#This Row],[sector]], co_variants[variant_label], "" )
)</f>
        <v>N/A</v>
      </c>
      <c r="I19" s="73" t="str" cm="1">
        <f t="array" ref="I19" xml:space="preserve"> IF( SUMPRODUCT( --( co_sectors[[#This Row],[sector]] = co_impactYears[sector] ), co_impactYears[NA] ) = 1, "N/A", _xlfn.TEXTJOIN( ", ", , co_impactYears[[#Headers],[2010]:[2090]] ) )</f>
        <v>N/A</v>
      </c>
      <c r="J19" s="73" t="str" cm="1">
        <f t="array" aca="1" ref="J19" ca="1" xml:space="preserve">  _xlfn.TEXTJOIN( ", ", 1,
  IF( OFFSET( INDIRECT( ADDRESS( ROW( co_impactTypes[[#Headers],[row_id]] ),  COLUMN( co_impactTypes[[#Headers],[sector]] ), , , "controlTables" ) ), 1, 0, MAX( co_impactTypes[row_id] ), 1 ) = co_sectors[[#This Row],[sector]], co_impactTypes[impactType_label], "" )
)</f>
        <v>Property, Violent</v>
      </c>
      <c r="K19" s="75" t="b" cm="1">
        <f t="array" ref="K19" xml:space="preserve"> SUMPRODUCT( --( co_sectors[[#This Row],[sector]] = co_impactTypes[sector] ), --IF( co_impactTypes[physicalmeasure] = "N/A", 0, 1) ) &gt;= 1</f>
        <v>1</v>
      </c>
      <c r="L19" s="75" t="b" cm="1">
        <f t="array" ref="L19" xml:space="preserve"> OR( SUMPRODUCT( --( co_sectors[[#This Row],[sector]] = co_impactTypes[sector] ), --IF( co_impactTypes[c0] &lt;&gt; 0, 1, 0) ) &gt;= 1,
      SUMPRODUCT( --( co_sectors[[#This Row],[sector]] = co_impactTypes[sector] ), --IF( co_impactTypes[c1] &lt;&gt; 0, 1, 0) ) &gt;= 1 )</f>
        <v>1</v>
      </c>
      <c r="M19" s="75" cm="1">
        <f t="array" ref="M19" xml:space="preserve"> SUMPRODUCT( --( co_sectors[[#This Row],[sector]] = co_variants[sector] ) )</f>
        <v>1</v>
      </c>
      <c r="N19" s="75" cm="1">
        <f t="array" ref="N19" xml:space="preserve"> SUMPRODUCT( --( co_sectors[[#This Row],[sector]] = co_impactTypes[sector] ) )</f>
        <v>2</v>
      </c>
      <c r="O19" s="75">
        <f xml:space="preserve"> IF( co_sectors[[#This Row],[impactYears]] = "N/A", 1, 2 )</f>
        <v>1</v>
      </c>
    </row>
    <row r="20" spans="2:15" ht="22.5" x14ac:dyDescent="0.2">
      <c r="B20" s="63">
        <f xml:space="preserve"> ROW( co_sectors[[#This Row],[row_id]] ) - ROW( co_sectors[[#Headers],[row_id]] )</f>
        <v>6</v>
      </c>
      <c r="C20" s="64" t="s">
        <v>381</v>
      </c>
      <c r="D20" s="56" t="s">
        <v>384</v>
      </c>
      <c r="E20" s="57">
        <v>1</v>
      </c>
      <c r="F20" s="54" t="s">
        <v>155</v>
      </c>
      <c r="G20" s="54">
        <v>0</v>
      </c>
      <c r="H20" s="73" t="str" cm="1">
        <f t="array" aca="1" ref="H20" ca="1" xml:space="preserve"> _xlfn.TEXTJOIN( ", ", 1,
  IF( OFFSET( INDIRECT( ADDRESS( ROW( co_variants[[#Headers],[row_id]] ),  COLUMN( co_variants[[#Headers],[sector]] ), , , "controlTables" ) ), 1, 0, MAX( co_variants[row_id] ), 1 ) = co_sectors[[#This Row],[sector]], co_variants[variant_label], "" )
)</f>
        <v>Median, Low Confidence Interval, High Confidence Interval</v>
      </c>
      <c r="I20" s="73" t="str" cm="1">
        <f t="array" ref="I20" xml:space="preserve"> IF( SUMPRODUCT( --( co_sectors[[#This Row],[sector]] = co_impactYears[sector] ), co_impactYears[NA] ) = 1, "N/A", _xlfn.TEXTJOIN( ", ", , co_impactYears[[#Headers],[2010]:[2090]] ) )</f>
        <v>N/A</v>
      </c>
      <c r="J20" s="73" t="str" cm="1">
        <f t="array" aca="1" ref="J20" ca="1" xml:space="preserve">  _xlfn.TEXTJOIN( ", ", 1,
  IF( OFFSET( INDIRECT( ADDRESS( ROW( co_impactTypes[[#Headers],[row_id]] ),  COLUMN( co_impactTypes[[#Headers],[sector]] ), , , "controlTables" ) ), 1, 0, MAX( co_impactTypes[row_id] ), 1 ) = co_sectors[[#This Row],[sector]], co_impactTypes[impactType_label], "" )
)</f>
        <v>N/A</v>
      </c>
      <c r="K20" s="75" t="b" cm="1">
        <f t="array" ref="K20" xml:space="preserve"> SUMPRODUCT( --( co_sectors[[#This Row],[sector]] = co_impactTypes[sector] ), --IF( co_impactTypes[physicalmeasure] = "N/A", 0, 1) ) &gt;= 1</f>
        <v>1</v>
      </c>
      <c r="L20" s="75" t="b" cm="1">
        <f t="array" ref="L20" xml:space="preserve"> OR( SUMPRODUCT( --( co_sectors[[#This Row],[sector]] = co_impactTypes[sector] ), --IF( co_impactTypes[c0] &lt;&gt; 0, 1, 0) ) &gt;= 1,
      SUMPRODUCT( --( co_sectors[[#This Row],[sector]] = co_impactTypes[sector] ), --IF( co_impactTypes[c1] &lt;&gt; 0, 1, 0) ) &gt;= 1 )</f>
        <v>1</v>
      </c>
      <c r="M20" s="75" cm="1">
        <f t="array" ref="M20" xml:space="preserve"> SUMPRODUCT( --( co_sectors[[#This Row],[sector]] = co_variants[sector] ) )</f>
        <v>3</v>
      </c>
      <c r="N20" s="75" cm="1">
        <f t="array" ref="N20" xml:space="preserve"> SUMPRODUCT( --( co_sectors[[#This Row],[sector]] = co_impactTypes[sector] ) )</f>
        <v>1</v>
      </c>
      <c r="O20" s="75">
        <f xml:space="preserve"> IF( co_sectors[[#This Row],[impactYears]] = "N/A", 1, 2 )</f>
        <v>1</v>
      </c>
    </row>
    <row r="21" spans="2:15" ht="22.5" x14ac:dyDescent="0.2">
      <c r="B21" s="63">
        <f xml:space="preserve"> ROW( co_sectors[[#This Row],[row_id]] ) - ROW( co_sectors[[#Headers],[row_id]] )</f>
        <v>7</v>
      </c>
      <c r="C21" s="60" t="s">
        <v>21</v>
      </c>
      <c r="D21" s="21" t="s">
        <v>35</v>
      </c>
      <c r="E21" s="11">
        <v>1</v>
      </c>
      <c r="F21" s="15" t="s">
        <v>154</v>
      </c>
      <c r="G21" s="15">
        <v>1</v>
      </c>
      <c r="H21" s="73" t="str" cm="1">
        <f t="array" aca="1" ref="H21"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21" s="73" t="str" cm="1">
        <f t="array" ref="I21" xml:space="preserve"> IF( SUMPRODUCT( --( co_sectors[[#This Row],[sector]] = co_impactYears[sector] ), co_impactYears[NA] ) = 1, "N/A", _xlfn.TEXTJOIN( ", ", , co_impactYears[[#Headers],[2010]:[2090]] ) )</f>
        <v>N/A</v>
      </c>
      <c r="J21" s="73" t="str" cm="1">
        <f t="array" aca="1" ref="J21" ca="1" xml:space="preserve">  _xlfn.TEXTJOIN( ", ", 1,
  IF( OFFSET( INDIRECT( ADDRESS( ROW( co_impactTypes[[#Headers],[row_id]] ),  COLUMN( co_impactTypes[[#Headers],[sector]] ), , , "controlTables" ) ), 1, 0, MAX( co_impactTypes[row_id] ), 1 ) = co_sectors[[#This Row],[sector]], co_impactTypes[impactType_label], "" )
)</f>
        <v>N/A</v>
      </c>
      <c r="K21" s="75" t="b" cm="1">
        <f t="array" ref="K21" xml:space="preserve"> SUMPRODUCT( --( co_sectors[[#This Row],[sector]] = co_impactTypes[sector] ), --IF( co_impactTypes[physicalmeasure] = "N/A", 0, 1) ) &gt;= 1</f>
        <v>0</v>
      </c>
      <c r="L21" s="75" t="b" cm="1">
        <f t="array" ref="L21" xml:space="preserve"> OR( SUMPRODUCT( --( co_sectors[[#This Row],[sector]] = co_impactTypes[sector] ), --IF( co_impactTypes[c0] &lt;&gt; 0, 1, 0) ) &gt;= 1,
      SUMPRODUCT( --( co_sectors[[#This Row],[sector]] = co_impactTypes[sector] ), --IF( co_impactTypes[c1] &lt;&gt; 0, 1, 0) ) &gt;= 1 )</f>
        <v>1</v>
      </c>
      <c r="M21" s="75" cm="1">
        <f t="array" ref="M21" xml:space="preserve"> SUMPRODUCT( --( co_sectors[[#This Row],[sector]] = co_variants[sector] ) )</f>
        <v>3</v>
      </c>
      <c r="N21" s="75" cm="1">
        <f t="array" ref="N21" xml:space="preserve"> SUMPRODUCT( --( co_sectors[[#This Row],[sector]] = co_impactTypes[sector] ) )</f>
        <v>1</v>
      </c>
      <c r="O21" s="75">
        <f xml:space="preserve"> IF( co_sectors[[#This Row],[impactYears]] = "N/A", 1, 2 )</f>
        <v>1</v>
      </c>
    </row>
    <row r="22" spans="2:15" ht="22.5" x14ac:dyDescent="0.2">
      <c r="B22" s="63">
        <f xml:space="preserve"> ROW( co_sectors[[#This Row],[row_id]] ) - ROW( co_sectors[[#Headers],[row_id]] )</f>
        <v>8</v>
      </c>
      <c r="C22" s="65" t="s">
        <v>57</v>
      </c>
      <c r="D22" s="21" t="s">
        <v>239</v>
      </c>
      <c r="E22" s="12">
        <v>1</v>
      </c>
      <c r="F22" s="14" t="s">
        <v>155</v>
      </c>
      <c r="G22" s="14">
        <v>1</v>
      </c>
      <c r="H22" s="73" t="str" cm="1">
        <f t="array" aca="1" ref="H22" ca="1" xml:space="preserve"> _xlfn.TEXTJOIN( ", ", 1,
  IF( OFFSET( INDIRECT( ADDRESS( ROW( co_variants[[#Headers],[row_id]] ),  COLUMN( co_variants[[#Headers],[sector]] ), , , "controlTables" ) ), 1, 0, MAX( co_variants[row_id] ), 1 ) = co_sectors[[#This Row],[sector]], co_variants[variant_label], "" )
)</f>
        <v>N/A</v>
      </c>
      <c r="I22" s="73" t="str" cm="1">
        <f t="array" ref="I22" xml:space="preserve"> IF( SUMPRODUCT( --( co_sectors[[#This Row],[sector]] = co_impactYears[sector] ), co_impactYears[NA] ) = 1, "N/A", _xlfn.TEXTJOIN( ", ", , co_impactYears[[#Headers],[2010]:[2090]] ) )</f>
        <v>N/A</v>
      </c>
      <c r="J22" s="73" t="str" cm="1">
        <f t="array" aca="1" ref="J22" ca="1" xml:space="preserve">  _xlfn.TEXTJOIN( ", ", 1,
  IF( OFFSET( INDIRECT( ADDRESS( ROW( co_impactTypes[[#Headers],[row_id]] ),  COLUMN( co_impactTypes[[#Headers],[sector]] ), , , "controlTables" ) ), 1, 0, MAX( co_impactTypes[row_id] ), 1 ) = co_sectors[[#This Row],[sector]], co_impactTypes[impactType_label], "" )
)</f>
        <v>N/A</v>
      </c>
      <c r="K22" s="75" t="b" cm="1">
        <f t="array" ref="K22" xml:space="preserve"> SUMPRODUCT( --( co_sectors[[#This Row],[sector]] = co_impactTypes[sector] ), --IF( co_impactTypes[physicalmeasure] = "N/A", 0, 1) ) &gt;= 1</f>
        <v>0</v>
      </c>
      <c r="L22" s="75" t="b" cm="1">
        <f t="array" ref="L22" xml:space="preserve"> OR( SUMPRODUCT( --( co_sectors[[#This Row],[sector]] = co_impactTypes[sector] ), --IF( co_impactTypes[c0] &lt;&gt; 0, 1, 0) ) &gt;= 1,
      SUMPRODUCT( --( co_sectors[[#This Row],[sector]] = co_impactTypes[sector] ), --IF( co_impactTypes[c1] &lt;&gt; 0, 1, 0) ) &gt;= 1 )</f>
        <v>1</v>
      </c>
      <c r="M22" s="75" cm="1">
        <f t="array" ref="M22" xml:space="preserve"> SUMPRODUCT( --( co_sectors[[#This Row],[sector]] = co_variants[sector] ) )</f>
        <v>1</v>
      </c>
      <c r="N22" s="75" cm="1">
        <f t="array" ref="N22" xml:space="preserve"> SUMPRODUCT( --( co_sectors[[#This Row],[sector]] = co_impactTypes[sector] ) )</f>
        <v>1</v>
      </c>
      <c r="O22" s="75">
        <f xml:space="preserve"> IF( co_sectors[[#This Row],[impactYears]] = "N/A", 1, 2 )</f>
        <v>1</v>
      </c>
    </row>
    <row r="23" spans="2:15" ht="22.5" x14ac:dyDescent="0.2">
      <c r="B23" s="63">
        <f xml:space="preserve"> ROW( co_sectors[[#This Row],[row_id]] ) - ROW( co_sectors[[#Headers],[row_id]] )</f>
        <v>9</v>
      </c>
      <c r="C23" s="65" t="s">
        <v>237</v>
      </c>
      <c r="D23" s="21" t="s">
        <v>236</v>
      </c>
      <c r="E23" s="12">
        <v>1</v>
      </c>
      <c r="F23" s="14" t="s">
        <v>155</v>
      </c>
      <c r="G23" s="14">
        <v>1</v>
      </c>
      <c r="H23" s="73" t="str" cm="1">
        <f t="array" aca="1" ref="H23"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23" s="73" t="str" cm="1">
        <f t="array" ref="I23" xml:space="preserve"> IF( SUMPRODUCT( --( co_sectors[[#This Row],[sector]] = co_impactYears[sector] ), co_impactYears[NA] ) = 1, "N/A", _xlfn.TEXTJOIN( ", ", , co_impactYears[[#Headers],[2010]:[2090]] ) )</f>
        <v>N/A</v>
      </c>
      <c r="J23" s="73" t="str" cm="1">
        <f t="array" aca="1" ref="J23" ca="1" xml:space="preserve">  _xlfn.TEXTJOIN( ", ", 1,
  IF( OFFSET( INDIRECT( ADDRESS( ROW( co_impactTypes[[#Headers],[row_id]] ),  COLUMN( co_impactTypes[[#Headers],[sector]] ), , , "controlTables" ) ), 1, 0, MAX( co_impactTypes[row_id] ), 1 ) = co_sectors[[#This Row],[sector]], co_impactTypes[impactType_label], "" )
)</f>
        <v>N/A</v>
      </c>
      <c r="K23" s="75" t="b" cm="1">
        <f t="array" ref="K23" xml:space="preserve"> SUMPRODUCT( --( co_sectors[[#This Row],[sector]] = co_impactTypes[sector] ), --IF( co_impactTypes[physicalmeasure] = "N/A", 0, 1) ) &gt;= 1</f>
        <v>0</v>
      </c>
      <c r="L23" s="75" t="b" cm="1">
        <f t="array" ref="L23" xml:space="preserve"> OR( SUMPRODUCT( --( co_sectors[[#This Row],[sector]] = co_impactTypes[sector] ), --IF( co_impactTypes[c0] &lt;&gt; 0, 1, 0) ) &gt;= 1,
      SUMPRODUCT( --( co_sectors[[#This Row],[sector]] = co_impactTypes[sector] ), --IF( co_impactTypes[c1] &lt;&gt; 0, 1, 0) ) &gt;= 1 )</f>
        <v>1</v>
      </c>
      <c r="M23" s="75" cm="1">
        <f t="array" ref="M23" xml:space="preserve"> SUMPRODUCT( --( co_sectors[[#This Row],[sector]] = co_variants[sector] ) )</f>
        <v>3</v>
      </c>
      <c r="N23" s="75" cm="1">
        <f t="array" ref="N23" xml:space="preserve"> SUMPRODUCT( --( co_sectors[[#This Row],[sector]] = co_impactTypes[sector] ) )</f>
        <v>1</v>
      </c>
      <c r="O23" s="75">
        <f xml:space="preserve"> IF( co_sectors[[#This Row],[impactYears]] = "N/A", 1, 2 )</f>
        <v>1</v>
      </c>
    </row>
    <row r="24" spans="2:15" x14ac:dyDescent="0.2">
      <c r="B24" s="63">
        <f xml:space="preserve"> ROW( co_sectors[[#This Row],[row_id]] ) - ROW( co_sectors[[#Headers],[row_id]] )</f>
        <v>10</v>
      </c>
      <c r="C24" s="60" t="s">
        <v>15</v>
      </c>
      <c r="D24" s="21" t="s">
        <v>36</v>
      </c>
      <c r="E24" s="11">
        <v>1</v>
      </c>
      <c r="F24" s="14" t="s">
        <v>155</v>
      </c>
      <c r="G24" s="14">
        <v>0</v>
      </c>
      <c r="H24" s="73" t="str" cm="1">
        <f t="array" aca="1" ref="H24" ca="1" xml:space="preserve"> _xlfn.TEXTJOIN( ", ", 1,
  IF( OFFSET( INDIRECT( ADDRESS( ROW( co_variants[[#Headers],[row_id]] ),  COLUMN( co_variants[[#Headers],[sector]] ), , , "controlTables" ) ), 1, 0, MAX( co_variants[row_id] ), 1 ) = co_sectors[[#This Row],[sector]], co_variants[variant_label], "" )
)</f>
        <v>Adaptation, No Additional Adaptation</v>
      </c>
      <c r="I24" s="73" t="str" cm="1">
        <f t="array" ref="I24" xml:space="preserve"> IF( SUMPRODUCT( --( co_sectors[[#This Row],[sector]] = co_impactYears[sector] ), co_impactYears[NA] ) = 1, "N/A", _xlfn.TEXTJOIN( ", ", , co_impactYears[[#Headers],[2010]:[2090]] ) )</f>
        <v>2010, 2090</v>
      </c>
      <c r="J24" s="73" t="str" cm="1">
        <f t="array" aca="1" ref="J24" ca="1" xml:space="preserve">  _xlfn.TEXTJOIN( ", ", 1,
  IF( OFFSET( INDIRECT( ADDRESS( ROW( co_impactTypes[[#Headers],[row_id]] ),  COLUMN( co_impactTypes[[#Headers],[sector]] ), , , "controlTables" ) ), 1, 0, MAX( co_impactTypes[row_id] ), 1 ) = co_sectors[[#This Row],[sector]], co_impactTypes[impactType_label], "" )
)</f>
        <v>Cold, Hot</v>
      </c>
      <c r="K24" s="75" t="b" cm="1">
        <f t="array" ref="K24" xml:space="preserve"> SUMPRODUCT( --( co_sectors[[#This Row],[sector]] = co_impactTypes[sector] ), --IF( co_impactTypes[physicalmeasure] = "N/A", 0, 1) ) &gt;= 1</f>
        <v>1</v>
      </c>
      <c r="L24" s="75" t="b" cm="1">
        <f t="array" ref="L24" xml:space="preserve"> OR( SUMPRODUCT( --( co_sectors[[#This Row],[sector]] = co_impactTypes[sector] ), --IF( co_impactTypes[c0] &lt;&gt; 0, 1, 0) ) &gt;= 1,
      SUMPRODUCT( --( co_sectors[[#This Row],[sector]] = co_impactTypes[sector] ), --IF( co_impactTypes[c1] &lt;&gt; 0, 1, 0) ) &gt;= 1 )</f>
        <v>1</v>
      </c>
      <c r="M24" s="75" cm="1">
        <f t="array" ref="M24" xml:space="preserve"> SUMPRODUCT( --( co_sectors[[#This Row],[sector]] = co_variants[sector] ) )</f>
        <v>2</v>
      </c>
      <c r="N24" s="75" cm="1">
        <f t="array" ref="N24" xml:space="preserve"> SUMPRODUCT( --( co_sectors[[#This Row],[sector]] = co_impactTypes[sector] ) )</f>
        <v>2</v>
      </c>
      <c r="O24" s="75">
        <f xml:space="preserve"> IF( co_sectors[[#This Row],[impactYears]] = "N/A", 1, 2 )</f>
        <v>2</v>
      </c>
    </row>
    <row r="25" spans="2:15" x14ac:dyDescent="0.2">
      <c r="B25" s="63">
        <f xml:space="preserve"> ROW( co_sectors[[#This Row],[row_id]] ) - ROW( co_sectors[[#Headers],[row_id]] )</f>
        <v>11</v>
      </c>
      <c r="C25" s="65" t="s">
        <v>472</v>
      </c>
      <c r="D25" s="21" t="s">
        <v>473</v>
      </c>
      <c r="E25" s="12">
        <v>1</v>
      </c>
      <c r="F25" s="15" t="s">
        <v>155</v>
      </c>
      <c r="G25" s="15">
        <v>1</v>
      </c>
      <c r="H25" s="73" t="str" cm="1">
        <f t="array" aca="1" ref="H25" ca="1" xml:space="preserve"> _xlfn.TEXTJOIN( ", ", 1,
  IF( OFFSET( INDIRECT( ADDRESS( ROW( co_variants[[#Headers],[row_id]] ),  COLUMN( co_variants[[#Headers],[sector]] ), , , "controlTables" ) ), 1, 0, MAX( co_variants[row_id] ), 1 ) = co_sectors[[#This Row],[sector]], co_variants[variant_label], "" )
)</f>
        <v>SSP2 Pathway, SSP5 Pathway</v>
      </c>
      <c r="I25" s="73" t="str" cm="1">
        <f t="array" ref="I25" xml:space="preserve"> IF( SUMPRODUCT( --( co_sectors[[#This Row],[sector]] = co_impactYears[sector] ), co_impactYears[NA] ) = 1, "N/A", _xlfn.TEXTJOIN( ", ", , co_impactYears[[#Headers],[2010]:[2090]] ) )</f>
        <v>N/A</v>
      </c>
      <c r="J25" s="73" t="str" cm="1">
        <f t="array" aca="1" ref="J25" ca="1" xml:space="preserve">  _xlfn.TEXTJOIN( ", ", 1,
  IF( OFFSET( INDIRECT( ADDRESS( ROW( co_impactTypes[[#Headers],[row_id]] ),  COLUMN( co_impactTypes[[#Headers],[sector]] ), , , "controlTables" ) ), 1, 0, MAX( co_impactTypes[row_id] ), 1 ) = co_sectors[[#This Row],[sector]], co_impactTypes[impactType_label], "" )
)</f>
        <v>N/A</v>
      </c>
      <c r="K25" s="75" t="b" cm="1">
        <f t="array" ref="K25" xml:space="preserve"> SUMPRODUCT( --( co_sectors[[#This Row],[sector]] = co_impactTypes[sector] ), --IF( co_impactTypes[physicalmeasure] = "N/A", 0, 1) ) &gt;= 1</f>
        <v>0</v>
      </c>
      <c r="L25" s="75" t="b" cm="1">
        <f t="array" ref="L25" xml:space="preserve"> OR( SUMPRODUCT( --( co_sectors[[#This Row],[sector]] = co_impactTypes[sector] ), --IF( co_impactTypes[c0] &lt;&gt; 0, 1, 0) ) &gt;= 1,
      SUMPRODUCT( --( co_sectors[[#This Row],[sector]] = co_impactTypes[sector] ), --IF( co_impactTypes[c1] &lt;&gt; 0, 1, 0) ) &gt;= 1 )</f>
        <v>1</v>
      </c>
      <c r="M25" s="75" cm="1">
        <f t="array" ref="M25" xml:space="preserve"> SUMPRODUCT( --( co_sectors[[#This Row],[sector]] = co_variants[sector] ) )</f>
        <v>2</v>
      </c>
      <c r="N25" s="75" cm="1">
        <f t="array" ref="N25" xml:space="preserve"> SUMPRODUCT( --( co_sectors[[#This Row],[sector]] = co_impactTypes[sector] ) )</f>
        <v>1</v>
      </c>
      <c r="O25" s="75">
        <f xml:space="preserve"> IF( co_sectors[[#This Row],[impactYears]] = "N/A", 1, 2 )</f>
        <v>1</v>
      </c>
    </row>
    <row r="26" spans="2:15" ht="33.75" x14ac:dyDescent="0.2">
      <c r="B26" s="63">
        <f xml:space="preserve"> ROW( co_sectors[[#This Row],[row_id]] ) - ROW( co_sectors[[#Headers],[row_id]] )</f>
        <v>12</v>
      </c>
      <c r="C26" s="60" t="s">
        <v>58</v>
      </c>
      <c r="D26" s="21" t="s">
        <v>385</v>
      </c>
      <c r="E26" s="11">
        <v>1</v>
      </c>
      <c r="F26" s="15" t="s">
        <v>154</v>
      </c>
      <c r="G26" s="15">
        <v>1</v>
      </c>
      <c r="H26" s="73" t="str" cm="1">
        <f t="array" aca="1" ref="H26" ca="1" xml:space="preserve"> _xlfn.TEXTJOIN( ", ", 1,
  IF( OFFSET( INDIRECT( ADDRESS( ROW( co_variants[[#Headers],[row_id]] ),  COLUMN( co_variants[[#Headers],[sector]] ), , , "controlTables" ) ), 1, 0, MAX( co_variants[row_id] ), 1 ) = co_sectors[[#This Row],[sector]], co_variants[variant_label], "" )
)</f>
        <v>Direct Adaptation, No Additional Adaptation, Reasonably Anticipated Adaptation</v>
      </c>
      <c r="I26" s="73" t="str" cm="1">
        <f t="array" ref="I26" xml:space="preserve"> IF( SUMPRODUCT( --( co_sectors[[#This Row],[sector]] = co_impactYears[sector] ), co_impactYears[NA] ) = 1, "N/A", _xlfn.TEXTJOIN( ", ", , co_impactYears[[#Headers],[2010]:[2090]] ) )</f>
        <v>N/A</v>
      </c>
      <c r="J26" s="73" t="str" cm="1">
        <f t="array" aca="1" ref="J26" ca="1" xml:space="preserve">  _xlfn.TEXTJOIN( ", ", 1,
  IF( OFFSET( INDIRECT( ADDRESS( ROW( co_impactTypes[[#Headers],[row_id]] ),  COLUMN( co_impactTypes[[#Headers],[sector]] ), , , "controlTables" ) ), 1, 0, MAX( co_impactTypes[row_id] ), 1 ) = co_sectors[[#This Row],[sector]], co_impactTypes[impactType_label], "" )
)</f>
        <v>N/A</v>
      </c>
      <c r="K26" s="75" t="b" cm="1">
        <f t="array" ref="K26" xml:space="preserve"> SUMPRODUCT( --( co_sectors[[#This Row],[sector]] = co_impactTypes[sector] ), --IF( co_impactTypes[physicalmeasure] = "N/A", 0, 1) ) &gt;= 1</f>
        <v>0</v>
      </c>
      <c r="L26" s="75" t="b" cm="1">
        <f t="array" ref="L26" xml:space="preserve"> OR( SUMPRODUCT( --( co_sectors[[#This Row],[sector]] = co_impactTypes[sector] ), --IF( co_impactTypes[c0] &lt;&gt; 0, 1, 0) ) &gt;= 1,
      SUMPRODUCT( --( co_sectors[[#This Row],[sector]] = co_impactTypes[sector] ), --IF( co_impactTypes[c1] &lt;&gt; 0, 1, 0) ) &gt;= 1 )</f>
        <v>1</v>
      </c>
      <c r="M26" s="75" cm="1">
        <f t="array" ref="M26" xml:space="preserve"> SUMPRODUCT( --( co_sectors[[#This Row],[sector]] = co_variants[sector] ) )</f>
        <v>3</v>
      </c>
      <c r="N26" s="75" cm="1">
        <f t="array" ref="N26" xml:space="preserve"> SUMPRODUCT( --( co_sectors[[#This Row],[sector]] = co_impactTypes[sector] ) )</f>
        <v>1</v>
      </c>
      <c r="O26" s="75">
        <f xml:space="preserve"> IF( co_sectors[[#This Row],[impactYears]] = "N/A", 1, 2 )</f>
        <v>1</v>
      </c>
    </row>
    <row r="27" spans="2:15" x14ac:dyDescent="0.2">
      <c r="B27" s="63">
        <f xml:space="preserve"> ROW( co_sectors[[#This Row],[row_id]] ) - ROW( co_sectors[[#Headers],[row_id]] )</f>
        <v>13</v>
      </c>
      <c r="C27" s="60" t="s">
        <v>19</v>
      </c>
      <c r="D27" s="21" t="s">
        <v>273</v>
      </c>
      <c r="E27" s="11">
        <v>1</v>
      </c>
      <c r="F27" s="15" t="s">
        <v>155</v>
      </c>
      <c r="G27" s="15">
        <v>1</v>
      </c>
      <c r="H27" s="73" t="str" cm="1">
        <f t="array" aca="1" ref="H27" ca="1" xml:space="preserve"> _xlfn.TEXTJOIN( ", ", 1,
  IF( OFFSET( INDIRECT( ADDRESS( ROW( co_variants[[#Headers],[row_id]] ),  COLUMN( co_variants[[#Headers],[sector]] ), , , "controlTables" ) ), 1, 0, MAX( co_variants[row_id] ), 1 ) = co_sectors[[#This Row],[sector]], co_variants[variant_label], "" )
)</f>
        <v>N/A</v>
      </c>
      <c r="I27" s="73" t="str" cm="1">
        <f t="array" ref="I27" xml:space="preserve"> IF( SUMPRODUCT( --( co_sectors[[#This Row],[sector]] = co_impactYears[sector] ), co_impactYears[NA] ) = 1, "N/A", _xlfn.TEXTJOIN( ", ", , co_impactYears[[#Headers],[2010]:[2090]] ) )</f>
        <v>N/A</v>
      </c>
      <c r="J27" s="73" t="str" cm="1">
        <f t="array" aca="1" ref="J27" ca="1" xml:space="preserve">  _xlfn.TEXTJOIN( ", ", 1,
  IF( OFFSET( INDIRECT( ADDRESS( ROW( co_impactTypes[[#Headers],[row_id]] ),  COLUMN( co_impactTypes[[#Headers],[sector]] ), , , "controlTables" ) ), 1, 0, MAX( co_impactTypes[row_id] ), 1 ) = co_sectors[[#This Row],[sector]], co_impactTypes[impactType_label], "" )
)</f>
        <v>N/A</v>
      </c>
      <c r="K27" s="75" t="b" cm="1">
        <f t="array" ref="K27" xml:space="preserve"> SUMPRODUCT( --( co_sectors[[#This Row],[sector]] = co_impactTypes[sector] ), --IF( co_impactTypes[physicalmeasure] = "N/A", 0, 1) ) &gt;= 1</f>
        <v>0</v>
      </c>
      <c r="L27" s="75" t="b" cm="1">
        <f t="array" ref="L27" xml:space="preserve"> OR( SUMPRODUCT( --( co_sectors[[#This Row],[sector]] = co_impactTypes[sector] ), --IF( co_impactTypes[c0] &lt;&gt; 0, 1, 0) ) &gt;= 1,
      SUMPRODUCT( --( co_sectors[[#This Row],[sector]] = co_impactTypes[sector] ), --IF( co_impactTypes[c1] &lt;&gt; 0, 1, 0) ) &gt;= 1 )</f>
        <v>1</v>
      </c>
      <c r="M27" s="75" cm="1">
        <f t="array" ref="M27" xml:space="preserve"> SUMPRODUCT( --( co_sectors[[#This Row],[sector]] = co_variants[sector] ) )</f>
        <v>1</v>
      </c>
      <c r="N27" s="75" cm="1">
        <f t="array" ref="N27" xml:space="preserve"> SUMPRODUCT( --( co_sectors[[#This Row],[sector]] = co_impactTypes[sector] ) )</f>
        <v>1</v>
      </c>
      <c r="O27" s="75">
        <f xml:space="preserve"> IF( co_sectors[[#This Row],[impactYears]] = "N/A", 1, 2 )</f>
        <v>1</v>
      </c>
    </row>
    <row r="28" spans="2:15" x14ac:dyDescent="0.2">
      <c r="B28" s="63">
        <f xml:space="preserve"> ROW( co_sectors[[#This Row],[row_id]] ) - ROW( co_sectors[[#Headers],[row_id]] )</f>
        <v>14</v>
      </c>
      <c r="C28" s="60" t="s">
        <v>18</v>
      </c>
      <c r="D28" s="21" t="s">
        <v>18</v>
      </c>
      <c r="E28" s="11">
        <v>1</v>
      </c>
      <c r="F28" s="14" t="s">
        <v>155</v>
      </c>
      <c r="G28" s="14">
        <v>1</v>
      </c>
      <c r="H28" s="73" t="str" cm="1">
        <f t="array" aca="1" ref="H28" ca="1" xml:space="preserve"> _xlfn.TEXTJOIN( ", ", 1,
  IF( OFFSET( INDIRECT( ADDRESS( ROW( co_variants[[#Headers],[row_id]] ),  COLUMN( co_variants[[#Headers],[sector]] ), , , "controlTables" ) ), 1, 0, MAX( co_variants[row_id] ), 1 ) = co_sectors[[#This Row],[sector]], co_variants[variant_label], "" )
)</f>
        <v>N/A</v>
      </c>
      <c r="I28" s="73" t="str" cm="1">
        <f t="array" ref="I28" xml:space="preserve"> IF( SUMPRODUCT( --( co_sectors[[#This Row],[sector]] = co_impactYears[sector] ), co_impactYears[NA] ) = 1, "N/A", _xlfn.TEXTJOIN( ", ", , co_impactYears[[#Headers],[2010]:[2090]] ) )</f>
        <v>N/A</v>
      </c>
      <c r="J28" s="73" t="str" cm="1">
        <f t="array" aca="1" ref="J28" ca="1" xml:space="preserve">  _xlfn.TEXTJOIN( ", ", 1,
  IF( OFFSET( INDIRECT( ADDRESS( ROW( co_impactTypes[[#Headers],[row_id]] ),  COLUMN( co_impactTypes[[#Headers],[sector]] ), , , "controlTables" ) ), 1, 0, MAX( co_impactTypes[row_id] ), 1 ) = co_sectors[[#This Row],[sector]], co_impactTypes[impactType_label], "" )
)</f>
        <v>N/A</v>
      </c>
      <c r="K28" s="75" t="b" cm="1">
        <f t="array" ref="K28" xml:space="preserve"> SUMPRODUCT( --( co_sectors[[#This Row],[sector]] = co_impactTypes[sector] ), --IF( co_impactTypes[physicalmeasure] = "N/A", 0, 1) ) &gt;= 1</f>
        <v>1</v>
      </c>
      <c r="L28" s="75" t="b" cm="1">
        <f t="array" ref="L28" xml:space="preserve"> OR( SUMPRODUCT( --( co_sectors[[#This Row],[sector]] = co_impactTypes[sector] ), --IF( co_impactTypes[c0] &lt;&gt; 0, 1, 0) ) &gt;= 1,
      SUMPRODUCT( --( co_sectors[[#This Row],[sector]] = co_impactTypes[sector] ), --IF( co_impactTypes[c1] &lt;&gt; 0, 1, 0) ) &gt;= 1 )</f>
        <v>1</v>
      </c>
      <c r="M28" s="75" cm="1">
        <f t="array" ref="M28" xml:space="preserve"> SUMPRODUCT( --( co_sectors[[#This Row],[sector]] = co_variants[sector] ) )</f>
        <v>1</v>
      </c>
      <c r="N28" s="75" cm="1">
        <f t="array" ref="N28" xml:space="preserve"> SUMPRODUCT( --( co_sectors[[#This Row],[sector]] = co_impactTypes[sector] ) )</f>
        <v>1</v>
      </c>
      <c r="O28" s="75">
        <f xml:space="preserve"> IF( co_sectors[[#This Row],[impactYears]] = "N/A", 1, 2 )</f>
        <v>1</v>
      </c>
    </row>
    <row r="29" spans="2:15" ht="30" customHeight="1" x14ac:dyDescent="0.2">
      <c r="B29" s="63">
        <f xml:space="preserve"> ROW( co_sectors[[#This Row],[row_id]] ) - ROW( co_sectors[[#Headers],[row_id]] )</f>
        <v>15</v>
      </c>
      <c r="C29" s="65" t="s">
        <v>488</v>
      </c>
      <c r="D29" s="21" t="s">
        <v>489</v>
      </c>
      <c r="E29" s="12">
        <v>1</v>
      </c>
      <c r="F29" s="15" t="s">
        <v>155</v>
      </c>
      <c r="G29" s="15">
        <v>1</v>
      </c>
      <c r="H29" s="73" t="str" cm="1">
        <f t="array" aca="1" ref="H29" ca="1" xml:space="preserve"> _xlfn.TEXTJOIN( ", ", 1,
  IF( OFFSET( INDIRECT( ADDRESS( ROW( co_variants[[#Headers],[row_id]] ),  COLUMN( co_variants[[#Headers],[sector]] ), , , "controlTables" ) ), 1, 0, MAX( co_variants[row_id] ), 1 ) = co_sectors[[#This Row],[sector]], co_variants[variant_label], "" )
)</f>
        <v>No Adaptation, Proactive Adaptation</v>
      </c>
      <c r="I29" s="73" t="str" cm="1">
        <f t="array" ref="I29" xml:space="preserve"> IF( SUMPRODUCT( --( co_sectors[[#This Row],[sector]] = co_impactYears[sector] ), co_impactYears[NA] ) = 1, "N/A", _xlfn.TEXTJOIN( ", ", , co_impactYears[[#Headers],[2010]:[2090]] ) )</f>
        <v>N/A</v>
      </c>
      <c r="J29" s="73" t="str" cm="1">
        <f t="array" aca="1" ref="J29" ca="1" xml:space="preserve">  _xlfn.TEXTJOIN( ", ", 1,
  IF( OFFSET( INDIRECT( ADDRESS( ROW( co_impactTypes[[#Headers],[row_id]] ),  COLUMN( co_impactTypes[[#Headers],[sector]] ), , , "controlTables" ) ), 1, 0, MAX( co_impactTypes[row_id] ), 1 ) = co_sectors[[#This Row],[sector]], co_impactTypes[impactType_label], "" )
)</f>
        <v>Lost Future Earnings, Adaptation Costs</v>
      </c>
      <c r="K29" s="75" t="b" cm="1">
        <f t="array" ref="K29" xml:space="preserve"> SUMPRODUCT( --( co_sectors[[#This Row],[sector]] = co_impactTypes[sector] ), --IF( co_impactTypes[physicalmeasure] = "N/A", 0, 1) ) &gt;= 1</f>
        <v>0</v>
      </c>
      <c r="L29" s="75" t="b" cm="1">
        <f t="array" ref="L29" xml:space="preserve"> OR( SUMPRODUCT( --( co_sectors[[#This Row],[sector]] = co_impactTypes[sector] ), --IF( co_impactTypes[c0] &lt;&gt; 0, 1, 0) ) &gt;= 1,
      SUMPRODUCT( --( co_sectors[[#This Row],[sector]] = co_impactTypes[sector] ), --IF( co_impactTypes[c1] &lt;&gt; 0, 1, 0) ) &gt;= 1 )</f>
        <v>1</v>
      </c>
      <c r="M29" s="76" cm="1">
        <f t="array" ref="M29" xml:space="preserve"> SUMPRODUCT( --( co_sectors[[#This Row],[sector]] = co_variants[sector] ) )</f>
        <v>2</v>
      </c>
      <c r="N29" s="76" cm="1">
        <f t="array" ref="N29" xml:space="preserve"> SUMPRODUCT( --( co_sectors[[#This Row],[sector]] = co_impactTypes[sector] ) )</f>
        <v>2</v>
      </c>
      <c r="O29" s="76">
        <f xml:space="preserve"> IF( co_sectors[[#This Row],[impactYears]] = "N/A", 1, 2 )</f>
        <v>1</v>
      </c>
    </row>
    <row r="30" spans="2:15" x14ac:dyDescent="0.2">
      <c r="B30" s="63">
        <f xml:space="preserve"> ROW( co_sectors[[#This Row],[row_id]] ) - ROW( co_sectors[[#Headers],[row_id]] )</f>
        <v>16</v>
      </c>
      <c r="C30" s="65" t="s">
        <v>439</v>
      </c>
      <c r="D30" s="21" t="s">
        <v>440</v>
      </c>
      <c r="E30" s="12">
        <v>1</v>
      </c>
      <c r="F30" s="15" t="s">
        <v>155</v>
      </c>
      <c r="G30" s="15">
        <v>1</v>
      </c>
      <c r="H30" s="73" t="str" cm="1">
        <f t="array" aca="1" ref="H30" ca="1" xml:space="preserve"> _xlfn.TEXTJOIN( ", ", 1,
  IF( OFFSET( INDIRECT( ADDRESS( ROW( co_variants[[#Headers],[row_id]] ),  COLUMN( co_variants[[#Headers],[sector]] ), , , "controlTables" ) ), 1, 0, MAX( co_variants[row_id] ), 1 ) = co_sectors[[#This Row],[sector]], co_variants[variant_label], "" )
)</f>
        <v>N/A</v>
      </c>
      <c r="I30" s="73" t="str" cm="1">
        <f t="array" ref="I30" xml:space="preserve"> IF( SUMPRODUCT( --( co_sectors[[#This Row],[sector]] = co_impactYears[sector] ), co_impactYears[NA] ) = 1, "N/A", _xlfn.TEXTJOIN( ", ", , co_impactYears[[#Headers],[2010]:[2090]] ) )</f>
        <v>N/A</v>
      </c>
      <c r="J30" s="73" t="str" cm="1">
        <f t="array" aca="1" ref="J30" ca="1" xml:space="preserve">  _xlfn.TEXTJOIN( ", ", 1,
  IF( OFFSET( INDIRECT( ADDRESS( ROW( co_impactTypes[[#Headers],[row_id]] ),  COLUMN( co_impactTypes[[#Headers],[sector]] ), , , "controlTables" ) ), 1, 0, MAX( co_impactTypes[row_id] ), 1 ) = co_sectors[[#This Row],[sector]], co_impactTypes[impactType_label], "" )
)</f>
        <v>N/A</v>
      </c>
      <c r="K30" s="75" t="b" cm="1">
        <f t="array" ref="K30" xml:space="preserve"> SUMPRODUCT( --( co_sectors[[#This Row],[sector]] = co_impactTypes[sector] ), --IF( co_impactTypes[physicalmeasure] = "N/A", 0, 1) ) &gt;= 1</f>
        <v>1</v>
      </c>
      <c r="L30" s="75" t="b" cm="1">
        <f t="array" ref="L30" xml:space="preserve"> OR( SUMPRODUCT( --( co_sectors[[#This Row],[sector]] = co_impactTypes[sector] ), --IF( co_impactTypes[c0] &lt;&gt; 0, 1, 0) ) &gt;= 1,
      SUMPRODUCT( --( co_sectors[[#This Row],[sector]] = co_impactTypes[sector] ), --IF( co_impactTypes[c1] &lt;&gt; 0, 1, 0) ) &gt;= 1 )</f>
        <v>1</v>
      </c>
      <c r="M30" s="75" cm="1">
        <f t="array" ref="M30" xml:space="preserve"> SUMPRODUCT( --( co_sectors[[#This Row],[sector]] = co_variants[sector] ) )</f>
        <v>1</v>
      </c>
      <c r="N30" s="75" cm="1">
        <f t="array" ref="N30" xml:space="preserve"> SUMPRODUCT( --( co_sectors[[#This Row],[sector]] = co_impactTypes[sector] ) )</f>
        <v>1</v>
      </c>
      <c r="O30" s="75">
        <f xml:space="preserve"> IF( co_sectors[[#This Row],[impactYears]] = "N/A", 1, 2 )</f>
        <v>1</v>
      </c>
    </row>
    <row r="31" spans="2:15" x14ac:dyDescent="0.2">
      <c r="B31" s="63">
        <f xml:space="preserve"> ROW( co_sectors[[#This Row],[row_id]] ) - ROW( co_sectors[[#Headers],[row_id]] )</f>
        <v>17</v>
      </c>
      <c r="C31" s="64" t="s">
        <v>59</v>
      </c>
      <c r="D31" s="56" t="s">
        <v>289</v>
      </c>
      <c r="E31" s="57">
        <v>1</v>
      </c>
      <c r="F31" s="54" t="s">
        <v>155</v>
      </c>
      <c r="G31" s="54">
        <v>1</v>
      </c>
      <c r="H31" s="73" t="str" cm="1">
        <f t="array" aca="1" ref="H31" ca="1" xml:space="preserve"> _xlfn.TEXTJOIN( ", ", 1,
  IF( OFFSET( INDIRECT( ADDRESS( ROW( co_variants[[#Headers],[row_id]] ),  COLUMN( co_variants[[#Headers],[sector]] ), , , "controlTables" ) ), 1, 0, MAX( co_variants[row_id] ), 1 ) = co_sectors[[#This Row],[sector]], co_variants[variant_label], "" )
)</f>
        <v>N/A</v>
      </c>
      <c r="I31" s="73" t="str" cm="1">
        <f t="array" ref="I31" xml:space="preserve"> IF( SUMPRODUCT( --( co_sectors[[#This Row],[sector]] = co_impactYears[sector] ), co_impactYears[NA] ) = 1, "N/A", _xlfn.TEXTJOIN( ", ", , co_impactYears[[#Headers],[2010]:[2090]] ) )</f>
        <v>N/A</v>
      </c>
      <c r="J31" s="73" t="str" cm="1">
        <f t="array" aca="1" ref="J31" ca="1" xml:space="preserve">  _xlfn.TEXTJOIN( ", ", 1,
  IF( OFFSET( INDIRECT( ADDRESS( ROW( co_impactTypes[[#Headers],[row_id]] ),  COLUMN( co_impactTypes[[#Headers],[sector]] ), , , "controlTables" ) ), 1, 0, MAX( co_impactTypes[row_id] ), 1 ) = co_sectors[[#This Row],[sector]], co_impactTypes[impactType_label], "" )
)</f>
        <v>N/A</v>
      </c>
      <c r="K31" s="75" t="b" cm="1">
        <f t="array" ref="K31" xml:space="preserve"> SUMPRODUCT( --( co_sectors[[#This Row],[sector]] = co_impactTypes[sector] ), --IF( co_impactTypes[physicalmeasure] = "N/A", 0, 1) ) &gt;= 1</f>
        <v>0</v>
      </c>
      <c r="L31" s="75" t="b" cm="1">
        <f t="array" ref="L31" xml:space="preserve"> OR( SUMPRODUCT( --( co_sectors[[#This Row],[sector]] = co_impactTypes[sector] ), --IF( co_impactTypes[c0] &lt;&gt; 0, 1, 0) ) &gt;= 1,
      SUMPRODUCT( --( co_sectors[[#This Row],[sector]] = co_impactTypes[sector] ), --IF( co_impactTypes[c1] &lt;&gt; 0, 1, 0) ) &gt;= 1 )</f>
        <v>1</v>
      </c>
      <c r="M31" s="75" cm="1">
        <f t="array" ref="M31" xml:space="preserve"> SUMPRODUCT( --( co_sectors[[#This Row],[sector]] = co_variants[sector] ) )</f>
        <v>1</v>
      </c>
      <c r="N31" s="75" cm="1">
        <f t="array" ref="N31" xml:space="preserve"> SUMPRODUCT( --( co_sectors[[#This Row],[sector]] = co_impactTypes[sector] ) )</f>
        <v>1</v>
      </c>
      <c r="O31" s="75">
        <f xml:space="preserve"> IF( co_sectors[[#This Row],[impactYears]] = "N/A", 1, 2 )</f>
        <v>1</v>
      </c>
    </row>
    <row r="32" spans="2:15" ht="33.75" x14ac:dyDescent="0.2">
      <c r="B32" s="63">
        <f xml:space="preserve"> ROW( co_sectors[[#This Row],[row_id]] ) - ROW( co_sectors[[#Headers],[row_id]] )</f>
        <v>18</v>
      </c>
      <c r="C32" s="65" t="s">
        <v>433</v>
      </c>
      <c r="D32" s="21" t="s">
        <v>437</v>
      </c>
      <c r="E32" s="12">
        <v>1</v>
      </c>
      <c r="F32" s="15" t="s">
        <v>154</v>
      </c>
      <c r="G32" s="15">
        <v>1</v>
      </c>
      <c r="H32" s="73" t="str" cm="1">
        <f t="array" aca="1" ref="H32" ca="1" xml:space="preserve"> _xlfn.TEXTJOIN( ", ", 1,
  IF( OFFSET( INDIRECT( ADDRESS( ROW( co_variants[[#Headers],[row_id]] ),  COLUMN( co_variants[[#Headers],[sector]] ), , , "controlTables" ) ), 1, 0, MAX( co_variants[row_id] ), 1 ) = co_sectors[[#This Row],[sector]], co_variants[variant_label], "" )
)</f>
        <v>Low Accretion Scenario, Medium Accretion Scenario, High Accretion Scenario</v>
      </c>
      <c r="I32" s="73" t="str" cm="1">
        <f t="array" ref="I32" xml:space="preserve"> IF( SUMPRODUCT( --( co_sectors[[#This Row],[sector]] = co_impactYears[sector] ), co_impactYears[NA] ) = 1, "N/A", _xlfn.TEXTJOIN( ", ", , co_impactYears[[#Headers],[2010]:[2090]] ) )</f>
        <v>N/A</v>
      </c>
      <c r="J32" s="73" t="str" cm="1">
        <f t="array" aca="1" ref="J32" ca="1" xml:space="preserve">  _xlfn.TEXTJOIN( ", ", 1,
  IF( OFFSET( INDIRECT( ADDRESS( ROW( co_impactTypes[[#Headers],[row_id]] ),  COLUMN( co_impactTypes[[#Headers],[sector]] ), , , "controlTables" ) ), 1, 0, MAX( co_impactTypes[row_id] ), 1 ) = co_sectors[[#This Row],[sector]], co_impactTypes[impactType_label], "" )
)</f>
        <v>Restoration Costs</v>
      </c>
      <c r="K32" s="75" t="b" cm="1">
        <f t="array" ref="K32" xml:space="preserve"> SUMPRODUCT( --( co_sectors[[#This Row],[sector]] = co_impactTypes[sector] ), --IF( co_impactTypes[physicalmeasure] = "N/A", 0, 1) ) &gt;= 1</f>
        <v>0</v>
      </c>
      <c r="L32" s="75" t="b" cm="1">
        <f t="array" ref="L32" xml:space="preserve"> OR( SUMPRODUCT( --( co_sectors[[#This Row],[sector]] = co_impactTypes[sector] ), --IF( co_impactTypes[c0] &lt;&gt; 0, 1, 0) ) &gt;= 1,
      SUMPRODUCT( --( co_sectors[[#This Row],[sector]] = co_impactTypes[sector] ), --IF( co_impactTypes[c1] &lt;&gt; 0, 1, 0) ) &gt;= 1 )</f>
        <v>1</v>
      </c>
      <c r="M32" s="75" cm="1">
        <f t="array" ref="M32" xml:space="preserve"> SUMPRODUCT( --( co_sectors[[#This Row],[sector]] = co_variants[sector] ) )</f>
        <v>3</v>
      </c>
      <c r="N32" s="75" cm="1">
        <f t="array" ref="N32" xml:space="preserve"> SUMPRODUCT( --( co_sectors[[#This Row],[sector]] = co_impactTypes[sector] ) )</f>
        <v>1</v>
      </c>
      <c r="O32" s="75">
        <f xml:space="preserve"> IF( co_sectors[[#This Row],[impactYears]] = "N/A", 1, 2 )</f>
        <v>1</v>
      </c>
    </row>
    <row r="33" spans="2:15" ht="56.25" x14ac:dyDescent="0.2">
      <c r="B33" s="63">
        <f xml:space="preserve"> ROW( co_sectors[[#This Row],[row_id]] ) - ROW( co_sectors[[#Headers],[row_id]] )</f>
        <v>19</v>
      </c>
      <c r="C33" s="65" t="s">
        <v>432</v>
      </c>
      <c r="D33" s="21" t="s">
        <v>438</v>
      </c>
      <c r="E33" s="12">
        <v>1</v>
      </c>
      <c r="F33" s="15" t="s">
        <v>154</v>
      </c>
      <c r="G33" s="15">
        <v>0</v>
      </c>
      <c r="H33" s="73" t="str" cm="1">
        <f t="array" aca="1" ref="H33" ca="1" xml:space="preserve"> _xlfn.TEXTJOIN( ", ", 1,
  IF( OFFSET( INDIRECT( ADDRESS( ROW( co_variants[[#Headers],[row_id]] ),  COLUMN( co_variants[[#Headers],[sector]] ), , , "controlTables" ) ), 1, 0, MAX( co_variants[row_id] ), 1 ) = co_sectors[[#This Row],[sector]], co_variants[variant_label], "" )
)</f>
        <v>Low Accretion Scenario, Medium Accretion Scenario, High Accretion Scenario</v>
      </c>
      <c r="I33" s="73" t="str" cm="1">
        <f t="array" ref="I33" xml:space="preserve"> IF( SUMPRODUCT( --( co_sectors[[#This Row],[sector]] = co_impactYears[sector] ), co_impactYears[NA] ) = 1, "N/A", _xlfn.TEXTJOIN( ", ", , co_impactYears[[#Headers],[2010]:[2090]] ) )</f>
        <v>N/A</v>
      </c>
      <c r="J33" s="73" t="str" cm="1">
        <f t="array" aca="1" ref="J33" ca="1" xml:space="preserve">  _xlfn.TEXTJOIN( ", ", 1,
  IF( OFFSET( INDIRECT( ADDRESS( ROW( co_impactTypes[[#Headers],[row_id]] ),  COLUMN( co_impactTypes[[#Headers],[sector]] ), , , "controlTables" ) ), 1, 0, MAX( co_impactTypes[row_id] ), 1 ) = co_sectors[[#This Row],[sector]], co_impactTypes[impactType_label], "" )
)</f>
        <v>Lost Carbon Sequestration, Lost Methane Sequestration, Lost Marsh Area, Property Protection Costs</v>
      </c>
      <c r="K33" s="75" t="b" cm="1">
        <f t="array" ref="K33" xml:space="preserve"> SUMPRODUCT( --( co_sectors[[#This Row],[sector]] = co_impactTypes[sector] ), --IF( co_impactTypes[physicalmeasure] = "N/A", 0, 1) ) &gt;= 1</f>
        <v>1</v>
      </c>
      <c r="L33" s="75" t="b" cm="1">
        <f t="array" ref="L33" xml:space="preserve"> OR( SUMPRODUCT( --( co_sectors[[#This Row],[sector]] = co_impactTypes[sector] ), --IF( co_impactTypes[c0] &lt;&gt; 0, 1, 0) ) &gt;= 1,
      SUMPRODUCT( --( co_sectors[[#This Row],[sector]] = co_impactTypes[sector] ), --IF( co_impactTypes[c1] &lt;&gt; 0, 1, 0) ) &gt;= 1 )</f>
        <v>1</v>
      </c>
      <c r="M33" s="75" cm="1">
        <f t="array" ref="M33" xml:space="preserve"> SUMPRODUCT( --( co_sectors[[#This Row],[sector]] = co_variants[sector] ) )</f>
        <v>3</v>
      </c>
      <c r="N33" s="75" cm="1">
        <f t="array" ref="N33" xml:space="preserve"> SUMPRODUCT( --( co_sectors[[#This Row],[sector]] = co_impactTypes[sector] ) )</f>
        <v>4</v>
      </c>
      <c r="O33" s="75">
        <f xml:space="preserve"> IF( co_sectors[[#This Row],[impactYears]] = "N/A", 1, 2 )</f>
        <v>1</v>
      </c>
    </row>
    <row r="34" spans="2:15" ht="56.25" x14ac:dyDescent="0.2">
      <c r="B34" s="63">
        <f xml:space="preserve"> ROW( co_sectors[[#This Row],[row_id]] ) - ROW( co_sectors[[#Headers],[row_id]] )</f>
        <v>20</v>
      </c>
      <c r="C34" s="65" t="s">
        <v>445</v>
      </c>
      <c r="D34" s="21" t="s">
        <v>471</v>
      </c>
      <c r="E34" s="12">
        <v>1</v>
      </c>
      <c r="F34" s="15" t="s">
        <v>155</v>
      </c>
      <c r="G34" s="15">
        <v>1</v>
      </c>
      <c r="H34" s="73" t="str" cm="1">
        <f t="array" aca="1" ref="H34" ca="1" xml:space="preserve"> _xlfn.TEXTJOIN( ", ", 1,
  IF( OFFSET( INDIRECT( ADDRESS( ROW( co_variants[[#Headers],[row_id]] ),  COLUMN( co_variants[[#Headers],[sector]] ), , , "controlTables" ) ), 1, 0, MAX( co_variants[row_id] ), 1 ) = co_sectors[[#This Row],[sector]], co_variants[variant_label], "" )
)</f>
        <v>Proactive Adaptation, No Adaptation</v>
      </c>
      <c r="I34" s="73" t="str" cm="1">
        <f t="array" ref="I34" xml:space="preserve"> IF( SUMPRODUCT( --( co_sectors[[#This Row],[sector]] = co_impactYears[sector] ), co_impactYears[NA] ) = 1, "N/A", _xlfn.TEXTJOIN( ", ", , co_impactYears[[#Headers],[2010]:[2090]] ) )</f>
        <v>N/A</v>
      </c>
      <c r="J34" s="73" t="str" cm="1">
        <f t="array" aca="1" ref="J34" ca="1" xml:space="preserve">  _xlfn.TEXTJOIN( ", ", 1,
  IF( OFFSET( INDIRECT( ADDRESS( ROW( co_impactTypes[[#Headers],[row_id]] ),  COLUMN( co_impactTypes[[#Headers],[sector]] ), , , "controlTables" ) ), 1, 0, MAX( co_impactTypes[row_id] ), 1 ) = co_sectors[[#This Row],[sector]], co_impactTypes[impactType_label], "" )
)</f>
        <v>Fishing Activity, Snow Sport Activity, Water Sport Activity, Other Activity, Other Activity Trips</v>
      </c>
      <c r="K34" s="75" t="b" cm="1">
        <f t="array" ref="K34" xml:space="preserve"> SUMPRODUCT( --( co_sectors[[#This Row],[sector]] = co_impactTypes[sector] ), --IF( co_impactTypes[physicalmeasure] = "N/A", 0, 1) ) &gt;= 1</f>
        <v>1</v>
      </c>
      <c r="L34" s="75" t="b" cm="1">
        <f t="array" ref="L34" xml:space="preserve"> OR( SUMPRODUCT( --( co_sectors[[#This Row],[sector]] = co_impactTypes[sector] ), --IF( co_impactTypes[c0] &lt;&gt; 0, 1, 0) ) &gt;= 1,
      SUMPRODUCT( --( co_sectors[[#This Row],[sector]] = co_impactTypes[sector] ), --IF( co_impactTypes[c1] &lt;&gt; 0, 1, 0) ) &gt;= 1 )</f>
        <v>1</v>
      </c>
      <c r="M34" s="75" cm="1">
        <f t="array" ref="M34" xml:space="preserve"> SUMPRODUCT( --( co_sectors[[#This Row],[sector]] = co_variants[sector] ) )</f>
        <v>2</v>
      </c>
      <c r="N34" s="75" cm="1">
        <f t="array" ref="N34" xml:space="preserve"> SUMPRODUCT( --( co_sectors[[#This Row],[sector]] = co_impactTypes[sector] ) )</f>
        <v>5</v>
      </c>
      <c r="O34" s="75">
        <f xml:space="preserve"> IF( co_sectors[[#This Row],[impactYears]] = "N/A", 1, 2 )</f>
        <v>1</v>
      </c>
    </row>
    <row r="35" spans="2:15" x14ac:dyDescent="0.2">
      <c r="B35" s="63">
        <f xml:space="preserve"> ROW( co_sectors[[#This Row],[row_id]] ) - ROW( co_sectors[[#Headers],[row_id]] )</f>
        <v>21</v>
      </c>
      <c r="C35" s="65" t="s">
        <v>382</v>
      </c>
      <c r="D35" s="21" t="s">
        <v>382</v>
      </c>
      <c r="E35" s="12">
        <v>1</v>
      </c>
      <c r="F35" s="15" t="s">
        <v>155</v>
      </c>
      <c r="G35" s="15">
        <v>2</v>
      </c>
      <c r="H35" s="73" t="str" cm="1">
        <f t="array" aca="1" ref="H35" ca="1" xml:space="preserve"> _xlfn.TEXTJOIN( ", ", 1,
  IF( OFFSET( INDIRECT( ADDRESS( ROW( co_variants[[#Headers],[row_id]] ),  COLUMN( co_variants[[#Headers],[sector]] ), , , "controlTables" ) ), 1, 0, MAX( co_variants[row_id] ), 1 ) = co_sectors[[#This Row],[sector]], co_variants[variant_label], "" )
)</f>
        <v>N/A</v>
      </c>
      <c r="I35" s="73" t="str" cm="1">
        <f t="array" ref="I35" xml:space="preserve"> IF( SUMPRODUCT( --( co_sectors[[#This Row],[sector]] = co_impactYears[sector] ), co_impactYears[NA] ) = 1, "N/A", _xlfn.TEXTJOIN( ", ", , co_impactYears[[#Headers],[2010]:[2090]] ) )</f>
        <v>N/A</v>
      </c>
      <c r="J35" s="73" t="str" cm="1">
        <f t="array" aca="1" ref="J35" ca="1" xml:space="preserve">  _xlfn.TEXTJOIN( ", ", 1,
  IF( OFFSET( INDIRECT( ADDRESS( ROW( co_impactTypes[[#Headers],[row_id]] ),  COLUMN( co_impactTypes[[#Headers],[sector]] ), , , "controlTables" ) ), 1, 0, MAX( co_impactTypes[row_id] ), 1 ) = co_sectors[[#This Row],[sector]], co_impactTypes[impactType_label], "" )
)</f>
        <v>N/A</v>
      </c>
      <c r="K35" s="75" t="b" cm="1">
        <f t="array" ref="K35" xml:space="preserve"> SUMPRODUCT( --( co_sectors[[#This Row],[sector]] = co_impactTypes[sector] ), --IF( co_impactTypes[physicalmeasure] = "N/A", 0, 1) ) &gt;= 1</f>
        <v>1</v>
      </c>
      <c r="L35" s="75" t="b" cm="1">
        <f t="array" ref="L35" xml:space="preserve"> OR( SUMPRODUCT( --( co_sectors[[#This Row],[sector]] = co_impactTypes[sector] ), --IF( co_impactTypes[c0] &lt;&gt; 0, 1, 0) ) &gt;= 1,
      SUMPRODUCT( --( co_sectors[[#This Row],[sector]] = co_impactTypes[sector] ), --IF( co_impactTypes[c1] &lt;&gt; 0, 1, 0) ) &gt;= 1 )</f>
        <v>1</v>
      </c>
      <c r="M35" s="75" cm="1">
        <f t="array" ref="M35" xml:space="preserve"> SUMPRODUCT( --( co_sectors[[#This Row],[sector]] = co_variants[sector] ) )</f>
        <v>1</v>
      </c>
      <c r="N35" s="75" cm="1">
        <f t="array" ref="N35" xml:space="preserve"> SUMPRODUCT( --( co_sectors[[#This Row],[sector]] = co_impactTypes[sector] ) )</f>
        <v>1</v>
      </c>
      <c r="O35" s="75">
        <f xml:space="preserve"> IF( co_sectors[[#This Row],[impactYears]] = "N/A", 1, 2 )</f>
        <v>1</v>
      </c>
    </row>
    <row r="36" spans="2:15" ht="22.5" x14ac:dyDescent="0.2">
      <c r="B36" s="61">
        <f xml:space="preserve"> ROW( co_sectors[[#This Row],[row_id]] ) - ROW( co_sectors[[#Headers],[row_id]] )</f>
        <v>22</v>
      </c>
      <c r="C36" s="62" t="s">
        <v>46</v>
      </c>
      <c r="D36" s="22" t="s">
        <v>46</v>
      </c>
      <c r="E36" s="12">
        <v>1</v>
      </c>
      <c r="F36" s="14" t="s">
        <v>155</v>
      </c>
      <c r="G36" s="14">
        <v>1</v>
      </c>
      <c r="H36" s="73" t="str" cm="1">
        <f t="array" aca="1" ref="H36"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36" s="73" t="str" cm="1">
        <f t="array" ref="I36" xml:space="preserve"> IF( SUMPRODUCT( --( co_sectors[[#This Row],[sector]] = co_impactYears[sector] ), co_impactYears[NA] ) = 1, "N/A", _xlfn.TEXTJOIN( ", ", , co_impactYears[[#Headers],[2010]:[2090]] ) )</f>
        <v>N/A</v>
      </c>
      <c r="J36" s="73" t="str" cm="1">
        <f t="array" aca="1" ref="J36" ca="1" xml:space="preserve">  _xlfn.TEXTJOIN( ", ", 1,
  IF( OFFSET( INDIRECT( ADDRESS( ROW( co_impactTypes[[#Headers],[row_id]] ),  COLUMN( co_impactTypes[[#Headers],[sector]] ), , , "controlTables" ) ), 1, 0, MAX( co_impactTypes[row_id] ), 1 ) = co_sectors[[#This Row],[sector]], co_impactTypes[impactType_label], "" )
)</f>
        <v>N/A</v>
      </c>
      <c r="K36" s="75" t="b" cm="1">
        <f t="array" ref="K36" xml:space="preserve"> SUMPRODUCT( --( co_sectors[[#This Row],[sector]] = co_impactTypes[sector] ), --IF( co_impactTypes[physicalmeasure] = "N/A", 0, 1) ) &gt;= 1</f>
        <v>1</v>
      </c>
      <c r="L36" s="75" t="b" cm="1">
        <f t="array" ref="L36" xml:space="preserve"> OR( SUMPRODUCT( --( co_sectors[[#This Row],[sector]] = co_impactTypes[sector] ), --IF( co_impactTypes[c0] &lt;&gt; 0, 1, 0) ) &gt;= 1,
      SUMPRODUCT( --( co_sectors[[#This Row],[sector]] = co_impactTypes[sector] ), --IF( co_impactTypes[c1] &lt;&gt; 0, 1, 0) ) &gt;= 1 )</f>
        <v>1</v>
      </c>
      <c r="M36" s="75" cm="1">
        <f t="array" ref="M36" xml:space="preserve"> SUMPRODUCT( --( co_sectors[[#This Row],[sector]] = co_variants[sector] ) )</f>
        <v>3</v>
      </c>
      <c r="N36" s="75" cm="1">
        <f t="array" ref="N36" xml:space="preserve"> SUMPRODUCT( --( co_sectors[[#This Row],[sector]] = co_impactTypes[sector] ) )</f>
        <v>1</v>
      </c>
      <c r="O36" s="75">
        <f xml:space="preserve"> IF( co_sectors[[#This Row],[impactYears]] = "N/A", 1, 2 )</f>
        <v>1</v>
      </c>
    </row>
    <row r="37" spans="2:15" ht="22.5" x14ac:dyDescent="0.2">
      <c r="B37" s="63">
        <f xml:space="preserve"> ROW( co_sectors[[#This Row],[row_id]] ) - ROW( co_sectors[[#Headers],[row_id]] )</f>
        <v>23</v>
      </c>
      <c r="C37" s="60" t="s">
        <v>53</v>
      </c>
      <c r="D37" s="21" t="s">
        <v>53</v>
      </c>
      <c r="E37" s="13">
        <v>1</v>
      </c>
      <c r="F37" s="14" t="s">
        <v>155</v>
      </c>
      <c r="G37" s="14">
        <v>1</v>
      </c>
      <c r="H37" s="73" t="str" cm="1">
        <f t="array" aca="1" ref="H37"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37" s="73" t="str" cm="1">
        <f t="array" ref="I37" xml:space="preserve"> IF( SUMPRODUCT( --( co_sectors[[#This Row],[sector]] = co_impactYears[sector] ), co_impactYears[NA] ) = 1, "N/A", _xlfn.TEXTJOIN( ", ", , co_impactYears[[#Headers],[2010]:[2090]] ) )</f>
        <v>N/A</v>
      </c>
      <c r="J37" s="73" t="str" cm="1">
        <f t="array" aca="1" ref="J37" ca="1" xml:space="preserve">  _xlfn.TEXTJOIN( ", ", 1,
  IF( OFFSET( INDIRECT( ADDRESS( ROW( co_impactTypes[[#Headers],[row_id]] ),  COLUMN( co_impactTypes[[#Headers],[sector]] ), , , "controlTables" ) ), 1, 0, MAX( co_impactTypes[row_id] ), 1 ) = co_sectors[[#This Row],[sector]], co_impactTypes[impactType_label], "" )
)</f>
        <v>N/A</v>
      </c>
      <c r="K37" s="75" t="b" cm="1">
        <f t="array" ref="K37" xml:space="preserve"> SUMPRODUCT( --( co_sectors[[#This Row],[sector]] = co_impactTypes[sector] ), --IF( co_impactTypes[physicalmeasure] = "N/A", 0, 1) ) &gt;= 1</f>
        <v>1</v>
      </c>
      <c r="L37" s="75" t="b" cm="1">
        <f t="array" ref="L37" xml:space="preserve"> OR( SUMPRODUCT( --( co_sectors[[#This Row],[sector]] = co_impactTypes[sector] ), --IF( co_impactTypes[c0] &lt;&gt; 0, 1, 0) ) &gt;= 1,
      SUMPRODUCT( --( co_sectors[[#This Row],[sector]] = co_impactTypes[sector] ), --IF( co_impactTypes[c1] &lt;&gt; 0, 1, 0) ) &gt;= 1 )</f>
        <v>1</v>
      </c>
      <c r="M37" s="75" cm="1">
        <f t="array" ref="M37" xml:space="preserve"> SUMPRODUCT( --( co_sectors[[#This Row],[sector]] = co_variants[sector] ) )</f>
        <v>3</v>
      </c>
      <c r="N37" s="75" cm="1">
        <f t="array" ref="N37" xml:space="preserve"> SUMPRODUCT( --( co_sectors[[#This Row],[sector]] = co_impactTypes[sector] ) )</f>
        <v>1</v>
      </c>
      <c r="O37" s="75">
        <f xml:space="preserve"> IF( co_sectors[[#This Row],[impactYears]] = "N/A", 1, 2 )</f>
        <v>1</v>
      </c>
    </row>
    <row r="38" spans="2:15" ht="56.25" x14ac:dyDescent="0.2">
      <c r="B38" s="61">
        <f xml:space="preserve"> ROW( co_sectors[[#This Row],[row_id]] ) - ROW( co_sectors[[#Headers],[row_id]] )</f>
        <v>24</v>
      </c>
      <c r="C38" s="62" t="s">
        <v>20</v>
      </c>
      <c r="D38" s="22" t="s">
        <v>34</v>
      </c>
      <c r="E38" s="13">
        <v>1</v>
      </c>
      <c r="F38" s="14" t="s">
        <v>155</v>
      </c>
      <c r="G38" s="14">
        <v>1</v>
      </c>
      <c r="H38" s="73" t="str" cm="1">
        <f t="array" aca="1" ref="H38" ca="1" xml:space="preserve"> _xlfn.TEXTJOIN( ", ", 1,
  IF( OFFSET( INDIRECT( ADDRESS( ROW( co_variants[[#Headers],[row_id]] ),  COLUMN( co_variants[[#Headers],[sector]] ), , , "controlTables" ) ), 1, 0, MAX( co_variants[row_id] ), 1 ) = co_sectors[[#This Row],[sector]], co_variants[variant_label], "" )
)</f>
        <v>N/A</v>
      </c>
      <c r="I38" s="73" t="str" cm="1">
        <f t="array" ref="I38" xml:space="preserve"> IF( SUMPRODUCT( --( co_sectors[[#This Row],[sector]] = co_impactYears[sector] ), co_impactYears[NA] ) = 1, "N/A", _xlfn.TEXTJOIN( ", ", , co_impactYears[[#Headers],[2010]:[2090]] ) )</f>
        <v>2010, 2090</v>
      </c>
      <c r="J38" s="73" t="str" cm="1">
        <f t="array" aca="1" ref="J38" ca="1" xml:space="preserve">  _xlfn.TEXTJOIN( ", ", 1,
  IF( OFFSET( INDIRECT( ADDRESS( ROW( co_impactTypes[[#Headers],[row_id]] ),  COLUMN( co_impactTypes[[#Headers],[sector]] ), , , "controlTables" ) ), 1, 0, MAX( co_impactTypes[row_id] ), 1 ) = co_sectors[[#This Row],[sector]], co_impactTypes[impactType_label], "" )
)</f>
        <v>Acute Myocardial Infarction, All Cardiovascular, All Mortality, All Respiratory, Asthma ER</v>
      </c>
      <c r="K38" s="75" t="b" cm="1">
        <f t="array" ref="K38" xml:space="preserve"> SUMPRODUCT( --( co_sectors[[#This Row],[sector]] = co_impactTypes[sector] ), --IF( co_impactTypes[physicalmeasure] = "N/A", 0, 1) ) &gt;= 1</f>
        <v>1</v>
      </c>
      <c r="L38" s="75" t="b" cm="1">
        <f t="array" ref="L38" xml:space="preserve"> OR( SUMPRODUCT( --( co_sectors[[#This Row],[sector]] = co_impactTypes[sector] ), --IF( co_impactTypes[c0] &lt;&gt; 0, 1, 0) ) &gt;= 1,
      SUMPRODUCT( --( co_sectors[[#This Row],[sector]] = co_impactTypes[sector] ), --IF( co_impactTypes[c1] &lt;&gt; 0, 1, 0) ) &gt;= 1 )</f>
        <v>1</v>
      </c>
      <c r="M38" s="75" cm="1">
        <f t="array" ref="M38" xml:space="preserve"> SUMPRODUCT( --( co_sectors[[#This Row],[sector]] = co_variants[sector] ) )</f>
        <v>1</v>
      </c>
      <c r="N38" s="75" cm="1">
        <f t="array" ref="N38" xml:space="preserve"> SUMPRODUCT( --( co_sectors[[#This Row],[sector]] = co_impactTypes[sector] ) )</f>
        <v>5</v>
      </c>
      <c r="O38" s="75">
        <f xml:space="preserve"> IF( co_sectors[[#This Row],[impactYears]] = "N/A", 1, 2 )</f>
        <v>2</v>
      </c>
    </row>
    <row r="39" spans="2:15" x14ac:dyDescent="0.2">
      <c r="B39" s="63">
        <f xml:space="preserve"> ROW( co_sectors[[#This Row],[row_id]] ) - ROW( co_sectors[[#Headers],[row_id]] )</f>
        <v>25</v>
      </c>
      <c r="C39" s="65" t="s">
        <v>61</v>
      </c>
      <c r="D39" s="21" t="s">
        <v>62</v>
      </c>
      <c r="E39" s="12">
        <v>1</v>
      </c>
      <c r="F39" s="14" t="s">
        <v>155</v>
      </c>
      <c r="G39" s="14">
        <v>1</v>
      </c>
      <c r="H39" s="73" t="str" cm="1">
        <f t="array" aca="1" ref="H39" ca="1" xml:space="preserve"> _xlfn.TEXTJOIN( ", ", 1,
  IF( OFFSET( INDIRECT( ADDRESS( ROW( co_variants[[#Headers],[row_id]] ),  COLUMN( co_variants[[#Headers],[sector]] ), , , "controlTables" ) ), 1, 0, MAX( co_variants[row_id] ), 1 ) = co_sectors[[#This Row],[sector]], co_variants[variant_label], "" )
)</f>
        <v>N/A</v>
      </c>
      <c r="I39" s="73" t="str" cm="1">
        <f t="array" ref="I39" xml:space="preserve"> IF( SUMPRODUCT( --( co_sectors[[#This Row],[sector]] = co_impactYears[sector] ), co_impactYears[NA] ) = 1, "N/A", _xlfn.TEXTJOIN( ", ", , co_impactYears[[#Headers],[2010]:[2090]] ) )</f>
        <v>N/A</v>
      </c>
      <c r="J39" s="73" t="str" cm="1">
        <f t="array" aca="1" ref="J39" ca="1" xml:space="preserve">  _xlfn.TEXTJOIN( ", ", 1,
  IF( OFFSET( INDIRECT( ADDRESS( ROW( co_impactTypes[[#Headers],[row_id]] ),  COLUMN( co_impactTypes[[#Headers],[sector]] ), , , "controlTables" ) ), 1, 0, MAX( co_impactTypes[row_id] ), 1 ) = co_sectors[[#This Row],[sector]], co_impactTypes[impactType_label], "" )
)</f>
        <v>N/A</v>
      </c>
      <c r="K39" s="75" t="b" cm="1">
        <f t="array" ref="K39" xml:space="preserve"> SUMPRODUCT( --( co_sectors[[#This Row],[sector]] = co_impactTypes[sector] ), --IF( co_impactTypes[physicalmeasure] = "N/A", 0, 1) ) &gt;= 1</f>
        <v>0</v>
      </c>
      <c r="L39" s="75" t="b" cm="1">
        <f t="array" ref="L39" xml:space="preserve"> OR( SUMPRODUCT( --( co_sectors[[#This Row],[sector]] = co_impactTypes[sector] ), --IF( co_impactTypes[c0] &lt;&gt; 0, 1, 0) ) &gt;= 1,
      SUMPRODUCT( --( co_sectors[[#This Row],[sector]] = co_impactTypes[sector] ), --IF( co_impactTypes[c1] &lt;&gt; 0, 1, 0) ) &gt;= 1 )</f>
        <v>1</v>
      </c>
      <c r="M39" s="75" cm="1">
        <f t="array" ref="M39" xml:space="preserve"> SUMPRODUCT( --( co_sectors[[#This Row],[sector]] = co_variants[sector] ) )</f>
        <v>1</v>
      </c>
      <c r="N39" s="75" cm="1">
        <f t="array" ref="N39" xml:space="preserve"> SUMPRODUCT( --( co_sectors[[#This Row],[sector]] = co_impactTypes[sector] ) )</f>
        <v>1</v>
      </c>
      <c r="O39" s="75">
        <f xml:space="preserve"> IF( co_sectors[[#This Row],[impactYears]] = "N/A", 1, 2 )</f>
        <v>1</v>
      </c>
    </row>
    <row r="40" spans="2:15" ht="22.5" x14ac:dyDescent="0.2">
      <c r="B40" s="61">
        <f xml:space="preserve"> ROW( co_sectors[[#This Row],[row_id]] ) - ROW( co_sectors[[#Headers],[row_id]] )</f>
        <v>26</v>
      </c>
      <c r="C40" s="62" t="s">
        <v>219</v>
      </c>
      <c r="D40" s="22" t="s">
        <v>220</v>
      </c>
      <c r="E40" s="13">
        <v>1</v>
      </c>
      <c r="F40" s="15" t="s">
        <v>155</v>
      </c>
      <c r="G40" s="15">
        <v>1</v>
      </c>
      <c r="H40" s="73" t="str" cm="1">
        <f t="array" aca="1" ref="H40" ca="1" xml:space="preserve"> _xlfn.TEXTJOIN( ", ", 1,
  IF( OFFSET( INDIRECT( ADDRESS( ROW( co_variants[[#Headers],[row_id]] ),  COLUMN( co_variants[[#Headers],[sector]] ), , , "controlTables" ) ), 1, 0, MAX( co_variants[row_id] ), 1 ) = co_sectors[[#This Row],[sector]], co_variants[variant_label], "" )
)</f>
        <v>N/A</v>
      </c>
      <c r="I40" s="73" t="str" cm="1">
        <f t="array" ref="I40" xml:space="preserve"> IF( SUMPRODUCT( --( co_sectors[[#This Row],[sector]] = co_impactYears[sector] ), co_impactYears[NA] ) = 1, "N/A", _xlfn.TEXTJOIN( ", ", , co_impactYears[[#Headers],[2010]:[2090]] ) )</f>
        <v>N/A</v>
      </c>
      <c r="J40" s="73" t="str" cm="1">
        <f t="array" aca="1" ref="J40" ca="1" xml:space="preserve">  _xlfn.TEXTJOIN( ", ", 1,
  IF( OFFSET( INDIRECT( ADDRESS( ROW( co_impactTypes[[#Headers],[row_id]] ),  COLUMN( co_impactTypes[[#Headers],[sector]] ), , , "controlTables" ) ), 1, 0, MAX( co_impactTypes[row_id] ), 1 ) = co_sectors[[#This Row],[sector]], co_impactTypes[impactType_label], "" )
)</f>
        <v>Lost Wages, Morbidity, Mortality</v>
      </c>
      <c r="K40" s="75" t="b" cm="1">
        <f t="array" ref="K40" xml:space="preserve"> SUMPRODUCT( --( co_sectors[[#This Row],[sector]] = co_impactTypes[sector] ), --IF( co_impactTypes[physicalmeasure] = "N/A", 0, 1) ) &gt;= 1</f>
        <v>1</v>
      </c>
      <c r="L40" s="75" t="b" cm="1">
        <f t="array" ref="L40" xml:space="preserve"> OR( SUMPRODUCT( --( co_sectors[[#This Row],[sector]] = co_impactTypes[sector] ), --IF( co_impactTypes[c0] &lt;&gt; 0, 1, 0) ) &gt;= 1,
      SUMPRODUCT( --( co_sectors[[#This Row],[sector]] = co_impactTypes[sector] ), --IF( co_impactTypes[c1] &lt;&gt; 0, 1, 0) ) &gt;= 1 )</f>
        <v>1</v>
      </c>
      <c r="M40" s="75" cm="1">
        <f t="array" ref="M40" xml:space="preserve"> SUMPRODUCT( --( co_sectors[[#This Row],[sector]] = co_variants[sector] ) )</f>
        <v>1</v>
      </c>
      <c r="N40" s="75" cm="1">
        <f t="array" ref="N40" xml:space="preserve"> SUMPRODUCT( --( co_sectors[[#This Row],[sector]] = co_impactTypes[sector] ) )</f>
        <v>3</v>
      </c>
      <c r="O40" s="75">
        <f xml:space="preserve"> IF( co_sectors[[#This Row],[impactYears]] = "N/A", 1, 2 )</f>
        <v>1</v>
      </c>
    </row>
    <row r="41" spans="2:15" ht="22.5" x14ac:dyDescent="0.2">
      <c r="B41" s="63">
        <f xml:space="preserve"> ROW( co_sectors[[#This Row],[row_id]] ) - ROW( co_sectors[[#Headers],[row_id]] )</f>
        <v>27</v>
      </c>
      <c r="C41" s="65" t="s">
        <v>364</v>
      </c>
      <c r="D41" s="21" t="s">
        <v>387</v>
      </c>
      <c r="E41" s="12">
        <v>1</v>
      </c>
      <c r="F41" s="15" t="s">
        <v>155</v>
      </c>
      <c r="G41" s="15">
        <v>1</v>
      </c>
      <c r="H41" s="73" t="str" cm="1">
        <f t="array" aca="1" ref="H41" ca="1" xml:space="preserve"> _xlfn.TEXTJOIN( ", ", 1,
  IF( OFFSET( INDIRECT( ADDRESS( ROW( co_variants[[#Headers],[row_id]] ),  COLUMN( co_variants[[#Headers],[sector]] ), , , "controlTables" ) ), 1, 0, MAX( co_variants[row_id] ), 1 ) = co_sectors[[#This Row],[sector]], co_variants[variant_label], "" )
)</f>
        <v>N/A</v>
      </c>
      <c r="I41" s="73" t="str" cm="1">
        <f t="array" ref="I41" xml:space="preserve"> IF( SUMPRODUCT( --( co_sectors[[#This Row],[sector]] = co_impactYears[sector] ), co_impactYears[NA] ) = 1, "N/A", _xlfn.TEXTJOIN( ", ", , co_impactYears[[#Headers],[2010]:[2090]] ) )</f>
        <v>N/A</v>
      </c>
      <c r="J41" s="73" t="str" cm="1">
        <f t="array" aca="1" ref="J41" ca="1" xml:space="preserve">  _xlfn.TEXTJOIN( ", ", 1,
  IF( OFFSET( INDIRECT( ADDRESS( ROW( co_impactTypes[[#Headers],[row_id]] ),  COLUMN( co_impactTypes[[#Headers],[sector]] ), , , "controlTables" ) ), 1, 0, MAX( co_impactTypes[row_id] ), 1 ) = co_sectors[[#This Row],[sector]], co_impactTypes[impactType_label], "" )
)</f>
        <v>Direct Medical Cost, Lost Days, Mortality</v>
      </c>
      <c r="K41" s="75" t="b" cm="1">
        <f t="array" ref="K41" xml:space="preserve"> SUMPRODUCT( --( co_sectors[[#This Row],[sector]] = co_impactTypes[sector] ), --IF( co_impactTypes[physicalmeasure] = "N/A", 0, 1) ) &gt;= 1</f>
        <v>1</v>
      </c>
      <c r="L41" s="75" t="b" cm="1">
        <f t="array" ref="L41" xml:space="preserve"> OR( SUMPRODUCT( --( co_sectors[[#This Row],[sector]] = co_impactTypes[sector] ), --IF( co_impactTypes[c0] &lt;&gt; 0, 1, 0) ) &gt;= 1,
      SUMPRODUCT( --( co_sectors[[#This Row],[sector]] = co_impactTypes[sector] ), --IF( co_impactTypes[c1] &lt;&gt; 0, 1, 0) ) &gt;= 1 )</f>
        <v>1</v>
      </c>
      <c r="M41" s="75" cm="1">
        <f t="array" ref="M41" xml:space="preserve"> SUMPRODUCT( --( co_sectors[[#This Row],[sector]] = co_variants[sector] ) )</f>
        <v>1</v>
      </c>
      <c r="N41" s="75" cm="1">
        <f t="array" ref="N41" xml:space="preserve"> SUMPRODUCT( --( co_sectors[[#This Row],[sector]] = co_impactTypes[sector] ) )</f>
        <v>3</v>
      </c>
      <c r="O41" s="75">
        <f xml:space="preserve"> IF( co_sectors[[#This Row],[impactYears]] = "N/A", 1, 2 )</f>
        <v>1</v>
      </c>
    </row>
    <row r="42" spans="2:15" x14ac:dyDescent="0.2">
      <c r="B42" s="61">
        <f xml:space="preserve"> ROW( co_sectors[[#This Row],[row_id]] ) - ROW( co_sectors[[#Headers],[row_id]] )</f>
        <v>28</v>
      </c>
      <c r="C42" s="62" t="s">
        <v>63</v>
      </c>
      <c r="D42" s="22" t="s">
        <v>64</v>
      </c>
      <c r="E42" s="12">
        <v>1</v>
      </c>
      <c r="F42" s="14" t="s">
        <v>155</v>
      </c>
      <c r="G42" s="14">
        <v>1</v>
      </c>
      <c r="H42" s="73" t="str" cm="1">
        <f t="array" aca="1" ref="H42" ca="1" xml:space="preserve"> _xlfn.TEXTJOIN( ", ", 1,
  IF( OFFSET( INDIRECT( ADDRESS( ROW( co_variants[[#Headers],[row_id]] ),  COLUMN( co_variants[[#Headers],[sector]] ), , , "controlTables" ) ), 1, 0, MAX( co_variants[row_id] ), 1 ) = co_sectors[[#This Row],[sector]], co_variants[variant_label], "" )
)</f>
        <v>N/A</v>
      </c>
      <c r="I42" s="73" t="str" cm="1">
        <f t="array" ref="I42" xml:space="preserve"> IF( SUMPRODUCT( --( co_sectors[[#This Row],[sector]] = co_impactYears[sector] ), co_impactYears[NA] ) = 1, "N/A", _xlfn.TEXTJOIN( ", ", , co_impactYears[[#Headers],[2010]:[2090]] ) )</f>
        <v>N/A</v>
      </c>
      <c r="J42" s="73" t="str" cm="1">
        <f t="array" aca="1" ref="J42" ca="1" xml:space="preserve">  _xlfn.TEXTJOIN( ", ", 1,
  IF( OFFSET( INDIRECT( ADDRESS( ROW( co_impactTypes[[#Headers],[row_id]] ),  COLUMN( co_impactTypes[[#Headers],[sector]] ), , , "controlTables" ) ), 1, 0, MAX( co_impactTypes[row_id] ), 1 ) = co_sectors[[#This Row],[sector]], co_impactTypes[impactType_label], "" )
)</f>
        <v>N/A</v>
      </c>
      <c r="K42" s="75" t="b" cm="1">
        <f t="array" ref="K42" xml:space="preserve"> SUMPRODUCT( --( co_sectors[[#This Row],[sector]] = co_impactTypes[sector] ), --IF( co_impactTypes[physicalmeasure] = "N/A", 0, 1) ) &gt;= 1</f>
        <v>0</v>
      </c>
      <c r="L42" s="75" t="b" cm="1">
        <f t="array" ref="L42" xml:space="preserve"> OR( SUMPRODUCT( --( co_sectors[[#This Row],[sector]] = co_impactTypes[sector] ), --IF( co_impactTypes[c0] &lt;&gt; 0, 1, 0) ) &gt;= 1,
      SUMPRODUCT( --( co_sectors[[#This Row],[sector]] = co_impactTypes[sector] ), --IF( co_impactTypes[c1] &lt;&gt; 0, 1, 0) ) &gt;= 1 )</f>
        <v>1</v>
      </c>
      <c r="M42" s="75" cm="1">
        <f t="array" ref="M42" xml:space="preserve"> SUMPRODUCT( --( co_sectors[[#This Row],[sector]] = co_variants[sector] ) )</f>
        <v>1</v>
      </c>
      <c r="N42" s="75" cm="1">
        <f t="array" ref="N42" xml:space="preserve"> SUMPRODUCT( --( co_sectors[[#This Row],[sector]] = co_impactTypes[sector] ) )</f>
        <v>1</v>
      </c>
      <c r="O42" s="75">
        <f xml:space="preserve"> IF( co_sectors[[#This Row],[impactYears]] = "N/A", 1, 2 )</f>
        <v>1</v>
      </c>
    </row>
    <row r="43" spans="2:15" ht="22.5" x14ac:dyDescent="0.2">
      <c r="B43" s="61">
        <f xml:space="preserve"> ROW( co_sectors[[#This Row],[row_id]] ) - ROW( co_sectors[[#Headers],[row_id]] )</f>
        <v>29</v>
      </c>
      <c r="C43" s="62" t="s">
        <v>103</v>
      </c>
      <c r="D43" s="22" t="s">
        <v>103</v>
      </c>
      <c r="E43" s="12">
        <v>1</v>
      </c>
      <c r="F43" s="14" t="s">
        <v>155</v>
      </c>
      <c r="G43" s="14">
        <v>1</v>
      </c>
      <c r="H43" s="73" t="str" cm="1">
        <f t="array" aca="1" ref="H43" ca="1" xml:space="preserve"> _xlfn.TEXTJOIN( ", ", 1,
  IF( OFFSET( INDIRECT( ADDRESS( ROW( co_variants[[#Headers],[row_id]] ),  COLUMN( co_variants[[#Headers],[sector]] ), , , "controlTables" ) ), 1, 0, MAX( co_variants[row_id] ), 1 ) = co_sectors[[#This Row],[sector]], co_variants[variant_label], "" )
)</f>
        <v>N/A</v>
      </c>
      <c r="I43" s="73" t="str" cm="1">
        <f t="array" ref="I43" xml:space="preserve"> IF( SUMPRODUCT( --( co_sectors[[#This Row],[sector]] = co_impactYears[sector] ), co_impactYears[NA] ) = 1, "N/A", _xlfn.TEXTJOIN( ", ", , co_impactYears[[#Headers],[2010]:[2090]] ) )</f>
        <v>N/A</v>
      </c>
      <c r="J43" s="73" t="str" cm="1">
        <f t="array" aca="1" ref="J43" ca="1" xml:space="preserve">  _xlfn.TEXTJOIN( ", ", 1,
  IF( OFFSET( INDIRECT( ADDRESS( ROW( co_impactTypes[[#Headers],[row_id]] ),  COLUMN( co_impactTypes[[#Headers],[sector]] ), , , "controlTables" ) ), 1, 0, MAX( co_impactTypes[row_id] ), 1 ) = co_sectors[[#This Row],[sector]], co_impactTypes[impactType_label], "" )
)</f>
        <v>Morbidity, Mortality, Response Costs</v>
      </c>
      <c r="K43" s="75" t="b" cm="1">
        <f t="array" ref="K43" xml:space="preserve"> SUMPRODUCT( --( co_sectors[[#This Row],[sector]] = co_impactTypes[sector] ), --IF( co_impactTypes[physicalmeasure] = "N/A", 0, 1) ) &gt;= 1</f>
        <v>1</v>
      </c>
      <c r="L43" s="75" t="b" cm="1">
        <f t="array" ref="L43" xml:space="preserve"> OR( SUMPRODUCT( --( co_sectors[[#This Row],[sector]] = co_impactTypes[sector] ), --IF( co_impactTypes[c0] &lt;&gt; 0, 1, 0) ) &gt;= 1,
      SUMPRODUCT( --( co_sectors[[#This Row],[sector]] = co_impactTypes[sector] ), --IF( co_impactTypes[c1] &lt;&gt; 0, 1, 0) ) &gt;= 1 )</f>
        <v>1</v>
      </c>
      <c r="M43" s="75" cm="1">
        <f t="array" ref="M43" xml:space="preserve"> SUMPRODUCT( --( co_sectors[[#This Row],[sector]] = co_variants[sector] ) )</f>
        <v>1</v>
      </c>
      <c r="N43" s="75" cm="1">
        <f t="array" ref="N43" xml:space="preserve"> SUMPRODUCT( --( co_sectors[[#This Row],[sector]] = co_impactTypes[sector] ) )</f>
        <v>3</v>
      </c>
      <c r="O43" s="75">
        <f xml:space="preserve"> IF( co_sectors[[#This Row],[impactYears]] = "N/A", 1, 2 )</f>
        <v>1</v>
      </c>
    </row>
    <row r="44" spans="2:15" x14ac:dyDescent="0.2">
      <c r="B44" s="61">
        <f xml:space="preserve"> ROW( co_sectors[[#This Row],[row_id]] ) - ROW( co_sectors[[#Headers],[row_id]] )</f>
        <v>30</v>
      </c>
      <c r="C44" s="65" t="s">
        <v>276</v>
      </c>
      <c r="D44" s="21" t="s">
        <v>278</v>
      </c>
      <c r="E44" s="12">
        <v>1</v>
      </c>
      <c r="F44" s="15" t="s">
        <v>155</v>
      </c>
      <c r="G44" s="15">
        <v>1</v>
      </c>
      <c r="H44" s="73" t="str" cm="1">
        <f t="array" aca="1" ref="H44" ca="1" xml:space="preserve"> _xlfn.TEXTJOIN( ", ", 1,
  IF( OFFSET( INDIRECT( ADDRESS( ROW( co_variants[[#Headers],[row_id]] ),  COLUMN( co_variants[[#Headers],[sector]] ), , , "controlTables" ) ), 1, 0, MAX( co_variants[row_id] ), 1 ) = co_sectors[[#This Row],[sector]], co_variants[variant_label], "" )
)</f>
        <v>N/A</v>
      </c>
      <c r="I44" s="73" t="str" cm="1">
        <f t="array" ref="I44" xml:space="preserve"> IF( SUMPRODUCT( --( co_sectors[[#This Row],[sector]] = co_impactYears[sector] ), co_impactYears[NA] ) = 1, "N/A", _xlfn.TEXTJOIN( ", ", , co_impactYears[[#Headers],[2010]:[2090]] ) )</f>
        <v>N/A</v>
      </c>
      <c r="J44" s="73" t="str" cm="1">
        <f t="array" aca="1" ref="J44" ca="1" xml:space="preserve">  _xlfn.TEXTJOIN( ", ", 1,
  IF( OFFSET( INDIRECT( ADDRESS( ROW( co_impactTypes[[#Headers],[row_id]] ),  COLUMN( co_impactTypes[[#Headers],[sector]] ), , , "controlTables" ) ), 1, 0, MAX( co_impactTypes[row_id] ), 1 ) = co_sectors[[#This Row],[sector]], co_impactTypes[impactType_label], "" )
)</f>
        <v>N/A</v>
      </c>
      <c r="K44" s="75" t="b" cm="1">
        <f t="array" ref="K44" xml:space="preserve"> SUMPRODUCT( --( co_sectors[[#This Row],[sector]] = co_impactTypes[sector] ), --IF( co_impactTypes[physicalmeasure] = "N/A", 0, 1) ) &gt;= 1</f>
        <v>0</v>
      </c>
      <c r="L44" s="75" t="b" cm="1">
        <f t="array" ref="L44" xml:space="preserve"> OR( SUMPRODUCT( --( co_sectors[[#This Row],[sector]] = co_impactTypes[sector] ), --IF( co_impactTypes[c0] &lt;&gt; 0, 1, 0) ) &gt;= 1,
      SUMPRODUCT( --( co_sectors[[#This Row],[sector]] = co_impactTypes[sector] ), --IF( co_impactTypes[c1] &lt;&gt; 0, 1, 0) ) &gt;= 1 )</f>
        <v>1</v>
      </c>
      <c r="M44" s="75" cm="1">
        <f t="array" ref="M44" xml:space="preserve"> SUMPRODUCT( --( co_sectors[[#This Row],[sector]] = co_variants[sector] ) )</f>
        <v>1</v>
      </c>
      <c r="N44" s="75" cm="1">
        <f t="array" ref="N44" xml:space="preserve"> SUMPRODUCT( --( co_sectors[[#This Row],[sector]] = co_impactTypes[sector] ) )</f>
        <v>1</v>
      </c>
      <c r="O44" s="75">
        <f xml:space="preserve"> IF( co_sectors[[#This Row],[impactYears]] = "N/A", 1, 2 )</f>
        <v>1</v>
      </c>
    </row>
    <row r="45" spans="2:15" ht="33.75" x14ac:dyDescent="0.2">
      <c r="B45" s="61">
        <f xml:space="preserve"> ROW( co_sectors[[#This Row],[row_id]] ) - ROW( co_sectors[[#Headers],[row_id]] )</f>
        <v>31</v>
      </c>
      <c r="C45" s="65" t="s">
        <v>24</v>
      </c>
      <c r="D45" s="21" t="s">
        <v>33</v>
      </c>
      <c r="E45" s="12">
        <v>1</v>
      </c>
      <c r="F45" s="14" t="s">
        <v>155</v>
      </c>
      <c r="G45" s="14">
        <v>0</v>
      </c>
      <c r="H45" s="73" t="str" cm="1">
        <f t="array" aca="1" ref="H45" ca="1" xml:space="preserve"> _xlfn.TEXTJOIN( ", ", 1,
  IF( OFFSET( INDIRECT( ADDRESS( ROW( co_variants[[#Headers],[row_id]] ),  COLUMN( co_variants[[#Headers],[sector]] ), , , "controlTables" ) ), 1, 0, MAX( co_variants[row_id] ), 1 ) = co_sectors[[#This Row],[sector]], co_variants[variant_label], "" )
)</f>
        <v>N/A</v>
      </c>
      <c r="I45" s="73" t="str" cm="1">
        <f t="array" ref="I45" xml:space="preserve"> IF( SUMPRODUCT( --( co_sectors[[#This Row],[sector]] = co_impactYears[sector] ), co_impactYears[NA] ) = 1, "N/A", _xlfn.TEXTJOIN( ", ", , co_impactYears[[#Headers],[2010]:[2090]] ) )</f>
        <v>2010, 2090</v>
      </c>
      <c r="J45" s="73" t="str" cm="1">
        <f t="array" aca="1" ref="J45" ca="1" xml:space="preserve">  _xlfn.TEXTJOIN( ", ", 1,
  IF( OFFSET( INDIRECT( ADDRESS( ROW( co_impactTypes[[#Headers],[row_id]] ),  COLUMN( co_impactTypes[[#Headers],[sector]] ), , , "controlTables" ) ), 1, 0, MAX( co_impactTypes[row_id] ), 1 ) = co_sectors[[#This Row],[sector]], co_impactTypes[impactType_label], "" )
)</f>
        <v>Alpine Skiing, Cross-Country Skiing, Snowmobiling</v>
      </c>
      <c r="K45" s="75" t="b" cm="1">
        <f t="array" ref="K45" xml:space="preserve"> SUMPRODUCT( --( co_sectors[[#This Row],[sector]] = co_impactTypes[sector] ), --IF( co_impactTypes[physicalmeasure] = "N/A", 0, 1) ) &gt;= 1</f>
        <v>0</v>
      </c>
      <c r="L45" s="75" t="b" cm="1">
        <f t="array" ref="L45" xml:space="preserve"> OR( SUMPRODUCT( --( co_sectors[[#This Row],[sector]] = co_impactTypes[sector] ), --IF( co_impactTypes[c0] &lt;&gt; 0, 1, 0) ) &gt;= 1,
      SUMPRODUCT( --( co_sectors[[#This Row],[sector]] = co_impactTypes[sector] ), --IF( co_impactTypes[c1] &lt;&gt; 0, 1, 0) ) &gt;= 1 )</f>
        <v>1</v>
      </c>
      <c r="M45" s="75" cm="1">
        <f t="array" ref="M45" xml:space="preserve"> SUMPRODUCT( --( co_sectors[[#This Row],[sector]] = co_variants[sector] ) )</f>
        <v>1</v>
      </c>
      <c r="N45" s="75" cm="1">
        <f t="array" ref="N45" xml:space="preserve"> SUMPRODUCT( --( co_sectors[[#This Row],[sector]] = co_impactTypes[sector] ) )</f>
        <v>3</v>
      </c>
      <c r="O45" s="75">
        <f xml:space="preserve"> IF( co_sectors[[#This Row],[impactYears]] = "N/A", 1, 2 )</f>
        <v>2</v>
      </c>
    </row>
    <row r="50" spans="1:21" ht="15" x14ac:dyDescent="0.25">
      <c r="A50" s="16"/>
      <c r="B50" s="17" t="s">
        <v>256</v>
      </c>
      <c r="C50" s="17"/>
      <c r="D50" s="17"/>
      <c r="E50" s="17"/>
      <c r="F50" s="17"/>
      <c r="G50" s="17"/>
      <c r="H50" s="17"/>
      <c r="I50" s="17"/>
      <c r="J50" s="17"/>
      <c r="K50" s="17"/>
      <c r="L50" s="17"/>
      <c r="M50" s="17"/>
      <c r="N50" s="17"/>
      <c r="O50" s="17"/>
      <c r="P50" s="17"/>
      <c r="Q50" s="17"/>
      <c r="R50" s="17"/>
      <c r="S50" s="17"/>
      <c r="T50" s="17"/>
      <c r="U50" s="17"/>
    </row>
    <row r="52" spans="1:21" x14ac:dyDescent="0.2">
      <c r="B52" s="27" t="s">
        <v>121</v>
      </c>
      <c r="C52" s="27" t="s">
        <v>187</v>
      </c>
      <c r="D52" s="29" t="s">
        <v>194</v>
      </c>
      <c r="E52" s="15" t="s">
        <v>175</v>
      </c>
      <c r="F52" s="29" t="s">
        <v>176</v>
      </c>
    </row>
    <row r="53" spans="1:21" x14ac:dyDescent="0.2">
      <c r="B53" s="4">
        <f xml:space="preserve"> ROW( co_impactYears[[#This Row],[row_id]] ) - ROW(co_impactYears[[#Headers],[row_id]] )</f>
        <v>1</v>
      </c>
      <c r="C53" s="7" t="s">
        <v>97</v>
      </c>
      <c r="D53" s="25">
        <v>1</v>
      </c>
      <c r="E53" s="70" t="s">
        <v>17</v>
      </c>
      <c r="F53" s="25" t="s">
        <v>17</v>
      </c>
    </row>
    <row r="54" spans="1:21" x14ac:dyDescent="0.2">
      <c r="B54" s="4">
        <f xml:space="preserve"> ROW( co_impactYears[[#This Row],[row_id]] ) - ROW(co_impactYears[[#Headers],[row_id]] )</f>
        <v>2</v>
      </c>
      <c r="C54" s="7" t="s">
        <v>240</v>
      </c>
      <c r="D54" s="25">
        <v>1</v>
      </c>
      <c r="E54" s="70" t="s">
        <v>17</v>
      </c>
      <c r="F54" s="25" t="s">
        <v>17</v>
      </c>
    </row>
    <row r="55" spans="1:21" x14ac:dyDescent="0.2">
      <c r="B55" s="4">
        <f xml:space="preserve"> ROW( co_impactYears[[#This Row],[row_id]] ) - ROW(co_impactYears[[#Headers],[row_id]] )</f>
        <v>3</v>
      </c>
      <c r="C55" s="7" t="s">
        <v>380</v>
      </c>
      <c r="D55" s="25">
        <v>1</v>
      </c>
      <c r="E55" s="70" t="s">
        <v>17</v>
      </c>
      <c r="F55" s="25" t="s">
        <v>17</v>
      </c>
    </row>
    <row r="56" spans="1:21" x14ac:dyDescent="0.2">
      <c r="B56" s="4">
        <f xml:space="preserve"> ROW( co_impactYears[[#This Row],[row_id]] ) - ROW(co_impactYears[[#Headers],[row_id]] )</f>
        <v>4</v>
      </c>
      <c r="C56" s="7" t="s">
        <v>307</v>
      </c>
      <c r="D56" s="25">
        <v>1</v>
      </c>
      <c r="E56" s="70" t="s">
        <v>17</v>
      </c>
      <c r="F56" s="25" t="s">
        <v>17</v>
      </c>
    </row>
    <row r="57" spans="1:21" x14ac:dyDescent="0.2">
      <c r="B57" s="4">
        <f xml:space="preserve"> ROW( co_impactYears[[#This Row],[row_id]] ) - ROW(co_impactYears[[#Headers],[row_id]] )</f>
        <v>5</v>
      </c>
      <c r="C57" s="7" t="s">
        <v>308</v>
      </c>
      <c r="D57" s="25">
        <v>1</v>
      </c>
      <c r="E57" s="70" t="s">
        <v>17</v>
      </c>
      <c r="F57" s="25" t="s">
        <v>17</v>
      </c>
    </row>
    <row r="58" spans="1:21" x14ac:dyDescent="0.2">
      <c r="B58" s="4">
        <f xml:space="preserve"> ROW( co_impactYears[[#This Row],[row_id]] ) - ROW(co_impactYears[[#Headers],[row_id]] )</f>
        <v>6</v>
      </c>
      <c r="C58" s="7" t="s">
        <v>381</v>
      </c>
      <c r="D58" s="25">
        <v>1</v>
      </c>
      <c r="E58" s="70" t="s">
        <v>17</v>
      </c>
      <c r="F58" s="25" t="s">
        <v>17</v>
      </c>
    </row>
    <row r="59" spans="1:21" x14ac:dyDescent="0.2">
      <c r="B59" s="4">
        <f xml:space="preserve"> ROW( co_impactYears[[#This Row],[row_id]] ) - ROW(co_impactYears[[#Headers],[row_id]] )</f>
        <v>7</v>
      </c>
      <c r="C59" s="7" t="s">
        <v>21</v>
      </c>
      <c r="D59" s="25">
        <v>1</v>
      </c>
      <c r="E59" s="70" t="s">
        <v>17</v>
      </c>
      <c r="F59" s="25" t="s">
        <v>17</v>
      </c>
    </row>
    <row r="60" spans="1:21" x14ac:dyDescent="0.2">
      <c r="B60" s="4">
        <f xml:space="preserve"> ROW( co_impactYears[[#This Row],[row_id]] ) - ROW(co_impactYears[[#Headers],[row_id]] )</f>
        <v>8</v>
      </c>
      <c r="C60" s="7" t="s">
        <v>57</v>
      </c>
      <c r="D60" s="25">
        <v>1</v>
      </c>
      <c r="E60" s="70" t="s">
        <v>17</v>
      </c>
      <c r="F60" s="25" t="s">
        <v>17</v>
      </c>
    </row>
    <row r="61" spans="1:21" x14ac:dyDescent="0.2">
      <c r="B61" s="4">
        <f xml:space="preserve"> ROW( co_impactYears[[#This Row],[row_id]] ) - ROW(co_impactYears[[#Headers],[row_id]] )</f>
        <v>9</v>
      </c>
      <c r="C61" s="7" t="s">
        <v>237</v>
      </c>
      <c r="D61" s="25">
        <v>1</v>
      </c>
      <c r="E61" s="70" t="s">
        <v>17</v>
      </c>
      <c r="F61" s="25" t="s">
        <v>17</v>
      </c>
    </row>
    <row r="62" spans="1:21" x14ac:dyDescent="0.2">
      <c r="B62" s="4">
        <f xml:space="preserve"> ROW( co_impactYears[[#This Row],[row_id]] ) - ROW(co_impactYears[[#Headers],[row_id]] )</f>
        <v>10</v>
      </c>
      <c r="C62" s="7" t="s">
        <v>15</v>
      </c>
      <c r="D62" s="25" t="s">
        <v>17</v>
      </c>
      <c r="E62" s="70">
        <v>1</v>
      </c>
      <c r="F62" s="25">
        <v>1</v>
      </c>
    </row>
    <row r="63" spans="1:21" x14ac:dyDescent="0.2">
      <c r="B63" s="4">
        <f xml:space="preserve"> ROW( co_impactYears[[#This Row],[row_id]] ) - ROW(co_impactYears[[#Headers],[row_id]] )</f>
        <v>11</v>
      </c>
      <c r="C63" s="7" t="s">
        <v>472</v>
      </c>
      <c r="D63" s="25">
        <v>1</v>
      </c>
      <c r="E63" s="70"/>
      <c r="F63" s="25"/>
    </row>
    <row r="64" spans="1:21" x14ac:dyDescent="0.2">
      <c r="B64" s="4">
        <f xml:space="preserve"> ROW( co_impactYears[[#This Row],[row_id]] ) - ROW(co_impactYears[[#Headers],[row_id]] )</f>
        <v>12</v>
      </c>
      <c r="C64" s="7" t="s">
        <v>58</v>
      </c>
      <c r="D64" s="25">
        <v>1</v>
      </c>
      <c r="E64" s="70" t="s">
        <v>17</v>
      </c>
      <c r="F64" s="25" t="s">
        <v>17</v>
      </c>
    </row>
    <row r="65" spans="2:6" x14ac:dyDescent="0.2">
      <c r="B65" s="4">
        <f xml:space="preserve"> ROW( co_impactYears[[#This Row],[row_id]] ) - ROW(co_impactYears[[#Headers],[row_id]] )</f>
        <v>13</v>
      </c>
      <c r="C65" s="7" t="s">
        <v>19</v>
      </c>
      <c r="D65" s="25">
        <v>1</v>
      </c>
      <c r="E65" s="70" t="s">
        <v>17</v>
      </c>
      <c r="F65" s="25" t="s">
        <v>17</v>
      </c>
    </row>
    <row r="66" spans="2:6" x14ac:dyDescent="0.2">
      <c r="B66" s="4">
        <f xml:space="preserve"> ROW( co_impactYears[[#This Row],[row_id]] ) - ROW(co_impactYears[[#Headers],[row_id]] )</f>
        <v>14</v>
      </c>
      <c r="C66" s="7" t="s">
        <v>18</v>
      </c>
      <c r="D66" s="25">
        <v>1</v>
      </c>
      <c r="E66" s="70" t="s">
        <v>17</v>
      </c>
      <c r="F66" s="25" t="s">
        <v>17</v>
      </c>
    </row>
    <row r="67" spans="2:6" x14ac:dyDescent="0.2">
      <c r="B67" s="4">
        <f xml:space="preserve"> ROW( co_impactYears[[#This Row],[row_id]] ) - ROW(co_impactYears[[#Headers],[row_id]] )</f>
        <v>15</v>
      </c>
      <c r="C67" s="7" t="s">
        <v>488</v>
      </c>
      <c r="D67" s="25">
        <v>1</v>
      </c>
      <c r="E67" s="70"/>
      <c r="F67" s="25"/>
    </row>
    <row r="68" spans="2:6" x14ac:dyDescent="0.2">
      <c r="B68" s="4">
        <f xml:space="preserve"> ROW( co_impactYears[[#This Row],[row_id]] ) - ROW(co_impactYears[[#Headers],[row_id]] )</f>
        <v>16</v>
      </c>
      <c r="C68" s="7" t="s">
        <v>439</v>
      </c>
      <c r="D68" s="25">
        <v>1</v>
      </c>
      <c r="E68" s="70"/>
      <c r="F68" s="25"/>
    </row>
    <row r="69" spans="2:6" x14ac:dyDescent="0.2">
      <c r="B69" s="4">
        <f xml:space="preserve"> ROW( co_impactYears[[#This Row],[row_id]] ) - ROW(co_impactYears[[#Headers],[row_id]] )</f>
        <v>17</v>
      </c>
      <c r="C69" s="7" t="s">
        <v>59</v>
      </c>
      <c r="D69" s="25">
        <v>1</v>
      </c>
      <c r="E69" s="70" t="s">
        <v>17</v>
      </c>
      <c r="F69" s="25" t="s">
        <v>17</v>
      </c>
    </row>
    <row r="70" spans="2:6" x14ac:dyDescent="0.2">
      <c r="B70" s="4">
        <f xml:space="preserve"> ROW( co_impactYears[[#This Row],[row_id]] ) - ROW(co_impactYears[[#Headers],[row_id]] )</f>
        <v>18</v>
      </c>
      <c r="C70" s="7" t="s">
        <v>433</v>
      </c>
      <c r="D70" s="25">
        <v>1</v>
      </c>
      <c r="E70" s="70"/>
      <c r="F70" s="25"/>
    </row>
    <row r="71" spans="2:6" x14ac:dyDescent="0.2">
      <c r="B71" s="4">
        <f xml:space="preserve"> ROW( co_impactYears[[#This Row],[row_id]] ) - ROW(co_impactYears[[#Headers],[row_id]] )</f>
        <v>19</v>
      </c>
      <c r="C71" s="7" t="s">
        <v>432</v>
      </c>
      <c r="D71" s="25">
        <v>1</v>
      </c>
      <c r="E71" s="70"/>
      <c r="F71" s="25"/>
    </row>
    <row r="72" spans="2:6" x14ac:dyDescent="0.2">
      <c r="B72" s="4">
        <f xml:space="preserve"> ROW( co_impactYears[[#This Row],[row_id]] ) - ROW(co_impactYears[[#Headers],[row_id]] )</f>
        <v>20</v>
      </c>
      <c r="C72" s="7" t="s">
        <v>445</v>
      </c>
      <c r="D72" s="25">
        <v>1</v>
      </c>
      <c r="E72" s="70"/>
      <c r="F72" s="25"/>
    </row>
    <row r="73" spans="2:6" x14ac:dyDescent="0.2">
      <c r="B73" s="4">
        <f xml:space="preserve"> ROW( co_impactYears[[#This Row],[row_id]] ) - ROW(co_impactYears[[#Headers],[row_id]] )</f>
        <v>21</v>
      </c>
      <c r="C73" s="7" t="s">
        <v>382</v>
      </c>
      <c r="D73" s="25">
        <v>1</v>
      </c>
      <c r="E73" s="70" t="s">
        <v>17</v>
      </c>
      <c r="F73" s="25" t="s">
        <v>17</v>
      </c>
    </row>
    <row r="74" spans="2:6" x14ac:dyDescent="0.2">
      <c r="B74" s="4">
        <f xml:space="preserve"> ROW( co_impactYears[[#This Row],[row_id]] ) - ROW(co_impactYears[[#Headers],[row_id]] )</f>
        <v>22</v>
      </c>
      <c r="C74" s="7" t="s">
        <v>46</v>
      </c>
      <c r="D74" s="25">
        <v>1</v>
      </c>
      <c r="E74" s="70" t="s">
        <v>17</v>
      </c>
      <c r="F74" s="25" t="s">
        <v>17</v>
      </c>
    </row>
    <row r="75" spans="2:6" x14ac:dyDescent="0.2">
      <c r="B75" s="4">
        <f xml:space="preserve"> ROW( co_impactYears[[#This Row],[row_id]] ) - ROW(co_impactYears[[#Headers],[row_id]] )</f>
        <v>23</v>
      </c>
      <c r="C75" s="7" t="s">
        <v>53</v>
      </c>
      <c r="D75" s="25">
        <v>1</v>
      </c>
      <c r="E75" s="70" t="s">
        <v>17</v>
      </c>
      <c r="F75" s="25" t="s">
        <v>17</v>
      </c>
    </row>
    <row r="76" spans="2:6" x14ac:dyDescent="0.2">
      <c r="B76" s="4">
        <f xml:space="preserve"> ROW( co_impactYears[[#This Row],[row_id]] ) - ROW(co_impactYears[[#Headers],[row_id]] )</f>
        <v>24</v>
      </c>
      <c r="C76" s="7" t="s">
        <v>20</v>
      </c>
      <c r="D76" s="25" t="s">
        <v>17</v>
      </c>
      <c r="E76" s="70">
        <v>1</v>
      </c>
      <c r="F76" s="25">
        <v>1</v>
      </c>
    </row>
    <row r="77" spans="2:6" x14ac:dyDescent="0.2">
      <c r="B77" s="4">
        <f xml:space="preserve"> ROW( co_impactYears[[#This Row],[row_id]] ) - ROW(co_impactYears[[#Headers],[row_id]] )</f>
        <v>25</v>
      </c>
      <c r="C77" s="7" t="s">
        <v>61</v>
      </c>
      <c r="D77" s="25">
        <v>1</v>
      </c>
      <c r="E77" s="70" t="s">
        <v>17</v>
      </c>
      <c r="F77" s="25" t="s">
        <v>17</v>
      </c>
    </row>
    <row r="78" spans="2:6" x14ac:dyDescent="0.2">
      <c r="B78" s="4">
        <f xml:space="preserve"> ROW( co_impactYears[[#This Row],[row_id]] ) - ROW(co_impactYears[[#Headers],[row_id]] )</f>
        <v>26</v>
      </c>
      <c r="C78" s="7" t="s">
        <v>219</v>
      </c>
      <c r="D78" s="25">
        <v>1</v>
      </c>
      <c r="E78" s="70" t="s">
        <v>17</v>
      </c>
      <c r="F78" s="25" t="s">
        <v>17</v>
      </c>
    </row>
    <row r="79" spans="2:6" x14ac:dyDescent="0.2">
      <c r="B79" s="4">
        <f xml:space="preserve"> ROW( co_impactYears[[#This Row],[row_id]] ) - ROW(co_impactYears[[#Headers],[row_id]] )</f>
        <v>27</v>
      </c>
      <c r="C79" s="7" t="s">
        <v>364</v>
      </c>
      <c r="D79" s="25">
        <v>1</v>
      </c>
      <c r="E79" s="70" t="s">
        <v>17</v>
      </c>
      <c r="F79" s="25" t="s">
        <v>17</v>
      </c>
    </row>
    <row r="80" spans="2:6" x14ac:dyDescent="0.2">
      <c r="B80" s="4">
        <f xml:space="preserve"> ROW( co_impactYears[[#This Row],[row_id]] ) - ROW(co_impactYears[[#Headers],[row_id]] )</f>
        <v>28</v>
      </c>
      <c r="C80" s="7" t="s">
        <v>63</v>
      </c>
      <c r="D80" s="25">
        <v>1</v>
      </c>
      <c r="E80" s="70" t="s">
        <v>17</v>
      </c>
      <c r="F80" s="25" t="s">
        <v>17</v>
      </c>
    </row>
    <row r="81" spans="1:21" x14ac:dyDescent="0.2">
      <c r="B81" s="4">
        <f xml:space="preserve"> ROW( co_impactYears[[#This Row],[row_id]] ) - ROW(co_impactYears[[#Headers],[row_id]] )</f>
        <v>29</v>
      </c>
      <c r="C81" s="7" t="s">
        <v>103</v>
      </c>
      <c r="D81" s="25">
        <v>1</v>
      </c>
      <c r="E81" s="70" t="s">
        <v>17</v>
      </c>
      <c r="F81" s="25" t="s">
        <v>17</v>
      </c>
    </row>
    <row r="82" spans="1:21" x14ac:dyDescent="0.2">
      <c r="B82" s="4">
        <f xml:space="preserve"> ROW( co_impactYears[[#This Row],[row_id]] ) - ROW(co_impactYears[[#Headers],[row_id]] )</f>
        <v>30</v>
      </c>
      <c r="C82" s="7" t="s">
        <v>276</v>
      </c>
      <c r="D82" s="25">
        <v>1</v>
      </c>
      <c r="E82" s="70" t="s">
        <v>17</v>
      </c>
      <c r="F82" s="25" t="s">
        <v>17</v>
      </c>
    </row>
    <row r="83" spans="1:21" x14ac:dyDescent="0.2">
      <c r="B83" s="4">
        <f xml:space="preserve"> ROW( co_impactYears[[#This Row],[row_id]] ) - ROW(co_impactYears[[#Headers],[row_id]] )</f>
        <v>31</v>
      </c>
      <c r="C83" s="7" t="s">
        <v>24</v>
      </c>
      <c r="D83" s="25" t="s">
        <v>17</v>
      </c>
      <c r="E83" s="70">
        <v>1</v>
      </c>
      <c r="F83" s="25">
        <v>1</v>
      </c>
    </row>
    <row r="88" spans="1:21" ht="15" x14ac:dyDescent="0.25">
      <c r="A88" s="16"/>
      <c r="B88" s="17" t="s">
        <v>316</v>
      </c>
      <c r="C88" s="17"/>
      <c r="D88" s="17"/>
      <c r="E88" s="17"/>
      <c r="F88" s="17"/>
      <c r="G88" s="17"/>
      <c r="H88" s="17"/>
      <c r="I88" s="17"/>
      <c r="J88" s="17"/>
      <c r="K88" s="17"/>
      <c r="L88" s="17"/>
      <c r="M88" s="17"/>
      <c r="N88" s="17"/>
      <c r="O88" s="17"/>
      <c r="P88" s="17"/>
      <c r="Q88" s="17"/>
      <c r="R88" s="17"/>
      <c r="S88" s="17"/>
      <c r="T88" s="17"/>
      <c r="U88" s="17"/>
    </row>
    <row r="89" spans="1:21" x14ac:dyDescent="0.2">
      <c r="B89" s="3" t="s">
        <v>317</v>
      </c>
      <c r="C89" s="3"/>
      <c r="D89" s="3"/>
      <c r="E89" s="10"/>
      <c r="F89" s="3"/>
      <c r="G89" s="3"/>
      <c r="H89" s="3"/>
      <c r="I89" s="3"/>
      <c r="J89" s="3"/>
      <c r="K89" s="3"/>
    </row>
    <row r="90" spans="1:21" x14ac:dyDescent="0.2">
      <c r="B90" s="3" t="s">
        <v>318</v>
      </c>
      <c r="C90" s="3"/>
      <c r="D90" s="3"/>
      <c r="E90" s="10"/>
      <c r="F90" s="3"/>
      <c r="G90" s="3"/>
      <c r="H90" s="3"/>
      <c r="I90" s="3"/>
      <c r="J90" s="3"/>
      <c r="K90" s="3"/>
    </row>
    <row r="91" spans="1:21" x14ac:dyDescent="0.2">
      <c r="B91" s="3" t="s">
        <v>319</v>
      </c>
      <c r="C91" s="3"/>
      <c r="D91" s="3"/>
      <c r="E91" s="10"/>
      <c r="F91" s="3"/>
      <c r="G91" s="3"/>
      <c r="H91" s="3"/>
      <c r="I91" s="3"/>
      <c r="J91" s="3"/>
      <c r="K91" s="3"/>
    </row>
    <row r="92" spans="1:21" ht="15" x14ac:dyDescent="0.25">
      <c r="B92" s="34" t="s">
        <v>121</v>
      </c>
      <c r="C92" s="34" t="s">
        <v>187</v>
      </c>
      <c r="D92" s="34" t="s">
        <v>500</v>
      </c>
      <c r="E92" s="34" t="s">
        <v>320</v>
      </c>
      <c r="F92" s="29" t="s">
        <v>248</v>
      </c>
      <c r="G92" s="27" t="s">
        <v>132</v>
      </c>
      <c r="H92" s="27" t="s">
        <v>405</v>
      </c>
      <c r="I92" s="5"/>
      <c r="J92" s="5"/>
      <c r="K92" s="5"/>
      <c r="L92" s="5"/>
      <c r="M92" s="5"/>
      <c r="N92" s="5"/>
    </row>
    <row r="93" spans="1:21" ht="15" x14ac:dyDescent="0.25">
      <c r="B93" s="4">
        <f xml:space="preserve"> ROW( co_variants[[#This Row],[row_id]] ) - ROW( co_variants[[#Headers],[row_id]] )</f>
        <v>1</v>
      </c>
      <c r="C93" s="7" t="s">
        <v>97</v>
      </c>
      <c r="D93" s="37">
        <v>2011</v>
      </c>
      <c r="E93" s="24" t="s">
        <v>114</v>
      </c>
      <c r="F93" s="25">
        <v>1</v>
      </c>
      <c r="G93" s="36" t="str">
        <f xml:space="preserve"> INDEX( co_impactTypes[damageAdjName], MATCH( co_variants[[#This Row],[sector]], co_impactTypes[sector], 0 ) ) &amp;
   IF( OR(co_variants[[#This Row],[sector]] = "Roads", co_variants[[#This Row],[sector]] = "ForestryLoss"),"_" &amp; co_variants[[#This Row],[variant]], "" )</f>
        <v>none</v>
      </c>
      <c r="H93" s="32" cm="1">
        <f t="array" ref="H93" xml:space="preserve"> --( SUMPRODUCT( --( co_impactTypes[sector] = co_variants[[#This Row],[sector]] ) ) &gt;= 1 )</f>
        <v>1</v>
      </c>
      <c r="I93"/>
      <c r="J93"/>
      <c r="K93"/>
      <c r="L93"/>
    </row>
    <row r="94" spans="1:21" ht="15" x14ac:dyDescent="0.25">
      <c r="B94" s="4">
        <f xml:space="preserve"> ROW( co_variants[[#This Row],[row_id]] ) - ROW( co_variants[[#Headers],[row_id]] )</f>
        <v>2</v>
      </c>
      <c r="C94" s="7" t="s">
        <v>97</v>
      </c>
      <c r="D94" s="37">
        <v>2040</v>
      </c>
      <c r="E94" s="24" t="s">
        <v>207</v>
      </c>
      <c r="F94" s="25">
        <v>0</v>
      </c>
      <c r="G94" s="36" t="str">
        <f xml:space="preserve"> INDEX( co_impactTypes[damageAdjName], MATCH( co_variants[[#This Row],[sector]], co_impactTypes[sector], 0 ) ) &amp;
   IF( OR(co_variants[[#This Row],[sector]] = "Roads", co_variants[[#This Row],[sector]] = "ForestryLoss"),"_" &amp; co_variants[[#This Row],[variant]], "" )</f>
        <v>none</v>
      </c>
      <c r="H94" s="32" cm="1">
        <f t="array" ref="H94" xml:space="preserve"> --( SUMPRODUCT( --( co_impactTypes[sector] = co_variants[[#This Row],[sector]] ) ) &gt;= 1 )</f>
        <v>1</v>
      </c>
      <c r="I94"/>
      <c r="J94"/>
      <c r="K94"/>
      <c r="L94"/>
    </row>
    <row r="95" spans="1:21" ht="15" x14ac:dyDescent="0.25">
      <c r="B95" s="4">
        <f xml:space="preserve"> ROW( co_variants[[#This Row],[row_id]] ) - ROW( co_variants[[#Headers],[row_id]] )</f>
        <v>3</v>
      </c>
      <c r="C95" s="7" t="s">
        <v>240</v>
      </c>
      <c r="D95" s="37" t="s">
        <v>194</v>
      </c>
      <c r="E95" s="24" t="s">
        <v>38</v>
      </c>
      <c r="F95" s="25">
        <v>1</v>
      </c>
      <c r="G95" s="36" t="str">
        <f xml:space="preserve"> INDEX( co_impactTypes[damageAdjName], MATCH( co_variants[[#This Row],[sector]], co_impactTypes[sector], 0 ) ) &amp;
   IF( OR(co_variants[[#This Row],[sector]] = "Roads", co_variants[[#This Row],[sector]] = "ForestryLoss"),"_" &amp; co_variants[[#This Row],[variant]], "" )</f>
        <v>none</v>
      </c>
      <c r="H95" s="32" cm="1">
        <f t="array" ref="H95" xml:space="preserve"> --( SUMPRODUCT( --( co_impactTypes[sector] = co_variants[[#This Row],[sector]] ) ) &gt;= 1 )</f>
        <v>1</v>
      </c>
      <c r="I95"/>
      <c r="J95"/>
      <c r="K95"/>
      <c r="L95"/>
    </row>
    <row r="96" spans="1:21" ht="15" x14ac:dyDescent="0.25">
      <c r="B96" s="4">
        <f xml:space="preserve"> ROW( co_variants[[#This Row],[row_id]] ) - ROW( co_variants[[#Headers],[row_id]] )</f>
        <v>4</v>
      </c>
      <c r="C96" s="7" t="s">
        <v>380</v>
      </c>
      <c r="D96" s="37" t="s">
        <v>323</v>
      </c>
      <c r="E96" s="24" t="s">
        <v>324</v>
      </c>
      <c r="F96" s="50">
        <v>1</v>
      </c>
      <c r="G96" s="36" t="str">
        <f xml:space="preserve"> INDEX( co_impactTypes[damageAdjName], MATCH( co_variants[[#This Row],[sector]], co_impactTypes[sector], 0 ) ) &amp;
   IF( OR(co_variants[[#This Row],[sector]] = "Roads", co_variants[[#This Row],[sector]] = "ForestryLoss"),"_" &amp; co_variants[[#This Row],[variant]], "" )</f>
        <v>none</v>
      </c>
      <c r="H96" s="32" cm="1">
        <f t="array" ref="H96" xml:space="preserve"> --( SUMPRODUCT( --( co_impactTypes[sector] = co_variants[[#This Row],[sector]] ) ) &gt;= 1 )</f>
        <v>1</v>
      </c>
      <c r="I96"/>
      <c r="J96"/>
      <c r="K96"/>
      <c r="L96"/>
    </row>
    <row r="97" spans="2:12" ht="15" x14ac:dyDescent="0.25">
      <c r="B97" s="4">
        <f xml:space="preserve"> ROW( co_variants[[#This Row],[row_id]] ) - ROW( co_variants[[#Headers],[row_id]] )</f>
        <v>5</v>
      </c>
      <c r="C97" s="7" t="s">
        <v>380</v>
      </c>
      <c r="D97" s="37" t="s">
        <v>409</v>
      </c>
      <c r="E97" s="24" t="s">
        <v>325</v>
      </c>
      <c r="F97" s="50">
        <v>0</v>
      </c>
      <c r="G97" s="36" t="str">
        <f xml:space="preserve"> INDEX( co_impactTypes[damageAdjName], MATCH( co_variants[[#This Row],[sector]], co_impactTypes[sector], 0 ) ) &amp;
   IF( OR(co_variants[[#This Row],[sector]] = "Roads", co_variants[[#This Row],[sector]] = "ForestryLoss"),"_" &amp; co_variants[[#This Row],[variant]], "" )</f>
        <v>none</v>
      </c>
      <c r="H97" s="32" cm="1">
        <f t="array" ref="H97" xml:space="preserve"> --( SUMPRODUCT( --( co_impactTypes[sector] = co_variants[[#This Row],[sector]] ) ) &gt;= 1 )</f>
        <v>1</v>
      </c>
      <c r="I97"/>
      <c r="J97"/>
      <c r="K97"/>
      <c r="L97"/>
    </row>
    <row r="98" spans="2:12" ht="15" x14ac:dyDescent="0.25">
      <c r="B98" s="4">
        <f xml:space="preserve"> ROW( co_variants[[#This Row],[row_id]] ) - ROW( co_variants[[#Headers],[row_id]] )</f>
        <v>6</v>
      </c>
      <c r="C98" s="7" t="s">
        <v>380</v>
      </c>
      <c r="D98" s="37" t="s">
        <v>410</v>
      </c>
      <c r="E98" s="24" t="s">
        <v>326</v>
      </c>
      <c r="F98" s="50">
        <v>0</v>
      </c>
      <c r="G98" s="36" t="str">
        <f xml:space="preserve"> INDEX( co_impactTypes[damageAdjName], MATCH( co_variants[[#This Row],[sector]], co_impactTypes[sector], 0 ) ) &amp;
   IF( OR(co_variants[[#This Row],[sector]] = "Roads", co_variants[[#This Row],[sector]] = "ForestryLoss"),"_" &amp; co_variants[[#This Row],[variant]], "" )</f>
        <v>none</v>
      </c>
      <c r="H98" s="32" cm="1">
        <f t="array" ref="H98" xml:space="preserve"> --( SUMPRODUCT( --( co_impactTypes[sector] = co_variants[[#This Row],[sector]] ) ) &gt;= 1 )</f>
        <v>1</v>
      </c>
      <c r="I98"/>
      <c r="J98"/>
      <c r="K98"/>
      <c r="L98"/>
    </row>
    <row r="99" spans="2:12" ht="15" x14ac:dyDescent="0.25">
      <c r="B99" s="4">
        <f xml:space="preserve"> ROW( co_variants[[#This Row],[row_id]] ) - ROW( co_variants[[#Headers],[row_id]] )</f>
        <v>7</v>
      </c>
      <c r="C99" s="7" t="s">
        <v>307</v>
      </c>
      <c r="D99" s="37" t="s">
        <v>298</v>
      </c>
      <c r="E99" s="37" t="s">
        <v>292</v>
      </c>
      <c r="F99" s="50">
        <v>1</v>
      </c>
      <c r="G99" s="36" t="str">
        <f xml:space="preserve"> INDEX( co_impactTypes[damageAdjName], MATCH( co_variants[[#This Row],[sector]], co_impactTypes[sector], 0 ) ) &amp;
   IF( OR(co_variants[[#This Row],[sector]] = "Roads", co_variants[[#This Row],[sector]] = "ForestryLoss"),"_" &amp; co_variants[[#This Row],[variant]], "" )</f>
        <v>none</v>
      </c>
      <c r="H99" s="32" cm="1">
        <f t="array" ref="H99" xml:space="preserve"> --( SUMPRODUCT( --( co_impactTypes[sector] = co_variants[[#This Row],[sector]] ) ) &gt;= 1 )</f>
        <v>1</v>
      </c>
      <c r="I99"/>
      <c r="J99"/>
      <c r="K99"/>
      <c r="L99"/>
    </row>
    <row r="100" spans="2:12" ht="15" x14ac:dyDescent="0.25">
      <c r="B100" s="4">
        <f xml:space="preserve"> ROW( co_variants[[#This Row],[row_id]] ) - ROW( co_variants[[#Headers],[row_id]] )</f>
        <v>8</v>
      </c>
      <c r="C100" s="7" t="s">
        <v>307</v>
      </c>
      <c r="D100" s="37" t="s">
        <v>299</v>
      </c>
      <c r="E100" s="37" t="s">
        <v>291</v>
      </c>
      <c r="F100" s="50">
        <v>0</v>
      </c>
      <c r="G100" s="36" t="str">
        <f xml:space="preserve"> INDEX( co_impactTypes[damageAdjName], MATCH( co_variants[[#This Row],[sector]], co_impactTypes[sector], 0 ) ) &amp;
   IF( OR(co_variants[[#This Row],[sector]] = "Roads", co_variants[[#This Row],[sector]] = "ForestryLoss"),"_" &amp; co_variants[[#This Row],[variant]], "" )</f>
        <v>none</v>
      </c>
      <c r="H100" s="32" cm="1">
        <f t="array" ref="H100" xml:space="preserve"> --( SUMPRODUCT( --( co_impactTypes[sector] = co_variants[[#This Row],[sector]] ) ) &gt;= 1 )</f>
        <v>1</v>
      </c>
      <c r="I100"/>
      <c r="J100"/>
      <c r="K100"/>
      <c r="L100"/>
    </row>
    <row r="101" spans="2:12" ht="15" x14ac:dyDescent="0.25">
      <c r="B101" s="4">
        <f xml:space="preserve"> ROW( co_variants[[#This Row],[row_id]] ) - ROW( co_variants[[#Headers],[row_id]] )</f>
        <v>9</v>
      </c>
      <c r="C101" s="7" t="s">
        <v>308</v>
      </c>
      <c r="D101" s="37" t="s">
        <v>194</v>
      </c>
      <c r="E101" s="24" t="s">
        <v>38</v>
      </c>
      <c r="F101" s="50">
        <v>1</v>
      </c>
      <c r="G101" s="36" t="str">
        <f xml:space="preserve"> INDEX( co_impactTypes[damageAdjName], MATCH( co_variants[[#This Row],[sector]], co_impactTypes[sector], 0 ) ) &amp;
   IF( OR(co_variants[[#This Row],[sector]] = "Roads", co_variants[[#This Row],[sector]] = "ForestryLoss"),"_" &amp; co_variants[[#This Row],[variant]], "" )</f>
        <v>none</v>
      </c>
      <c r="H101" s="32" cm="1">
        <f t="array" ref="H101" xml:space="preserve"> --( SUMPRODUCT( --( co_impactTypes[sector] = co_variants[[#This Row],[sector]] ) ) &gt;= 1 )</f>
        <v>1</v>
      </c>
      <c r="I101"/>
      <c r="J101"/>
      <c r="K101"/>
      <c r="L101"/>
    </row>
    <row r="102" spans="2:12" ht="15" x14ac:dyDescent="0.25">
      <c r="B102" s="4">
        <f xml:space="preserve"> ROW( co_variants[[#This Row],[row_id]] ) - ROW( co_variants[[#Headers],[row_id]] )</f>
        <v>10</v>
      </c>
      <c r="C102" s="7" t="s">
        <v>381</v>
      </c>
      <c r="D102" s="37" t="s">
        <v>327</v>
      </c>
      <c r="E102" s="24" t="s">
        <v>328</v>
      </c>
      <c r="F102" s="50">
        <v>1</v>
      </c>
      <c r="G102" s="36" t="str">
        <f xml:space="preserve"> INDEX( co_impactTypes[damageAdjName], MATCH( co_variants[[#This Row],[sector]], co_impactTypes[sector], 0 ) ) &amp;
   IF( OR(co_variants[[#This Row],[sector]] = "Roads", co_variants[[#This Row],[sector]] = "ForestryLoss"),"_" &amp; co_variants[[#This Row],[variant]], "" )</f>
        <v>none</v>
      </c>
      <c r="H102" s="32" cm="1">
        <f t="array" ref="H102" xml:space="preserve"> --( SUMPRODUCT( --( co_impactTypes[sector] = co_variants[[#This Row],[sector]] ) ) &gt;= 1 )</f>
        <v>1</v>
      </c>
      <c r="I102"/>
      <c r="J102"/>
      <c r="K102"/>
      <c r="L102"/>
    </row>
    <row r="103" spans="2:12" ht="15" x14ac:dyDescent="0.25">
      <c r="B103" s="4">
        <f xml:space="preserve"> ROW( co_variants[[#This Row],[row_id]] ) - ROW( co_variants[[#Headers],[row_id]] )</f>
        <v>11</v>
      </c>
      <c r="C103" s="7" t="s">
        <v>381</v>
      </c>
      <c r="D103" s="37" t="s">
        <v>409</v>
      </c>
      <c r="E103" s="24" t="s">
        <v>325</v>
      </c>
      <c r="F103" s="50">
        <v>0</v>
      </c>
      <c r="G103" s="36" t="str">
        <f xml:space="preserve"> INDEX( co_impactTypes[damageAdjName], MATCH( co_variants[[#This Row],[sector]], co_impactTypes[sector], 0 ) ) &amp;
   IF( OR(co_variants[[#This Row],[sector]] = "Roads", co_variants[[#This Row],[sector]] = "ForestryLoss"),"_" &amp; co_variants[[#This Row],[variant]], "" )</f>
        <v>none</v>
      </c>
      <c r="H103" s="32" cm="1">
        <f t="array" ref="H103" xml:space="preserve"> --( SUMPRODUCT( --( co_impactTypes[sector] = co_variants[[#This Row],[sector]] ) ) &gt;= 1 )</f>
        <v>1</v>
      </c>
      <c r="I103"/>
      <c r="J103"/>
      <c r="K103"/>
      <c r="L103"/>
    </row>
    <row r="104" spans="2:12" ht="15" x14ac:dyDescent="0.25">
      <c r="B104" s="4">
        <f xml:space="preserve"> ROW( co_variants[[#This Row],[row_id]] ) - ROW( co_variants[[#Headers],[row_id]] )</f>
        <v>12</v>
      </c>
      <c r="C104" s="7" t="s">
        <v>381</v>
      </c>
      <c r="D104" s="37" t="s">
        <v>410</v>
      </c>
      <c r="E104" s="24" t="s">
        <v>326</v>
      </c>
      <c r="F104" s="50">
        <v>0</v>
      </c>
      <c r="G104" s="36" t="str">
        <f xml:space="preserve"> INDEX( co_impactTypes[damageAdjName], MATCH( co_variants[[#This Row],[sector]], co_impactTypes[sector], 0 ) ) &amp;
   IF( OR(co_variants[[#This Row],[sector]] = "Roads", co_variants[[#This Row],[sector]] = "ForestryLoss"),"_" &amp; co_variants[[#This Row],[variant]], "" )</f>
        <v>none</v>
      </c>
      <c r="H104" s="32" cm="1">
        <f t="array" ref="H104" xml:space="preserve"> --( SUMPRODUCT( --( co_impactTypes[sector] = co_variants[[#This Row],[sector]] ) ) &gt;= 1 )</f>
        <v>1</v>
      </c>
      <c r="I104"/>
      <c r="J104"/>
      <c r="K104"/>
      <c r="L104"/>
    </row>
    <row r="105" spans="2:12" ht="15" x14ac:dyDescent="0.25">
      <c r="B105" s="4">
        <f xml:space="preserve"> ROW( co_variants[[#This Row],[row_id]] ) - ROW( co_variants[[#Headers],[row_id]] )</f>
        <v>13</v>
      </c>
      <c r="C105" s="7" t="s">
        <v>21</v>
      </c>
      <c r="D105" s="37" t="s">
        <v>22</v>
      </c>
      <c r="E105" s="24" t="s">
        <v>374</v>
      </c>
      <c r="F105" s="25">
        <v>0</v>
      </c>
      <c r="G105" s="36" t="str">
        <f xml:space="preserve"> INDEX( co_impactTypes[damageAdjName], MATCH( co_variants[[#This Row],[sector]], co_impactTypes[sector], 0 ) ) &amp;
   IF( OR(co_variants[[#This Row],[sector]] = "Roads", co_variants[[#This Row],[sector]] = "ForestryLoss"),"_" &amp; co_variants[[#This Row],[variant]], "" )</f>
        <v>none</v>
      </c>
      <c r="H105" s="32" cm="1">
        <f t="array" ref="H105" xml:space="preserve"> --( SUMPRODUCT( --( co_impactTypes[sector] = co_variants[[#This Row],[sector]] ) ) &gt;= 1 )</f>
        <v>1</v>
      </c>
      <c r="I105"/>
      <c r="J105"/>
      <c r="K105"/>
      <c r="L105"/>
    </row>
    <row r="106" spans="2:12" ht="15" x14ac:dyDescent="0.25">
      <c r="B106" s="4">
        <f xml:space="preserve"> ROW( co_variants[[#This Row],[row_id]] ) - ROW( co_variants[[#Headers],[row_id]] )</f>
        <v>14</v>
      </c>
      <c r="C106" s="7" t="s">
        <v>21</v>
      </c>
      <c r="D106" s="55" t="s">
        <v>45</v>
      </c>
      <c r="E106" s="24" t="s">
        <v>118</v>
      </c>
      <c r="F106" s="25">
        <v>0</v>
      </c>
      <c r="G106" s="36" t="str">
        <f xml:space="preserve"> INDEX( co_impactTypes[damageAdjName], MATCH( co_variants[[#This Row],[sector]], co_impactTypes[sector], 0 ) ) &amp;
   IF( OR(co_variants[[#This Row],[sector]] = "Roads", co_variants[[#This Row],[sector]] = "ForestryLoss"),"_" &amp; co_variants[[#This Row],[variant]], "" )</f>
        <v>none</v>
      </c>
      <c r="H106" s="32" cm="1">
        <f t="array" ref="H106" xml:space="preserve"> --( SUMPRODUCT( --( co_impactTypes[sector] = co_variants[[#This Row],[sector]] ) ) &gt;= 1 )</f>
        <v>1</v>
      </c>
      <c r="I106"/>
      <c r="J106"/>
      <c r="K106"/>
      <c r="L106"/>
    </row>
    <row r="107" spans="2:12" ht="15" x14ac:dyDescent="0.25">
      <c r="B107" s="4">
        <f xml:space="preserve"> ROW( co_variants[[#This Row],[row_id]] ) - ROW( co_variants[[#Headers],[row_id]] )</f>
        <v>15</v>
      </c>
      <c r="C107" s="7" t="s">
        <v>21</v>
      </c>
      <c r="D107" s="55" t="s">
        <v>23</v>
      </c>
      <c r="E107" s="24" t="s">
        <v>119</v>
      </c>
      <c r="F107" s="25">
        <v>1</v>
      </c>
      <c r="G107" s="36" t="str">
        <f xml:space="preserve"> INDEX( co_impactTypes[damageAdjName], MATCH( co_variants[[#This Row],[sector]], co_impactTypes[sector], 0 ) ) &amp;
   IF( OR(co_variants[[#This Row],[sector]] = "Roads", co_variants[[#This Row],[sector]] = "ForestryLoss"),"_" &amp; co_variants[[#This Row],[variant]], "" )</f>
        <v>none</v>
      </c>
      <c r="H107" s="32" cm="1">
        <f t="array" ref="H107" xml:space="preserve"> --( SUMPRODUCT( --( co_impactTypes[sector] = co_variants[[#This Row],[sector]] ) ) &gt;= 1 )</f>
        <v>1</v>
      </c>
      <c r="I107"/>
      <c r="J107"/>
      <c r="K107"/>
      <c r="L107"/>
    </row>
    <row r="108" spans="2:12" ht="15" x14ac:dyDescent="0.25">
      <c r="B108" s="4">
        <f xml:space="preserve"> ROW( co_variants[[#This Row],[row_id]] ) - ROW( co_variants[[#Headers],[row_id]] )</f>
        <v>16</v>
      </c>
      <c r="C108" s="7" t="s">
        <v>57</v>
      </c>
      <c r="D108" s="37" t="s">
        <v>194</v>
      </c>
      <c r="E108" s="24" t="s">
        <v>38</v>
      </c>
      <c r="F108" s="25">
        <v>1</v>
      </c>
      <c r="G108" s="36" t="str">
        <f xml:space="preserve"> INDEX( co_impactTypes[damageAdjName], MATCH( co_variants[[#This Row],[sector]], co_impactTypes[sector], 0 ) ) &amp;
   IF( OR(co_variants[[#This Row],[sector]] = "Roads", co_variants[[#This Row],[sector]] = "ForestryLoss"),"_" &amp; co_variants[[#This Row],[variant]], "" )</f>
        <v>elecSD_refCosts</v>
      </c>
      <c r="H108" s="32" cm="1">
        <f t="array" ref="H108" xml:space="preserve"> --( SUMPRODUCT( --( co_impactTypes[sector] = co_variants[[#This Row],[sector]] ) ) &gt;= 1 )</f>
        <v>1</v>
      </c>
      <c r="I108"/>
      <c r="J108"/>
      <c r="K108"/>
      <c r="L108"/>
    </row>
    <row r="109" spans="2:12" ht="15" x14ac:dyDescent="0.25">
      <c r="B109" s="4">
        <f xml:space="preserve"> ROW( co_variants[[#This Row],[row_id]] ) - ROW( co_variants[[#Headers],[row_id]] )</f>
        <v>17</v>
      </c>
      <c r="C109" s="7" t="s">
        <v>237</v>
      </c>
      <c r="D109" s="37" t="s">
        <v>22</v>
      </c>
      <c r="E109" s="24" t="s">
        <v>374</v>
      </c>
      <c r="F109" s="25">
        <v>0</v>
      </c>
      <c r="G109" s="36" t="str">
        <f xml:space="preserve"> INDEX( co_impactTypes[damageAdjName], MATCH( co_variants[[#This Row],[sector]], co_impactTypes[sector], 0 ) ) &amp;
   IF( OR(co_variants[[#This Row],[sector]] = "Roads", co_variants[[#This Row],[sector]] = "ForestryLoss"),"_" &amp; co_variants[[#This Row],[variant]], "" )</f>
        <v>elecTD_growthFactor</v>
      </c>
      <c r="H109" s="32" cm="1">
        <f t="array" ref="H109" xml:space="preserve"> --( SUMPRODUCT( --( co_impactTypes[sector] = co_variants[[#This Row],[sector]] ) ) &gt;= 1 )</f>
        <v>1</v>
      </c>
      <c r="I109"/>
      <c r="J109"/>
      <c r="K109"/>
      <c r="L109"/>
    </row>
    <row r="110" spans="2:12" ht="15" x14ac:dyDescent="0.25">
      <c r="B110" s="4">
        <f xml:space="preserve"> ROW( co_variants[[#This Row],[row_id]] ) - ROW( co_variants[[#Headers],[row_id]] )</f>
        <v>18</v>
      </c>
      <c r="C110" s="7" t="s">
        <v>237</v>
      </c>
      <c r="D110" s="55" t="s">
        <v>45</v>
      </c>
      <c r="E110" s="24" t="s">
        <v>118</v>
      </c>
      <c r="F110" s="25">
        <v>0</v>
      </c>
      <c r="G110" s="36" t="str">
        <f xml:space="preserve"> INDEX( co_impactTypes[damageAdjName], MATCH( co_variants[[#This Row],[sector]], co_impactTypes[sector], 0 ) ) &amp;
   IF( OR(co_variants[[#This Row],[sector]] = "Roads", co_variants[[#This Row],[sector]] = "ForestryLoss"),"_" &amp; co_variants[[#This Row],[variant]], "" )</f>
        <v>elecTD_growthFactor</v>
      </c>
      <c r="H110" s="32" cm="1">
        <f t="array" ref="H110" xml:space="preserve"> --( SUMPRODUCT( --( co_impactTypes[sector] = co_variants[[#This Row],[sector]] ) ) &gt;= 1 )</f>
        <v>1</v>
      </c>
      <c r="I110"/>
      <c r="J110"/>
      <c r="K110"/>
      <c r="L110"/>
    </row>
    <row r="111" spans="2:12" ht="15" x14ac:dyDescent="0.25">
      <c r="B111" s="4">
        <f xml:space="preserve"> ROW( co_variants[[#This Row],[row_id]] ) - ROW( co_variants[[#Headers],[row_id]] )</f>
        <v>19</v>
      </c>
      <c r="C111" s="7" t="s">
        <v>237</v>
      </c>
      <c r="D111" s="55" t="s">
        <v>23</v>
      </c>
      <c r="E111" s="24" t="s">
        <v>119</v>
      </c>
      <c r="F111" s="25">
        <v>1</v>
      </c>
      <c r="G111" s="36" t="str">
        <f xml:space="preserve"> INDEX( co_impactTypes[damageAdjName], MATCH( co_variants[[#This Row],[sector]], co_impactTypes[sector], 0 ) ) &amp;
   IF( OR(co_variants[[#This Row],[sector]] = "Roads", co_variants[[#This Row],[sector]] = "ForestryLoss"),"_" &amp; co_variants[[#This Row],[variant]], "" )</f>
        <v>elecTD_growthFactor</v>
      </c>
      <c r="H111" s="32" cm="1">
        <f t="array" ref="H111" xml:space="preserve"> --( SUMPRODUCT( --( co_impactTypes[sector] = co_variants[[#This Row],[sector]] ) ) &gt;= 1 )</f>
        <v>1</v>
      </c>
      <c r="I111"/>
      <c r="J111"/>
      <c r="K111"/>
      <c r="L111"/>
    </row>
    <row r="112" spans="2:12" ht="15" x14ac:dyDescent="0.25">
      <c r="B112" s="4">
        <f xml:space="preserve"> ROW( co_variants[[#This Row],[row_id]] ) - ROW( co_variants[[#Headers],[row_id]] )</f>
        <v>20</v>
      </c>
      <c r="C112" s="7" t="s">
        <v>15</v>
      </c>
      <c r="D112" s="37" t="s">
        <v>195</v>
      </c>
      <c r="E112" s="24" t="s">
        <v>115</v>
      </c>
      <c r="F112" s="25">
        <v>0</v>
      </c>
      <c r="G112" s="36" t="str">
        <f xml:space="preserve"> INDEX( co_impactTypes[damageAdjName], MATCH( co_variants[[#This Row],[sector]], co_impactTypes[sector], 0 ) ) &amp;
   IF( OR(co_variants[[#This Row],[sector]] = "Roads", co_variants[[#This Row],[sector]] = "ForestryLoss"),"_" &amp; co_variants[[#This Row],[variant]], "" )</f>
        <v>none</v>
      </c>
      <c r="H112" s="32" cm="1">
        <f t="array" ref="H112" xml:space="preserve"> --( SUMPRODUCT( --( co_impactTypes[sector] = co_variants[[#This Row],[sector]] ) ) &gt;= 1 )</f>
        <v>1</v>
      </c>
      <c r="I112"/>
      <c r="J112"/>
      <c r="K112"/>
      <c r="L112"/>
    </row>
    <row r="113" spans="2:12" ht="15" x14ac:dyDescent="0.25">
      <c r="B113" s="4">
        <f xml:space="preserve"> ROW( co_variants[[#This Row],[row_id]] ) - ROW( co_variants[[#Headers],[row_id]] )</f>
        <v>21</v>
      </c>
      <c r="C113" s="7" t="s">
        <v>15</v>
      </c>
      <c r="D113" s="37" t="s">
        <v>22</v>
      </c>
      <c r="E113" s="24" t="s">
        <v>374</v>
      </c>
      <c r="F113" s="25">
        <v>1</v>
      </c>
      <c r="G113" s="36" t="str">
        <f xml:space="preserve"> INDEX( co_impactTypes[damageAdjName], MATCH( co_variants[[#This Row],[sector]], co_impactTypes[sector], 0 ) ) &amp;
   IF( OR(co_variants[[#This Row],[sector]] = "Roads", co_variants[[#This Row],[sector]] = "ForestryLoss"),"_" &amp; co_variants[[#This Row],[variant]], "" )</f>
        <v>none</v>
      </c>
      <c r="H113" s="32" cm="1">
        <f t="array" ref="H113" xml:space="preserve"> --( SUMPRODUCT( --( co_impactTypes[sector] = co_variants[[#This Row],[sector]] ) ) &gt;= 1 )</f>
        <v>1</v>
      </c>
      <c r="I113"/>
      <c r="J113"/>
      <c r="K113"/>
      <c r="L113"/>
    </row>
    <row r="114" spans="2:12" ht="15" x14ac:dyDescent="0.25">
      <c r="B114" s="4">
        <f xml:space="preserve"> ROW( co_variants[[#This Row],[row_id]] ) - ROW( co_variants[[#Headers],[row_id]] )</f>
        <v>22</v>
      </c>
      <c r="C114" s="7" t="s">
        <v>472</v>
      </c>
      <c r="D114" s="37" t="s">
        <v>474</v>
      </c>
      <c r="E114" s="24" t="s">
        <v>476</v>
      </c>
      <c r="F114" s="50">
        <v>1</v>
      </c>
      <c r="G114" s="36" t="str">
        <f xml:space="preserve"> INDEX( co_impactTypes[damageAdjName], MATCH( co_variants[[#This Row],[sector]], co_impactTypes[sector], 0 ) ) &amp;
   IF( OR(co_variants[[#This Row],[sector]] = "Roads", co_variants[[#This Row],[sector]] = "ForestryLoss"),"_" &amp; co_variants[[#This Row],[variant]], "" )</f>
        <v>forestryLoss_growthFactor_SSP2</v>
      </c>
      <c r="H114" s="32" cm="1">
        <f t="array" ref="H114" xml:space="preserve"> --( SUMPRODUCT( --( co_impactTypes[sector] = co_variants[[#This Row],[sector]] ) ) &gt;= 1 )</f>
        <v>1</v>
      </c>
      <c r="I114"/>
      <c r="J114"/>
      <c r="K114"/>
      <c r="L114"/>
    </row>
    <row r="115" spans="2:12" ht="15" x14ac:dyDescent="0.25">
      <c r="B115" s="4">
        <f xml:space="preserve"> ROW( co_variants[[#This Row],[row_id]] ) - ROW( co_variants[[#Headers],[row_id]] )</f>
        <v>23</v>
      </c>
      <c r="C115" s="7" t="s">
        <v>472</v>
      </c>
      <c r="D115" s="37" t="s">
        <v>475</v>
      </c>
      <c r="E115" s="24" t="s">
        <v>477</v>
      </c>
      <c r="F115" s="50">
        <v>0</v>
      </c>
      <c r="G115" s="36" t="str">
        <f xml:space="preserve"> INDEX( co_impactTypes[damageAdjName], MATCH( co_variants[[#This Row],[sector]], co_impactTypes[sector], 0 ) ) &amp;
   IF( OR(co_variants[[#This Row],[sector]] = "Roads", co_variants[[#This Row],[sector]] = "ForestryLoss"),"_" &amp; co_variants[[#This Row],[variant]], "" )</f>
        <v>forestryLoss_growthFactor_SSP5</v>
      </c>
      <c r="H115" s="32" cm="1">
        <f t="array" ref="H115" xml:space="preserve"> --( SUMPRODUCT( --( co_impactTypes[sector] = co_variants[[#This Row],[sector]] ) ) &gt;= 1 )</f>
        <v>1</v>
      </c>
      <c r="I115"/>
      <c r="J115"/>
      <c r="K115"/>
      <c r="L115"/>
    </row>
    <row r="116" spans="2:12" ht="15" x14ac:dyDescent="0.25">
      <c r="B116" s="4">
        <f xml:space="preserve"> ROW( co_variants[[#This Row],[row_id]] ) - ROW( co_variants[[#Headers],[row_id]] )</f>
        <v>24</v>
      </c>
      <c r="C116" s="7" t="s">
        <v>58</v>
      </c>
      <c r="D116" s="37" t="s">
        <v>67</v>
      </c>
      <c r="E116" s="24" t="s">
        <v>116</v>
      </c>
      <c r="F116" s="25">
        <v>0</v>
      </c>
      <c r="G116" s="36" t="str">
        <f xml:space="preserve"> INDEX( co_impactTypes[damageAdjName], MATCH( co_variants[[#This Row],[sector]], co_impactTypes[sector], 0 ) ) &amp;
   IF( OR(co_variants[[#This Row],[sector]] = "Roads", co_variants[[#This Row],[sector]] = "ForestryLoss"),"_" &amp; co_variants[[#This Row],[variant]], "" )</f>
        <v>none</v>
      </c>
      <c r="H116" s="32" cm="1">
        <f t="array" ref="H116" xml:space="preserve"> --( SUMPRODUCT( --( co_impactTypes[sector] = co_variants[[#This Row],[sector]] ) ) &gt;= 1 )</f>
        <v>1</v>
      </c>
      <c r="I116"/>
      <c r="J116"/>
      <c r="K116"/>
      <c r="L116"/>
    </row>
    <row r="117" spans="2:12" ht="15" x14ac:dyDescent="0.25">
      <c r="B117" s="4">
        <f xml:space="preserve"> ROW( co_variants[[#This Row],[row_id]] ) - ROW( co_variants[[#Headers],[row_id]] )</f>
        <v>25</v>
      </c>
      <c r="C117" s="7" t="s">
        <v>58</v>
      </c>
      <c r="D117" s="37" t="s">
        <v>22</v>
      </c>
      <c r="E117" s="24" t="s">
        <v>374</v>
      </c>
      <c r="F117" s="25">
        <v>0</v>
      </c>
      <c r="G117" s="36" t="str">
        <f xml:space="preserve"> INDEX( co_impactTypes[damageAdjName], MATCH( co_variants[[#This Row],[sector]], co_impactTypes[sector], 0 ) ) &amp;
   IF( OR(co_variants[[#This Row],[sector]] = "Roads", co_variants[[#This Row],[sector]] = "ForestryLoss"),"_" &amp; co_variants[[#This Row],[variant]], "" )</f>
        <v>none</v>
      </c>
      <c r="H117" s="32" cm="1">
        <f t="array" ref="H117" xml:space="preserve"> --( SUMPRODUCT( --( co_impactTypes[sector] = co_variants[[#This Row],[sector]] ) ) &gt;= 1 )</f>
        <v>1</v>
      </c>
      <c r="I117"/>
      <c r="J117"/>
      <c r="K117"/>
      <c r="L117"/>
    </row>
    <row r="118" spans="2:12" ht="22.5" x14ac:dyDescent="0.25">
      <c r="B118" s="4">
        <f xml:space="preserve"> ROW( co_variants[[#This Row],[row_id]] ) - ROW( co_variants[[#Headers],[row_id]] )</f>
        <v>26</v>
      </c>
      <c r="C118" s="7" t="s">
        <v>58</v>
      </c>
      <c r="D118" s="55" t="s">
        <v>66</v>
      </c>
      <c r="E118" s="24" t="s">
        <v>120</v>
      </c>
      <c r="F118" s="25">
        <v>1</v>
      </c>
      <c r="G118" s="36" t="str">
        <f xml:space="preserve"> INDEX( co_impactTypes[damageAdjName], MATCH( co_variants[[#This Row],[sector]], co_impactTypes[sector], 0 ) ) &amp;
   IF( OR(co_variants[[#This Row],[sector]] = "Roads", co_variants[[#This Row],[sector]] = "ForestryLoss"),"_" &amp; co_variants[[#This Row],[variant]], "" )</f>
        <v>none</v>
      </c>
      <c r="H118" s="32" cm="1">
        <f t="array" ref="H118" xml:space="preserve"> --( SUMPRODUCT( --( co_impactTypes[sector] = co_variants[[#This Row],[sector]] ) ) &gt;= 1 )</f>
        <v>1</v>
      </c>
      <c r="I118"/>
      <c r="J118"/>
      <c r="K118"/>
      <c r="L118"/>
    </row>
    <row r="119" spans="2:12" ht="15" x14ac:dyDescent="0.25">
      <c r="B119" s="4">
        <f xml:space="preserve"> ROW( co_variants[[#This Row],[row_id]] ) - ROW( co_variants[[#Headers],[row_id]] )</f>
        <v>27</v>
      </c>
      <c r="C119" s="7" t="s">
        <v>19</v>
      </c>
      <c r="D119" s="37" t="s">
        <v>194</v>
      </c>
      <c r="E119" s="24" t="s">
        <v>38</v>
      </c>
      <c r="F119" s="25">
        <v>1</v>
      </c>
      <c r="G119" s="36" t="str">
        <f xml:space="preserve"> INDEX( co_impactTypes[damageAdjName], MATCH( co_variants[[#This Row],[sector]], co_impactTypes[sector], 0 ) ) &amp;
   IF( OR(co_variants[[#This Row],[sector]] = "Roads", co_variants[[#This Row],[sector]] = "ForestryLoss"),"_" &amp; co_variants[[#This Row],[variant]], "" )</f>
        <v>none</v>
      </c>
      <c r="H119" s="32" cm="1">
        <f t="array" ref="H119" xml:space="preserve"> --( SUMPRODUCT( --( co_impactTypes[sector] = co_variants[[#This Row],[sector]] ) ) &gt;= 1 )</f>
        <v>1</v>
      </c>
      <c r="I119"/>
      <c r="J119"/>
      <c r="K119"/>
      <c r="L119"/>
    </row>
    <row r="120" spans="2:12" ht="15" x14ac:dyDescent="0.25">
      <c r="B120" s="4">
        <f xml:space="preserve"> ROW( co_variants[[#This Row],[row_id]] ) - ROW( co_variants[[#Headers],[row_id]] )</f>
        <v>28</v>
      </c>
      <c r="C120" s="7" t="s">
        <v>18</v>
      </c>
      <c r="D120" s="37" t="s">
        <v>194</v>
      </c>
      <c r="E120" s="24" t="s">
        <v>38</v>
      </c>
      <c r="F120" s="25">
        <v>1</v>
      </c>
      <c r="G120" s="36" t="str">
        <f xml:space="preserve"> INDEX( co_impactTypes[damageAdjName], MATCH( co_variants[[#This Row],[sector]], co_impactTypes[sector], 0 ) ) &amp;
   IF( OR(co_variants[[#This Row],[sector]] = "Roads", co_variants[[#This Row],[sector]] = "ForestryLoss"),"_" &amp; co_variants[[#This Row],[variant]], "" )</f>
        <v>none</v>
      </c>
      <c r="H120" s="32" cm="1">
        <f t="array" ref="H120" xml:space="preserve"> --( SUMPRODUCT( --( co_impactTypes[sector] = co_variants[[#This Row],[sector]] ) ) &gt;= 1 )</f>
        <v>1</v>
      </c>
      <c r="I120"/>
      <c r="J120"/>
      <c r="K120"/>
      <c r="L120"/>
    </row>
    <row r="121" spans="2:12" ht="15" x14ac:dyDescent="0.25">
      <c r="B121" s="4">
        <f xml:space="preserve"> ROW( co_variants[[#This Row],[row_id]] ) - ROW( co_variants[[#Headers],[row_id]] )</f>
        <v>29</v>
      </c>
      <c r="C121" s="7" t="s">
        <v>488</v>
      </c>
      <c r="D121" s="24" t="s">
        <v>446</v>
      </c>
      <c r="E121" s="24" t="s">
        <v>117</v>
      </c>
      <c r="F121" s="50">
        <v>1</v>
      </c>
      <c r="G121" s="36" t="str">
        <f xml:space="preserve"> INDEX( co_impactTypes[damageAdjName], MATCH( co_variants[[#This Row],[sector]], co_impactTypes[sector], 0 ) ) &amp;
   IF( OR(co_variants[[#This Row],[sector]] = "Roads", co_variants[[#This Row],[sector]] = "ForestryLoss"),"_" &amp; co_variants[[#This Row],[variant]], "" )</f>
        <v>none</v>
      </c>
      <c r="H121" s="32" cm="1">
        <f t="array" ref="H121" xml:space="preserve"> --( SUMPRODUCT( --( co_impactTypes[sector] = co_variants[[#This Row],[sector]] ) ) &gt;= 1 )</f>
        <v>1</v>
      </c>
      <c r="I121"/>
      <c r="J121"/>
      <c r="K121"/>
      <c r="L121"/>
    </row>
    <row r="122" spans="2:12" ht="15" x14ac:dyDescent="0.25">
      <c r="B122" s="4">
        <f xml:space="preserve"> ROW( co_variants[[#This Row],[row_id]] ) - ROW( co_variants[[#Headers],[row_id]] )</f>
        <v>30</v>
      </c>
      <c r="C122" s="7" t="s">
        <v>488</v>
      </c>
      <c r="D122" s="24" t="s">
        <v>490</v>
      </c>
      <c r="E122" s="24" t="s">
        <v>118</v>
      </c>
      <c r="F122" s="50">
        <v>0</v>
      </c>
      <c r="G122" s="36" t="str">
        <f xml:space="preserve"> INDEX( co_impactTypes[damageAdjName], MATCH( co_variants[[#This Row],[sector]], co_impactTypes[sector], 0 ) ) &amp;
   IF( OR(co_variants[[#This Row],[sector]] = "Roads", co_variants[[#This Row],[sector]] = "ForestryLoss"),"_" &amp; co_variants[[#This Row],[variant]], "" )</f>
        <v>none</v>
      </c>
      <c r="H122" s="32" cm="1">
        <f t="array" ref="H122" xml:space="preserve"> --( SUMPRODUCT( --( co_impactTypes[sector] = co_variants[[#This Row],[sector]] ) ) &gt;= 1 )</f>
        <v>1</v>
      </c>
      <c r="I122"/>
      <c r="J122"/>
      <c r="K122"/>
      <c r="L122"/>
    </row>
    <row r="123" spans="2:12" ht="15" x14ac:dyDescent="0.25">
      <c r="B123" s="4">
        <f xml:space="preserve"> ROW( co_variants[[#This Row],[row_id]] ) - ROW( co_variants[[#Headers],[row_id]] )</f>
        <v>31</v>
      </c>
      <c r="C123" s="7" t="s">
        <v>439</v>
      </c>
      <c r="D123" s="37" t="s">
        <v>194</v>
      </c>
      <c r="E123" s="24" t="s">
        <v>38</v>
      </c>
      <c r="F123" s="50">
        <v>1</v>
      </c>
      <c r="G123" s="36" t="str">
        <f xml:space="preserve"> INDEX( co_impactTypes[damageAdjName], MATCH( co_variants[[#This Row],[sector]], co_impactTypes[sector], 0 ) ) &amp;
   IF( OR(co_variants[[#This Row],[sector]] = "Roads", co_variants[[#This Row],[sector]] = "ForestryLoss"),"_" &amp; co_variants[[#This Row],[variant]], "" )</f>
        <v>none</v>
      </c>
      <c r="H123" s="32" cm="1">
        <f t="array" ref="H123" xml:space="preserve"> --( SUMPRODUCT( --( co_impactTypes[sector] = co_variants[[#This Row],[sector]] ) ) &gt;= 1 )</f>
        <v>1</v>
      </c>
      <c r="I123"/>
      <c r="J123"/>
      <c r="K123"/>
      <c r="L123"/>
    </row>
    <row r="124" spans="2:12" ht="15" x14ac:dyDescent="0.25">
      <c r="B124" s="4">
        <f xml:space="preserve"> ROW( co_variants[[#This Row],[row_id]] ) - ROW( co_variants[[#Headers],[row_id]] )</f>
        <v>32</v>
      </c>
      <c r="C124" s="7" t="s">
        <v>59</v>
      </c>
      <c r="D124" s="37" t="s">
        <v>194</v>
      </c>
      <c r="E124" s="24" t="s">
        <v>38</v>
      </c>
      <c r="F124" s="50">
        <v>1</v>
      </c>
      <c r="G124" s="36" t="str">
        <f xml:space="preserve"> INDEX( co_impactTypes[damageAdjName], MATCH( co_variants[[#This Row],[sector]], co_impactTypes[sector], 0 ) ) &amp;
   IF( OR(co_variants[[#This Row],[sector]] = "Roads", co_variants[[#This Row],[sector]] = "ForestryLoss"),"_" &amp; co_variants[[#This Row],[variant]], "" )</f>
        <v>none</v>
      </c>
      <c r="H124" s="32" cm="1">
        <f t="array" ref="H124" xml:space="preserve"> --( SUMPRODUCT( --( co_impactTypes[sector] = co_variants[[#This Row],[sector]] ) ) &gt;= 1 )</f>
        <v>1</v>
      </c>
      <c r="I124"/>
      <c r="J124"/>
      <c r="K124"/>
      <c r="L124"/>
    </row>
    <row r="125" spans="2:12" ht="15" x14ac:dyDescent="0.25">
      <c r="B125" s="4">
        <f xml:space="preserve"> ROW( co_variants[[#This Row],[row_id]] ) - ROW( co_variants[[#Headers],[row_id]] )</f>
        <v>33</v>
      </c>
      <c r="C125" s="7" t="s">
        <v>433</v>
      </c>
      <c r="D125" s="37" t="s">
        <v>413</v>
      </c>
      <c r="E125" s="24" t="s">
        <v>434</v>
      </c>
      <c r="F125" s="50">
        <v>0</v>
      </c>
      <c r="G125" s="36" t="str">
        <f xml:space="preserve"> INDEX( co_impactTypes[damageAdjName], MATCH( co_variants[[#This Row],[sector]], co_impactTypes[sector], 0 ) ) &amp;
   IF( OR(co_variants[[#This Row],[sector]] = "Roads", co_variants[[#This Row],[sector]] = "ForestryLoss"),"_" &amp; co_variants[[#This Row],[variant]], "" )</f>
        <v>none</v>
      </c>
      <c r="H125" s="32" cm="1">
        <f t="array" ref="H125" xml:space="preserve"> --( SUMPRODUCT( --( co_impactTypes[sector] = co_variants[[#This Row],[sector]] ) ) &gt;= 1 )</f>
        <v>1</v>
      </c>
      <c r="I125"/>
      <c r="J125"/>
      <c r="K125"/>
      <c r="L125"/>
    </row>
    <row r="126" spans="2:12" ht="15" x14ac:dyDescent="0.25">
      <c r="B126" s="4">
        <f xml:space="preserve"> ROW( co_variants[[#This Row],[row_id]] ) - ROW( co_variants[[#Headers],[row_id]] )</f>
        <v>34</v>
      </c>
      <c r="C126" s="7" t="s">
        <v>433</v>
      </c>
      <c r="D126" s="37" t="s">
        <v>412</v>
      </c>
      <c r="E126" s="24" t="s">
        <v>435</v>
      </c>
      <c r="F126" s="50">
        <v>1</v>
      </c>
      <c r="G126" s="36" t="str">
        <f xml:space="preserve"> INDEX( co_impactTypes[damageAdjName], MATCH( co_variants[[#This Row],[sector]], co_impactTypes[sector], 0 ) ) &amp;
   IF( OR(co_variants[[#This Row],[sector]] = "Roads", co_variants[[#This Row],[sector]] = "ForestryLoss"),"_" &amp; co_variants[[#This Row],[variant]], "" )</f>
        <v>none</v>
      </c>
      <c r="H126" s="32" cm="1">
        <f t="array" ref="H126" xml:space="preserve"> --( SUMPRODUCT( --( co_impactTypes[sector] = co_variants[[#This Row],[sector]] ) ) &gt;= 1 )</f>
        <v>1</v>
      </c>
      <c r="I126"/>
      <c r="J126"/>
      <c r="K126"/>
      <c r="L126"/>
    </row>
    <row r="127" spans="2:12" ht="15" x14ac:dyDescent="0.25">
      <c r="B127" s="4">
        <f xml:space="preserve"> ROW( co_variants[[#This Row],[row_id]] ) - ROW( co_variants[[#Headers],[row_id]] )</f>
        <v>35</v>
      </c>
      <c r="C127" s="7" t="s">
        <v>433</v>
      </c>
      <c r="D127" s="37" t="s">
        <v>411</v>
      </c>
      <c r="E127" s="24" t="s">
        <v>436</v>
      </c>
      <c r="F127" s="50">
        <v>0</v>
      </c>
      <c r="G127" s="36" t="str">
        <f xml:space="preserve"> INDEX( co_impactTypes[damageAdjName], MATCH( co_variants[[#This Row],[sector]], co_impactTypes[sector], 0 ) ) &amp;
   IF( OR(co_variants[[#This Row],[sector]] = "Roads", co_variants[[#This Row],[sector]] = "ForestryLoss"),"_" &amp; co_variants[[#This Row],[variant]], "" )</f>
        <v>none</v>
      </c>
      <c r="H127" s="32" cm="1">
        <f t="array" ref="H127" xml:space="preserve"> --( SUMPRODUCT( --( co_impactTypes[sector] = co_variants[[#This Row],[sector]] ) ) &gt;= 1 )</f>
        <v>1</v>
      </c>
      <c r="I127"/>
      <c r="J127"/>
      <c r="K127"/>
      <c r="L127"/>
    </row>
    <row r="128" spans="2:12" ht="15" x14ac:dyDescent="0.25">
      <c r="B128" s="4">
        <f xml:space="preserve"> ROW( co_variants[[#This Row],[row_id]] ) - ROW( co_variants[[#Headers],[row_id]] )</f>
        <v>36</v>
      </c>
      <c r="C128" s="7" t="s">
        <v>432</v>
      </c>
      <c r="D128" s="37" t="s">
        <v>413</v>
      </c>
      <c r="E128" s="24" t="s">
        <v>434</v>
      </c>
      <c r="F128" s="50">
        <v>0</v>
      </c>
      <c r="G128" s="36" t="str">
        <f xml:space="preserve"> INDEX( co_impactTypes[damageAdjName], MATCH( co_variants[[#This Row],[sector]], co_impactTypes[sector], 0 ) ) &amp;
   IF( OR(co_variants[[#This Row],[sector]] = "Roads", co_variants[[#This Row],[sector]] = "ForestryLoss"),"_" &amp; co_variants[[#This Row],[variant]], "" )</f>
        <v>none</v>
      </c>
      <c r="H128" s="32" cm="1">
        <f t="array" ref="H128" xml:space="preserve"> --( SUMPRODUCT( --( co_impactTypes[sector] = co_variants[[#This Row],[sector]] ) ) &gt;= 1 )</f>
        <v>1</v>
      </c>
      <c r="I128"/>
      <c r="J128"/>
      <c r="K128"/>
      <c r="L128"/>
    </row>
    <row r="129" spans="2:12" ht="15" x14ac:dyDescent="0.25">
      <c r="B129" s="4">
        <f xml:space="preserve"> ROW( co_variants[[#This Row],[row_id]] ) - ROW( co_variants[[#Headers],[row_id]] )</f>
        <v>37</v>
      </c>
      <c r="C129" s="7" t="s">
        <v>432</v>
      </c>
      <c r="D129" s="37" t="s">
        <v>412</v>
      </c>
      <c r="E129" s="24" t="s">
        <v>435</v>
      </c>
      <c r="F129" s="50">
        <v>1</v>
      </c>
      <c r="G129" s="36" t="str">
        <f xml:space="preserve"> INDEX( co_impactTypes[damageAdjName], MATCH( co_variants[[#This Row],[sector]], co_impactTypes[sector], 0 ) ) &amp;
   IF( OR(co_variants[[#This Row],[sector]] = "Roads", co_variants[[#This Row],[sector]] = "ForestryLoss"),"_" &amp; co_variants[[#This Row],[variant]], "" )</f>
        <v>none</v>
      </c>
      <c r="H129" s="32" cm="1">
        <f t="array" ref="H129" xml:space="preserve"> --( SUMPRODUCT( --( co_impactTypes[sector] = co_variants[[#This Row],[sector]] ) ) &gt;= 1 )</f>
        <v>1</v>
      </c>
      <c r="I129"/>
      <c r="J129"/>
      <c r="K129"/>
      <c r="L129"/>
    </row>
    <row r="130" spans="2:12" ht="15" x14ac:dyDescent="0.25">
      <c r="B130" s="4">
        <f xml:space="preserve"> ROW( co_variants[[#This Row],[row_id]] ) - ROW( co_variants[[#Headers],[row_id]] )</f>
        <v>38</v>
      </c>
      <c r="C130" s="7" t="s">
        <v>432</v>
      </c>
      <c r="D130" s="37" t="s">
        <v>411</v>
      </c>
      <c r="E130" s="24" t="s">
        <v>436</v>
      </c>
      <c r="F130" s="50">
        <v>0</v>
      </c>
      <c r="G130" s="36" t="str">
        <f xml:space="preserve"> INDEX( co_impactTypes[damageAdjName], MATCH( co_variants[[#This Row],[sector]], co_impactTypes[sector], 0 ) ) &amp;
   IF( OR(co_variants[[#This Row],[sector]] = "Roads", co_variants[[#This Row],[sector]] = "ForestryLoss"),"_" &amp; co_variants[[#This Row],[variant]], "" )</f>
        <v>none</v>
      </c>
      <c r="H130" s="32" cm="1">
        <f t="array" ref="H130" xml:space="preserve"> --( SUMPRODUCT( --( co_impactTypes[sector] = co_variants[[#This Row],[sector]] ) ) &gt;= 1 )</f>
        <v>1</v>
      </c>
      <c r="I130"/>
      <c r="J130"/>
      <c r="K130"/>
      <c r="L130"/>
    </row>
    <row r="131" spans="2:12" ht="15" x14ac:dyDescent="0.25">
      <c r="B131" s="4">
        <f xml:space="preserve"> ROW( co_variants[[#This Row],[row_id]] ) - ROW( co_variants[[#Headers],[row_id]] )</f>
        <v>39</v>
      </c>
      <c r="C131" s="7" t="s">
        <v>445</v>
      </c>
      <c r="D131" s="37" t="s">
        <v>115</v>
      </c>
      <c r="E131" s="24" t="s">
        <v>118</v>
      </c>
      <c r="F131" s="50">
        <v>0</v>
      </c>
      <c r="G131" s="36" t="str">
        <f xml:space="preserve"> INDEX( co_impactTypes[damageAdjName], MATCH( co_variants[[#This Row],[sector]], co_impactTypes[sector], 0 ) ) &amp;
   IF( OR(co_variants[[#This Row],[sector]] = "Roads", co_variants[[#This Row],[sector]] = "ForestryLoss"),"_" &amp; co_variants[[#This Row],[variant]], "" )</f>
        <v>none</v>
      </c>
      <c r="H131" s="32" cm="1">
        <f t="array" ref="H131" xml:space="preserve"> --( SUMPRODUCT( --( co_impactTypes[sector] = co_variants[[#This Row],[sector]] ) ) &gt;= 1 )</f>
        <v>1</v>
      </c>
      <c r="I131"/>
      <c r="J131"/>
      <c r="K131"/>
      <c r="L131"/>
    </row>
    <row r="132" spans="2:12" ht="15" x14ac:dyDescent="0.25">
      <c r="B132" s="4">
        <f xml:space="preserve"> ROW( co_variants[[#This Row],[row_id]] ) - ROW( co_variants[[#Headers],[row_id]] )</f>
        <v>40</v>
      </c>
      <c r="C132" s="7" t="s">
        <v>445</v>
      </c>
      <c r="D132" s="37" t="s">
        <v>446</v>
      </c>
      <c r="E132" s="24" t="s">
        <v>117</v>
      </c>
      <c r="F132" s="50">
        <v>1</v>
      </c>
      <c r="G132" s="36" t="str">
        <f xml:space="preserve"> INDEX( co_impactTypes[damageAdjName], MATCH( co_variants[[#This Row],[sector]], co_impactTypes[sector], 0 ) ) &amp;
   IF( OR(co_variants[[#This Row],[sector]] = "Roads", co_variants[[#This Row],[sector]] = "ForestryLoss"),"_" &amp; co_variants[[#This Row],[variant]], "" )</f>
        <v>none</v>
      </c>
      <c r="H132" s="32" cm="1">
        <f t="array" ref="H132" xml:space="preserve"> --( SUMPRODUCT( --( co_impactTypes[sector] = co_variants[[#This Row],[sector]] ) ) &gt;= 1 )</f>
        <v>1</v>
      </c>
      <c r="I132"/>
      <c r="J132"/>
      <c r="K132"/>
      <c r="L132"/>
    </row>
    <row r="133" spans="2:12" ht="15" x14ac:dyDescent="0.25">
      <c r="B133" s="4">
        <f xml:space="preserve"> ROW( co_variants[[#This Row],[row_id]] ) - ROW( co_variants[[#Headers],[row_id]] )</f>
        <v>41</v>
      </c>
      <c r="C133" s="7" t="s">
        <v>382</v>
      </c>
      <c r="D133" s="37" t="s">
        <v>194</v>
      </c>
      <c r="E133" s="24" t="s">
        <v>38</v>
      </c>
      <c r="F133" s="50">
        <v>1</v>
      </c>
      <c r="G133" s="36" t="str">
        <f xml:space="preserve"> INDEX( co_impactTypes[damageAdjName], MATCH( co_variants[[#This Row],[sector]], co_impactTypes[sector], 0 ) ) &amp;
   IF( OR(co_variants[[#This Row],[sector]] = "Roads", co_variants[[#This Row],[sector]] = "ForestryLoss"),"_" &amp; co_variants[[#This Row],[variant]], "" )</f>
        <v>MH_popDemoAdj</v>
      </c>
      <c r="H133" s="32" cm="1">
        <f t="array" ref="H133" xml:space="preserve"> --( SUMPRODUCT( --( co_impactTypes[sector] = co_variants[[#This Row],[sector]] ) ) &gt;= 1 )</f>
        <v>1</v>
      </c>
      <c r="I133"/>
      <c r="J133"/>
      <c r="K133"/>
      <c r="L133"/>
    </row>
    <row r="134" spans="2:12" ht="15" x14ac:dyDescent="0.25">
      <c r="B134" s="4">
        <f xml:space="preserve"> ROW( co_variants[[#This Row],[row_id]] ) - ROW( co_variants[[#Headers],[row_id]] )</f>
        <v>42</v>
      </c>
      <c r="C134" s="7" t="s">
        <v>46</v>
      </c>
      <c r="D134" s="37" t="s">
        <v>22</v>
      </c>
      <c r="E134" s="24" t="s">
        <v>374</v>
      </c>
      <c r="F134" s="25">
        <v>0</v>
      </c>
      <c r="G134" s="36" t="str">
        <f xml:space="preserve"> INDEX( co_impactTypes[damageAdjName], MATCH( co_variants[[#This Row],[sector]], co_impactTypes[sector], 0 ) ) &amp;
   IF( OR(co_variants[[#This Row],[sector]] = "Roads", co_variants[[#This Row],[sector]] = "ForestryLoss"),"_" &amp; co_variants[[#This Row],[variant]], "" )</f>
        <v>rail_growth_factor</v>
      </c>
      <c r="H134" s="32" cm="1">
        <f t="array" ref="H134" xml:space="preserve"> --( SUMPRODUCT( --( co_impactTypes[sector] = co_variants[[#This Row],[sector]] ) ) &gt;= 1 )</f>
        <v>1</v>
      </c>
      <c r="I134"/>
      <c r="J134"/>
      <c r="K134"/>
      <c r="L134"/>
    </row>
    <row r="135" spans="2:12" ht="15" x14ac:dyDescent="0.25">
      <c r="B135" s="4">
        <f xml:space="preserve"> ROW( co_variants[[#This Row],[row_id]] ) - ROW( co_variants[[#Headers],[row_id]] )</f>
        <v>43</v>
      </c>
      <c r="C135" s="7" t="s">
        <v>46</v>
      </c>
      <c r="D135" s="55" t="s">
        <v>45</v>
      </c>
      <c r="E135" s="24" t="s">
        <v>118</v>
      </c>
      <c r="F135" s="25">
        <v>0</v>
      </c>
      <c r="G135" s="36" t="str">
        <f xml:space="preserve"> INDEX( co_impactTypes[damageAdjName], MATCH( co_variants[[#This Row],[sector]], co_impactTypes[sector], 0 ) ) &amp;
   IF( OR(co_variants[[#This Row],[sector]] = "Roads", co_variants[[#This Row],[sector]] = "ForestryLoss"),"_" &amp; co_variants[[#This Row],[variant]], "" )</f>
        <v>rail_growth_factor</v>
      </c>
      <c r="H135" s="32" cm="1">
        <f t="array" ref="H135" xml:space="preserve"> --( SUMPRODUCT( --( co_impactTypes[sector] = co_variants[[#This Row],[sector]] ) ) &gt;= 1 )</f>
        <v>1</v>
      </c>
      <c r="I135"/>
      <c r="J135"/>
      <c r="K135"/>
      <c r="L135"/>
    </row>
    <row r="136" spans="2:12" ht="15" x14ac:dyDescent="0.25">
      <c r="B136" s="4">
        <f xml:space="preserve"> ROW( co_variants[[#This Row],[row_id]] ) - ROW( co_variants[[#Headers],[row_id]] )</f>
        <v>44</v>
      </c>
      <c r="C136" s="7" t="s">
        <v>46</v>
      </c>
      <c r="D136" s="55" t="s">
        <v>23</v>
      </c>
      <c r="E136" s="24" t="s">
        <v>119</v>
      </c>
      <c r="F136" s="25">
        <v>1</v>
      </c>
      <c r="G136" s="36" t="str">
        <f xml:space="preserve"> INDEX( co_impactTypes[damageAdjName], MATCH( co_variants[[#This Row],[sector]], co_impactTypes[sector], 0 ) ) &amp;
   IF( OR(co_variants[[#This Row],[sector]] = "Roads", co_variants[[#This Row],[sector]] = "ForestryLoss"),"_" &amp; co_variants[[#This Row],[variant]], "" )</f>
        <v>rail_growth_factor</v>
      </c>
      <c r="H136" s="32" cm="1">
        <f t="array" ref="H136" xml:space="preserve"> --( SUMPRODUCT( --( co_impactTypes[sector] = co_variants[[#This Row],[sector]] ) ) &gt;= 1 )</f>
        <v>1</v>
      </c>
      <c r="I136"/>
      <c r="J136"/>
      <c r="K136"/>
      <c r="L136"/>
    </row>
    <row r="137" spans="2:12" ht="15" x14ac:dyDescent="0.25">
      <c r="B137" s="4">
        <f xml:space="preserve"> ROW( co_variants[[#This Row],[row_id]] ) - ROW( co_variants[[#Headers],[row_id]] )</f>
        <v>45</v>
      </c>
      <c r="C137" s="7" t="s">
        <v>53</v>
      </c>
      <c r="D137" s="37" t="s">
        <v>22</v>
      </c>
      <c r="E137" s="24" t="s">
        <v>374</v>
      </c>
      <c r="F137" s="25">
        <v>0</v>
      </c>
      <c r="G137" s="36" t="str">
        <f xml:space="preserve"> INDEX( co_impactTypes[damageAdjName], MATCH( co_variants[[#This Row],[sector]], co_impactTypes[sector], 0 ) ) &amp;
   IF( OR(co_variants[[#This Row],[sector]] = "Roads", co_variants[[#This Row],[sector]] = "ForestryLoss"),"_" &amp; co_variants[[#This Row],[variant]], "" )</f>
        <v>road_miles_and_pop_NoAdapt</v>
      </c>
      <c r="H137" s="32" cm="1">
        <f t="array" ref="H137" xml:space="preserve"> --( SUMPRODUCT( --( co_impactTypes[sector] = co_variants[[#This Row],[sector]] ) ) &gt;= 1 )</f>
        <v>1</v>
      </c>
      <c r="I137"/>
      <c r="J137"/>
      <c r="K137"/>
      <c r="L137"/>
    </row>
    <row r="138" spans="2:12" ht="15" x14ac:dyDescent="0.25">
      <c r="B138" s="4">
        <f xml:space="preserve"> ROW( co_variants[[#This Row],[row_id]] ) - ROW( co_variants[[#Headers],[row_id]] )</f>
        <v>46</v>
      </c>
      <c r="C138" s="7" t="s">
        <v>53</v>
      </c>
      <c r="D138" s="55" t="s">
        <v>45</v>
      </c>
      <c r="E138" s="24" t="s">
        <v>118</v>
      </c>
      <c r="F138" s="25">
        <v>0</v>
      </c>
      <c r="G138" s="36" t="str">
        <f xml:space="preserve"> INDEX( co_impactTypes[damageAdjName], MATCH( co_variants[[#This Row],[sector]], co_impactTypes[sector], 0 ) ) &amp;
   IF( OR(co_variants[[#This Row],[sector]] = "Roads", co_variants[[#This Row],[sector]] = "ForestryLoss"),"_" &amp; co_variants[[#This Row],[variant]], "" )</f>
        <v>road_miles_and_pop_Proactive</v>
      </c>
      <c r="H138" s="32" cm="1">
        <f t="array" ref="H138" xml:space="preserve"> --( SUMPRODUCT( --( co_impactTypes[sector] = co_variants[[#This Row],[sector]] ) ) &gt;= 1 )</f>
        <v>1</v>
      </c>
      <c r="I138"/>
      <c r="J138"/>
      <c r="K138"/>
      <c r="L138"/>
    </row>
    <row r="139" spans="2:12" ht="15" x14ac:dyDescent="0.25">
      <c r="B139" s="4">
        <f xml:space="preserve"> ROW( co_variants[[#This Row],[row_id]] ) - ROW( co_variants[[#Headers],[row_id]] )</f>
        <v>47</v>
      </c>
      <c r="C139" s="7" t="s">
        <v>53</v>
      </c>
      <c r="D139" s="55" t="s">
        <v>23</v>
      </c>
      <c r="E139" s="24" t="s">
        <v>119</v>
      </c>
      <c r="F139" s="25">
        <v>1</v>
      </c>
      <c r="G139" s="36" t="str">
        <f xml:space="preserve"> INDEX( co_impactTypes[damageAdjName], MATCH( co_variants[[#This Row],[sector]], co_impactTypes[sector], 0 ) ) &amp;
   IF( OR(co_variants[[#This Row],[sector]] = "Roads", co_variants[[#This Row],[sector]] = "ForestryLoss"),"_" &amp; co_variants[[#This Row],[variant]], "" )</f>
        <v>road_miles_and_pop_Reactive</v>
      </c>
      <c r="H139" s="32" cm="1">
        <f t="array" ref="H139" xml:space="preserve"> --( SUMPRODUCT( --( co_impactTypes[sector] = co_variants[[#This Row],[sector]] ) ) &gt;= 1 )</f>
        <v>1</v>
      </c>
      <c r="I139"/>
      <c r="J139"/>
      <c r="K139"/>
      <c r="L139"/>
    </row>
    <row r="140" spans="2:12" ht="15" x14ac:dyDescent="0.25">
      <c r="B140" s="4">
        <f xml:space="preserve"> ROW( co_variants[[#This Row],[row_id]] ) - ROW( co_variants[[#Headers],[row_id]] )</f>
        <v>48</v>
      </c>
      <c r="C140" s="7" t="s">
        <v>20</v>
      </c>
      <c r="D140" s="37" t="s">
        <v>194</v>
      </c>
      <c r="E140" s="24" t="s">
        <v>38</v>
      </c>
      <c r="F140" s="25">
        <v>1</v>
      </c>
      <c r="G140" s="36" t="str">
        <f xml:space="preserve"> INDEX( co_impactTypes[damageAdjName], MATCH( co_variants[[#This Row],[sector]], co_impactTypes[sector], 0 ) ) &amp;
   IF( OR(co_variants[[#This Row],[sector]] = "Roads", co_variants[[#This Row],[sector]] = "ForestryLoss"),"_" &amp; co_variants[[#This Row],[variant]], "" )</f>
        <v>none</v>
      </c>
      <c r="H140" s="32" cm="1">
        <f t="array" ref="H140" xml:space="preserve"> --( SUMPRODUCT( --( co_impactTypes[sector] = co_variants[[#This Row],[sector]] ) ) &gt;= 1 )</f>
        <v>1</v>
      </c>
      <c r="I140"/>
      <c r="J140"/>
      <c r="K140"/>
      <c r="L140"/>
    </row>
    <row r="141" spans="2:12" ht="15" x14ac:dyDescent="0.25">
      <c r="B141" s="4">
        <f xml:space="preserve"> ROW( co_variants[[#This Row],[row_id]] ) - ROW( co_variants[[#Headers],[row_id]] )</f>
        <v>49</v>
      </c>
      <c r="C141" s="7" t="s">
        <v>61</v>
      </c>
      <c r="D141" s="37" t="s">
        <v>194</v>
      </c>
      <c r="E141" s="24" t="s">
        <v>38</v>
      </c>
      <c r="F141" s="25">
        <v>1</v>
      </c>
      <c r="G141" s="36" t="str">
        <f xml:space="preserve"> INDEX( co_impactTypes[damageAdjName], MATCH( co_variants[[#This Row],[sector]], co_impactTypes[sector], 0 ) ) &amp;
   IF( OR(co_variants[[#This Row],[sector]] = "Roads", co_variants[[#This Row],[sector]] = "ForestryLoss"),"_" &amp; co_variants[[#This Row],[variant]], "" )</f>
        <v>none</v>
      </c>
      <c r="H141" s="32" cm="1">
        <f t="array" ref="H141" xml:space="preserve"> --( SUMPRODUCT( --( co_impactTypes[sector] = co_variants[[#This Row],[sector]] ) ) &gt;= 1 )</f>
        <v>1</v>
      </c>
      <c r="I141"/>
      <c r="J141"/>
      <c r="K141"/>
      <c r="L141"/>
    </row>
    <row r="142" spans="2:12" ht="15" x14ac:dyDescent="0.25">
      <c r="B142" s="4">
        <f xml:space="preserve"> ROW( co_variants[[#This Row],[row_id]] ) - ROW( co_variants[[#Headers],[row_id]] )</f>
        <v>50</v>
      </c>
      <c r="C142" s="7" t="s">
        <v>219</v>
      </c>
      <c r="D142" s="37" t="s">
        <v>194</v>
      </c>
      <c r="E142" s="24" t="s">
        <v>38</v>
      </c>
      <c r="F142" s="25">
        <v>1</v>
      </c>
      <c r="G142" s="36" t="str">
        <f xml:space="preserve"> INDEX( co_impactTypes[damageAdjName], MATCH( co_variants[[#This Row],[sector]], co_impactTypes[sector], 0 ) ) &amp;
   IF( OR(co_variants[[#This Row],[sector]] = "Roads", co_variants[[#This Row],[sector]] = "ForestryLoss"),"_" &amp; co_variants[[#This Row],[variant]], "" )</f>
        <v>none</v>
      </c>
      <c r="H142" s="32" cm="1">
        <f t="array" ref="H142" xml:space="preserve"> --( SUMPRODUCT( --( co_impactTypes[sector] = co_variants[[#This Row],[sector]] ) ) &gt;= 1 )</f>
        <v>1</v>
      </c>
      <c r="I142"/>
      <c r="J142"/>
      <c r="K142"/>
      <c r="L142"/>
    </row>
    <row r="143" spans="2:12" ht="15" x14ac:dyDescent="0.25">
      <c r="B143" s="4">
        <f xml:space="preserve"> ROW( co_variants[[#This Row],[row_id]] ) - ROW( co_variants[[#Headers],[row_id]] )</f>
        <v>51</v>
      </c>
      <c r="C143" s="7" t="s">
        <v>364</v>
      </c>
      <c r="D143" s="37" t="s">
        <v>194</v>
      </c>
      <c r="E143" s="24" t="s">
        <v>38</v>
      </c>
      <c r="F143" s="50">
        <v>1</v>
      </c>
      <c r="G143" s="36" t="str">
        <f xml:space="preserve"> INDEX( co_impactTypes[damageAdjName], MATCH( co_variants[[#This Row],[sector]], co_impactTypes[sector], 0 ) ) &amp;
   IF( OR(co_variants[[#This Row],[sector]] = "Roads", co_variants[[#This Row],[sector]] = "ForestryLoss"),"_" &amp; co_variants[[#This Row],[variant]], "" )</f>
        <v>none</v>
      </c>
      <c r="H143" s="32" cm="1">
        <f t="array" ref="H143" xml:space="preserve"> --( SUMPRODUCT( --( co_impactTypes[sector] = co_variants[[#This Row],[sector]] ) ) &gt;= 1 )</f>
        <v>1</v>
      </c>
      <c r="I143"/>
      <c r="J143"/>
      <c r="K143"/>
      <c r="L143"/>
    </row>
    <row r="144" spans="2:12" ht="15" x14ac:dyDescent="0.25">
      <c r="B144" s="4">
        <f xml:space="preserve"> ROW( co_variants[[#This Row],[row_id]] ) - ROW( co_variants[[#Headers],[row_id]] )</f>
        <v>52</v>
      </c>
      <c r="C144" s="7" t="s">
        <v>63</v>
      </c>
      <c r="D144" s="37" t="s">
        <v>194</v>
      </c>
      <c r="E144" s="24" t="s">
        <v>38</v>
      </c>
      <c r="F144" s="25">
        <v>1</v>
      </c>
      <c r="G144" s="36" t="str">
        <f xml:space="preserve"> INDEX( co_impactTypes[damageAdjName], MATCH( co_variants[[#This Row],[sector]], co_impactTypes[sector], 0 ) ) &amp;
   IF( OR(co_variants[[#This Row],[sector]] = "Roads", co_variants[[#This Row],[sector]] = "ForestryLoss"),"_" &amp; co_variants[[#This Row],[variant]], "" )</f>
        <v>none</v>
      </c>
      <c r="H144" s="32" cm="1">
        <f t="array" ref="H144" xml:space="preserve"> --( SUMPRODUCT( --( co_impactTypes[sector] = co_variants[[#This Row],[sector]] ) ) &gt;= 1 )</f>
        <v>1</v>
      </c>
      <c r="I144"/>
      <c r="J144"/>
      <c r="K144"/>
      <c r="L144"/>
    </row>
    <row r="145" spans="1:21" ht="15" x14ac:dyDescent="0.25">
      <c r="B145" s="4">
        <f xml:space="preserve"> ROW( co_variants[[#This Row],[row_id]] ) - ROW( co_variants[[#Headers],[row_id]] )</f>
        <v>53</v>
      </c>
      <c r="C145" s="7" t="s">
        <v>103</v>
      </c>
      <c r="D145" s="37" t="s">
        <v>194</v>
      </c>
      <c r="E145" s="24" t="s">
        <v>38</v>
      </c>
      <c r="F145" s="25">
        <v>1</v>
      </c>
      <c r="G145" s="36" t="str">
        <f xml:space="preserve"> INDEX( co_impactTypes[damageAdjName], MATCH( co_variants[[#This Row],[sector]], co_impactTypes[sector], 0 ) ) &amp;
   IF( OR(co_variants[[#This Row],[sector]] = "Roads", co_variants[[#This Row],[sector]] = "ForestryLoss"),"_" &amp; co_variants[[#This Row],[variant]], "" )</f>
        <v>none</v>
      </c>
      <c r="H145" s="32" cm="1">
        <f t="array" ref="H145" xml:space="preserve"> --( SUMPRODUCT( --( co_impactTypes[sector] = co_variants[[#This Row],[sector]] ) ) &gt;= 1 )</f>
        <v>1</v>
      </c>
      <c r="I145"/>
      <c r="J145"/>
      <c r="K145"/>
      <c r="L145"/>
    </row>
    <row r="146" spans="1:21" ht="15" x14ac:dyDescent="0.25">
      <c r="B146" s="4">
        <f xml:space="preserve"> ROW( co_variants[[#This Row],[row_id]] ) - ROW( co_variants[[#Headers],[row_id]] )</f>
        <v>54</v>
      </c>
      <c r="C146" s="7" t="s">
        <v>276</v>
      </c>
      <c r="D146" s="37" t="s">
        <v>194</v>
      </c>
      <c r="E146" s="24" t="s">
        <v>38</v>
      </c>
      <c r="F146" s="50">
        <v>1</v>
      </c>
      <c r="G146" s="36" t="str">
        <f xml:space="preserve"> INDEX( co_impactTypes[damageAdjName], MATCH( co_variants[[#This Row],[sector]], co_impactTypes[sector], 0 ) ) &amp;
   IF( OR(co_variants[[#This Row],[sector]] = "Roads", co_variants[[#This Row],[sector]] = "ForestryLoss"),"_" &amp; co_variants[[#This Row],[variant]], "" )</f>
        <v>none</v>
      </c>
      <c r="H146" s="32" cm="1">
        <f t="array" ref="H146" xml:space="preserve"> --( SUMPRODUCT( --( co_impactTypes[sector] = co_variants[[#This Row],[sector]] ) ) &gt;= 1 )</f>
        <v>1</v>
      </c>
      <c r="I146"/>
      <c r="J146"/>
      <c r="K146"/>
      <c r="L146"/>
    </row>
    <row r="147" spans="1:21" ht="15" x14ac:dyDescent="0.25">
      <c r="B147" s="4">
        <f xml:space="preserve"> ROW( co_variants[[#This Row],[row_id]] ) - ROW( co_variants[[#Headers],[row_id]] )</f>
        <v>55</v>
      </c>
      <c r="C147" s="7" t="s">
        <v>24</v>
      </c>
      <c r="D147" s="37" t="s">
        <v>194</v>
      </c>
      <c r="E147" s="24" t="s">
        <v>38</v>
      </c>
      <c r="F147" s="25">
        <v>1</v>
      </c>
      <c r="G147" s="36" t="str">
        <f xml:space="preserve"> INDEX( co_impactTypes[damageAdjName], MATCH( co_variants[[#This Row],[sector]], co_impactTypes[sector], 0 ) ) &amp;
   IF( OR(co_variants[[#This Row],[sector]] = "Roads", co_variants[[#This Row],[sector]] = "ForestryLoss"),"_" &amp; co_variants[[#This Row],[variant]], "" )</f>
        <v>none</v>
      </c>
      <c r="H147" s="32" cm="1">
        <f t="array" ref="H147" xml:space="preserve"> --( SUMPRODUCT( --( co_impactTypes[sector] = co_variants[[#This Row],[sector]] ) ) &gt;= 1 )</f>
        <v>1</v>
      </c>
      <c r="I147"/>
      <c r="J147"/>
      <c r="K147"/>
      <c r="L147"/>
    </row>
    <row r="152" spans="1:21" ht="15" x14ac:dyDescent="0.25">
      <c r="A152" s="16"/>
      <c r="B152" s="17" t="s">
        <v>37</v>
      </c>
      <c r="C152" s="17"/>
      <c r="D152" s="17"/>
      <c r="E152" s="17"/>
      <c r="F152" s="17"/>
      <c r="G152" s="17"/>
      <c r="H152" s="17"/>
      <c r="I152" s="17"/>
      <c r="J152" s="17"/>
      <c r="K152" s="17"/>
      <c r="L152" s="17"/>
      <c r="M152" s="17"/>
      <c r="N152" s="17"/>
      <c r="O152" s="17"/>
      <c r="P152" s="17"/>
      <c r="Q152" s="17"/>
      <c r="R152" s="17"/>
      <c r="S152" s="17"/>
      <c r="T152" s="17"/>
      <c r="U152" s="17"/>
    </row>
    <row r="153" spans="1:21" x14ac:dyDescent="0.2">
      <c r="B153" s="3" t="s">
        <v>300</v>
      </c>
    </row>
    <row r="154" spans="1:21" x14ac:dyDescent="0.2">
      <c r="B154" s="27" t="s">
        <v>121</v>
      </c>
      <c r="C154" s="27" t="s">
        <v>187</v>
      </c>
      <c r="D154" s="28" t="s">
        <v>196</v>
      </c>
      <c r="E154" s="27" t="s">
        <v>198</v>
      </c>
      <c r="F154" s="27" t="s">
        <v>199</v>
      </c>
      <c r="G154" s="27" t="s">
        <v>250</v>
      </c>
      <c r="H154" s="27" t="s">
        <v>129</v>
      </c>
      <c r="I154" s="27" t="s">
        <v>131</v>
      </c>
      <c r="J154" s="27" t="s">
        <v>132</v>
      </c>
      <c r="K154" s="27" t="s">
        <v>94</v>
      </c>
      <c r="L154" s="27" t="s">
        <v>185</v>
      </c>
      <c r="M154" s="29" t="s">
        <v>104</v>
      </c>
      <c r="N154" s="29" t="s">
        <v>105</v>
      </c>
      <c r="O154" s="29" t="s">
        <v>106</v>
      </c>
      <c r="P154" s="29" t="s">
        <v>107</v>
      </c>
    </row>
    <row r="155" spans="1:21" x14ac:dyDescent="0.2">
      <c r="B155" s="4">
        <f xml:space="preserve"> ROW( co_impactTypes[[#This Row],[row_id]] ) - ROW(co_impactTypes[[#Headers],[row_id]] )</f>
        <v>1</v>
      </c>
      <c r="C155" s="7" t="s">
        <v>97</v>
      </c>
      <c r="D155" s="37" t="s">
        <v>98</v>
      </c>
      <c r="E155" s="26" t="s">
        <v>136</v>
      </c>
      <c r="F155" s="30" t="s">
        <v>136</v>
      </c>
      <c r="G155" s="26" t="s">
        <v>251</v>
      </c>
      <c r="H155" s="26" t="s">
        <v>85</v>
      </c>
      <c r="I155" s="26" t="s">
        <v>89</v>
      </c>
      <c r="J155" s="26" t="s">
        <v>89</v>
      </c>
      <c r="K155" s="26" t="s">
        <v>123</v>
      </c>
      <c r="L155" s="26" t="s">
        <v>90</v>
      </c>
      <c r="M155" s="25">
        <v>0</v>
      </c>
      <c r="N155" s="25">
        <v>1</v>
      </c>
      <c r="O155" s="25">
        <v>0.4</v>
      </c>
      <c r="P155" s="31">
        <f xml:space="preserve"> IF(co_impactTypes[[#This Row],[econMultiplierName]]="None", "N/A", 2010)</f>
        <v>2010</v>
      </c>
    </row>
    <row r="156" spans="1:21" x14ac:dyDescent="0.2">
      <c r="B156" s="4">
        <f xml:space="preserve"> ROW( co_impactTypes[[#This Row],[row_id]] ) - ROW(co_impactTypes[[#Headers],[row_id]] )</f>
        <v>2</v>
      </c>
      <c r="C156" s="7" t="s">
        <v>97</v>
      </c>
      <c r="D156" s="37" t="s">
        <v>99</v>
      </c>
      <c r="E156" s="26" t="s">
        <v>137</v>
      </c>
      <c r="F156" s="30" t="s">
        <v>137</v>
      </c>
      <c r="G156" s="26" t="s">
        <v>251</v>
      </c>
      <c r="H156" s="26" t="s">
        <v>85</v>
      </c>
      <c r="I156" s="26" t="s">
        <v>89</v>
      </c>
      <c r="J156" s="26" t="s">
        <v>89</v>
      </c>
      <c r="K156" s="26" t="s">
        <v>123</v>
      </c>
      <c r="L156" s="26" t="s">
        <v>90</v>
      </c>
      <c r="M156" s="25">
        <v>0</v>
      </c>
      <c r="N156" s="25">
        <v>1</v>
      </c>
      <c r="O156" s="25">
        <v>0.4</v>
      </c>
      <c r="P156" s="31">
        <f xml:space="preserve"> IF(co_impactTypes[[#This Row],[econMultiplierName]]="None", "N/A", 2010)</f>
        <v>2010</v>
      </c>
    </row>
    <row r="157" spans="1:21" x14ac:dyDescent="0.2">
      <c r="B157" s="4">
        <f xml:space="preserve"> ROW( co_impactTypes[[#This Row],[row_id]] ) - ROW(co_impactTypes[[#Headers],[row_id]] )</f>
        <v>3</v>
      </c>
      <c r="C157" s="7" t="s">
        <v>240</v>
      </c>
      <c r="D157" s="37" t="s">
        <v>194</v>
      </c>
      <c r="E157" s="26" t="s">
        <v>38</v>
      </c>
      <c r="F157" s="30" t="s">
        <v>241</v>
      </c>
      <c r="G157" s="26" t="s">
        <v>388</v>
      </c>
      <c r="H157" s="26" t="s">
        <v>244</v>
      </c>
      <c r="I157" s="26" t="s">
        <v>89</v>
      </c>
      <c r="J157" s="26" t="s">
        <v>89</v>
      </c>
      <c r="K157" s="26" t="s">
        <v>89</v>
      </c>
      <c r="L157" s="26" t="s">
        <v>89</v>
      </c>
      <c r="M157" s="25">
        <v>0</v>
      </c>
      <c r="N157" s="25">
        <v>1</v>
      </c>
      <c r="O157" s="25">
        <v>1</v>
      </c>
      <c r="P157" s="31" t="str">
        <f xml:space="preserve"> IF(co_impactTypes[[#This Row],[econMultiplierName]]="None", "N/A", 2010)</f>
        <v>N/A</v>
      </c>
    </row>
    <row r="158" spans="1:21" x14ac:dyDescent="0.2">
      <c r="B158" s="4">
        <f xml:space="preserve"> ROW( co_impactTypes[[#This Row],[row_id]] ) - ROW(co_impactTypes[[#Headers],[row_id]] )</f>
        <v>4</v>
      </c>
      <c r="C158" s="7" t="s">
        <v>380</v>
      </c>
      <c r="D158" s="37" t="s">
        <v>194</v>
      </c>
      <c r="E158" s="26" t="s">
        <v>38</v>
      </c>
      <c r="F158" s="30" t="s">
        <v>329</v>
      </c>
      <c r="G158" s="26" t="s">
        <v>251</v>
      </c>
      <c r="H158" s="26" t="s">
        <v>85</v>
      </c>
      <c r="I158" s="26" t="s">
        <v>89</v>
      </c>
      <c r="J158" s="26" t="s">
        <v>89</v>
      </c>
      <c r="K158" s="26" t="s">
        <v>123</v>
      </c>
      <c r="L158" s="26" t="s">
        <v>90</v>
      </c>
      <c r="M158" s="25">
        <v>0</v>
      </c>
      <c r="N158" s="25">
        <v>1</v>
      </c>
      <c r="O158" s="25">
        <v>0.4</v>
      </c>
      <c r="P158" s="31">
        <f xml:space="preserve"> IF(co_impactTypes[[#This Row],[econMultiplierName]]="None", "N/A", 2010)</f>
        <v>2010</v>
      </c>
    </row>
    <row r="159" spans="1:21" x14ac:dyDescent="0.2">
      <c r="B159" s="4">
        <f xml:space="preserve"> ROW( co_impactTypes[[#This Row],[row_id]] ) - ROW(co_impactTypes[[#Headers],[row_id]] )</f>
        <v>5</v>
      </c>
      <c r="C159" s="7" t="s">
        <v>307</v>
      </c>
      <c r="D159" s="26" t="s">
        <v>293</v>
      </c>
      <c r="E159" s="26" t="s">
        <v>293</v>
      </c>
      <c r="F159" s="30" t="s">
        <v>297</v>
      </c>
      <c r="G159" s="26" t="s">
        <v>38</v>
      </c>
      <c r="H159" s="26" t="s">
        <v>89</v>
      </c>
      <c r="I159" s="26" t="s">
        <v>89</v>
      </c>
      <c r="J159" s="26" t="s">
        <v>89</v>
      </c>
      <c r="K159" s="26" t="s">
        <v>89</v>
      </c>
      <c r="L159" s="26" t="s">
        <v>89</v>
      </c>
      <c r="M159" s="25">
        <v>0</v>
      </c>
      <c r="N159" s="25">
        <v>1</v>
      </c>
      <c r="O159" s="25">
        <v>1</v>
      </c>
      <c r="P159" s="31" t="str">
        <f xml:space="preserve"> IF(co_impactTypes[[#This Row],[econMultiplierName]]="None", "N/A", 2010)</f>
        <v>N/A</v>
      </c>
    </row>
    <row r="160" spans="1:21" x14ac:dyDescent="0.2">
      <c r="B160" s="4">
        <f xml:space="preserve"> ROW( co_impactTypes[[#This Row],[row_id]] ) - ROW(co_impactTypes[[#Headers],[row_id]] )</f>
        <v>6</v>
      </c>
      <c r="C160" s="7" t="s">
        <v>307</v>
      </c>
      <c r="D160" s="26" t="s">
        <v>294</v>
      </c>
      <c r="E160" s="26" t="s">
        <v>294</v>
      </c>
      <c r="F160" s="30" t="s">
        <v>297</v>
      </c>
      <c r="G160" s="26" t="s">
        <v>38</v>
      </c>
      <c r="H160" s="26" t="s">
        <v>89</v>
      </c>
      <c r="I160" s="66" t="s">
        <v>89</v>
      </c>
      <c r="J160" s="66" t="s">
        <v>89</v>
      </c>
      <c r="K160" s="26" t="s">
        <v>89</v>
      </c>
      <c r="L160" s="26" t="s">
        <v>89</v>
      </c>
      <c r="M160" s="25">
        <v>0</v>
      </c>
      <c r="N160" s="25">
        <v>1</v>
      </c>
      <c r="O160" s="25">
        <v>1</v>
      </c>
      <c r="P160" s="31" t="str">
        <f xml:space="preserve"> IF(co_impactTypes[[#This Row],[econMultiplierName]]="None", "N/A", 2010)</f>
        <v>N/A</v>
      </c>
    </row>
    <row r="161" spans="2:16" x14ac:dyDescent="0.2">
      <c r="B161" s="4">
        <f xml:space="preserve"> ROW( co_impactTypes[[#This Row],[row_id]] ) - ROW(co_impactTypes[[#Headers],[row_id]] )</f>
        <v>7</v>
      </c>
      <c r="C161" s="7" t="s">
        <v>307</v>
      </c>
      <c r="D161" s="26" t="s">
        <v>295</v>
      </c>
      <c r="E161" s="26" t="s">
        <v>295</v>
      </c>
      <c r="F161" s="30" t="s">
        <v>297</v>
      </c>
      <c r="G161" s="26" t="s">
        <v>38</v>
      </c>
      <c r="H161" s="26" t="s">
        <v>89</v>
      </c>
      <c r="I161" s="26" t="s">
        <v>89</v>
      </c>
      <c r="J161" s="26" t="s">
        <v>89</v>
      </c>
      <c r="K161" s="26" t="s">
        <v>89</v>
      </c>
      <c r="L161" s="26" t="s">
        <v>89</v>
      </c>
      <c r="M161" s="25">
        <v>0</v>
      </c>
      <c r="N161" s="25">
        <v>1</v>
      </c>
      <c r="O161" s="25">
        <v>1</v>
      </c>
      <c r="P161" s="31" t="str">
        <f xml:space="preserve"> IF(co_impactTypes[[#This Row],[econMultiplierName]]="None", "N/A", 2010)</f>
        <v>N/A</v>
      </c>
    </row>
    <row r="162" spans="2:16" x14ac:dyDescent="0.2">
      <c r="B162" s="4">
        <f xml:space="preserve"> ROW( co_impactTypes[[#This Row],[row_id]] ) - ROW(co_impactTypes[[#Headers],[row_id]] )</f>
        <v>8</v>
      </c>
      <c r="C162" s="7" t="s">
        <v>307</v>
      </c>
      <c r="D162" s="26" t="s">
        <v>296</v>
      </c>
      <c r="E162" s="26" t="s">
        <v>296</v>
      </c>
      <c r="F162" s="30" t="s">
        <v>297</v>
      </c>
      <c r="G162" s="26" t="s">
        <v>38</v>
      </c>
      <c r="H162" s="26" t="s">
        <v>89</v>
      </c>
      <c r="I162" s="26" t="s">
        <v>89</v>
      </c>
      <c r="J162" s="26" t="s">
        <v>89</v>
      </c>
      <c r="K162" s="26" t="s">
        <v>89</v>
      </c>
      <c r="L162" s="26" t="s">
        <v>89</v>
      </c>
      <c r="M162" s="25">
        <v>0</v>
      </c>
      <c r="N162" s="25">
        <v>1</v>
      </c>
      <c r="O162" s="25">
        <v>1</v>
      </c>
      <c r="P162" s="31" t="str">
        <f xml:space="preserve"> IF(co_impactTypes[[#This Row],[econMultiplierName]]="None", "N/A", 2010)</f>
        <v>N/A</v>
      </c>
    </row>
    <row r="163" spans="2:16" x14ac:dyDescent="0.2">
      <c r="B163" s="4">
        <f xml:space="preserve"> ROW( co_impactTypes[[#This Row],[row_id]] ) - ROW(co_impactTypes[[#Headers],[row_id]] )</f>
        <v>9</v>
      </c>
      <c r="C163" s="7" t="s">
        <v>308</v>
      </c>
      <c r="D163" s="30" t="s">
        <v>301</v>
      </c>
      <c r="E163" s="26" t="s">
        <v>301</v>
      </c>
      <c r="F163" s="30" t="s">
        <v>311</v>
      </c>
      <c r="G163" s="26" t="s">
        <v>312</v>
      </c>
      <c r="H163" s="26" t="s">
        <v>89</v>
      </c>
      <c r="I163" s="26" t="s">
        <v>89</v>
      </c>
      <c r="J163" s="26" t="s">
        <v>89</v>
      </c>
      <c r="K163" s="26" t="s">
        <v>303</v>
      </c>
      <c r="L163" s="26" t="s">
        <v>89</v>
      </c>
      <c r="M163" s="25">
        <v>0</v>
      </c>
      <c r="N163" s="25">
        <v>1</v>
      </c>
      <c r="O163" s="25">
        <v>1</v>
      </c>
      <c r="P163" s="31" t="str">
        <f xml:space="preserve"> IF(co_impactTypes[[#This Row],[econMultiplierName]]="None", "N/A", 2010)</f>
        <v>N/A</v>
      </c>
    </row>
    <row r="164" spans="2:16" x14ac:dyDescent="0.2">
      <c r="B164" s="4">
        <f xml:space="preserve"> ROW( co_impactTypes[[#This Row],[row_id]] ) - ROW(co_impactTypes[[#Headers],[row_id]] )</f>
        <v>10</v>
      </c>
      <c r="C164" s="7" t="s">
        <v>308</v>
      </c>
      <c r="D164" s="30" t="s">
        <v>302</v>
      </c>
      <c r="E164" s="26" t="s">
        <v>302</v>
      </c>
      <c r="F164" s="30" t="s">
        <v>311</v>
      </c>
      <c r="G164" s="26" t="s">
        <v>312</v>
      </c>
      <c r="H164" s="26" t="s">
        <v>89</v>
      </c>
      <c r="I164" s="26" t="s">
        <v>89</v>
      </c>
      <c r="J164" s="26" t="s">
        <v>89</v>
      </c>
      <c r="K164" s="26" t="s">
        <v>305</v>
      </c>
      <c r="L164" s="26" t="s">
        <v>89</v>
      </c>
      <c r="M164" s="25">
        <v>0</v>
      </c>
      <c r="N164" s="25">
        <v>1</v>
      </c>
      <c r="O164" s="25">
        <v>1</v>
      </c>
      <c r="P164" s="31" t="str">
        <f xml:space="preserve"> IF(co_impactTypes[[#This Row],[econMultiplierName]]="None", "N/A", 2010)</f>
        <v>N/A</v>
      </c>
    </row>
    <row r="165" spans="2:16" x14ac:dyDescent="0.2">
      <c r="B165" s="4">
        <f xml:space="preserve"> ROW( co_impactTypes[[#This Row],[row_id]] ) - ROW(co_impactTypes[[#Headers],[row_id]] )</f>
        <v>11</v>
      </c>
      <c r="C165" s="7" t="s">
        <v>381</v>
      </c>
      <c r="D165" s="37" t="s">
        <v>194</v>
      </c>
      <c r="E165" s="26" t="s">
        <v>38</v>
      </c>
      <c r="F165" s="30" t="s">
        <v>109</v>
      </c>
      <c r="G165" s="26" t="s">
        <v>251</v>
      </c>
      <c r="H165" s="26" t="s">
        <v>85</v>
      </c>
      <c r="I165" s="26" t="s">
        <v>89</v>
      </c>
      <c r="J165" s="26" t="s">
        <v>89</v>
      </c>
      <c r="K165" s="26" t="s">
        <v>123</v>
      </c>
      <c r="L165" s="26" t="s">
        <v>90</v>
      </c>
      <c r="M165" s="25">
        <v>0</v>
      </c>
      <c r="N165" s="25">
        <v>1</v>
      </c>
      <c r="O165" s="25">
        <v>0.4</v>
      </c>
      <c r="P165" s="31">
        <f xml:space="preserve"> IF(co_impactTypes[[#This Row],[econMultiplierName]]="None", "N/A", 2010)</f>
        <v>2010</v>
      </c>
    </row>
    <row r="166" spans="2:16" x14ac:dyDescent="0.2">
      <c r="B166" s="4">
        <f xml:space="preserve"> ROW( co_impactTypes[[#This Row],[row_id]] ) - ROW(co_impactTypes[[#Headers],[row_id]] )</f>
        <v>12</v>
      </c>
      <c r="C166" s="7" t="s">
        <v>21</v>
      </c>
      <c r="D166" s="37" t="s">
        <v>194</v>
      </c>
      <c r="E166" s="26" t="s">
        <v>38</v>
      </c>
      <c r="F166" s="30" t="s">
        <v>139</v>
      </c>
      <c r="G166" s="26" t="s">
        <v>38</v>
      </c>
      <c r="H166" s="26" t="s">
        <v>89</v>
      </c>
      <c r="I166" s="26" t="s">
        <v>89</v>
      </c>
      <c r="J166" s="26" t="s">
        <v>89</v>
      </c>
      <c r="K166" s="26" t="s">
        <v>89</v>
      </c>
      <c r="L166" s="26" t="s">
        <v>89</v>
      </c>
      <c r="M166" s="25">
        <v>0</v>
      </c>
      <c r="N166" s="25">
        <v>1</v>
      </c>
      <c r="O166" s="25">
        <v>1</v>
      </c>
      <c r="P166" s="31" t="str">
        <f xml:space="preserve"> IF(co_impactTypes[[#This Row],[econMultiplierName]]="None", "N/A", 2010)</f>
        <v>N/A</v>
      </c>
    </row>
    <row r="167" spans="2:16" ht="33.75" x14ac:dyDescent="0.2">
      <c r="B167" s="4">
        <f xml:space="preserve"> ROW( co_impactTypes[[#This Row],[row_id]] ) - ROW(co_impactTypes[[#Headers],[row_id]] )</f>
        <v>13</v>
      </c>
      <c r="C167" s="7" t="s">
        <v>57</v>
      </c>
      <c r="D167" s="37" t="s">
        <v>194</v>
      </c>
      <c r="E167" s="26" t="s">
        <v>38</v>
      </c>
      <c r="F167" s="30" t="s">
        <v>232</v>
      </c>
      <c r="G167" s="26" t="s">
        <v>38</v>
      </c>
      <c r="H167" s="26" t="s">
        <v>89</v>
      </c>
      <c r="I167" s="26" t="s">
        <v>89</v>
      </c>
      <c r="J167" s="26" t="s">
        <v>93</v>
      </c>
      <c r="K167" s="26" t="s">
        <v>89</v>
      </c>
      <c r="L167" s="26" t="s">
        <v>89</v>
      </c>
      <c r="M167" s="25">
        <v>0</v>
      </c>
      <c r="N167" s="25">
        <v>1</v>
      </c>
      <c r="O167" s="25">
        <v>1</v>
      </c>
      <c r="P167" s="31" t="str">
        <f xml:space="preserve"> IF(co_impactTypes[[#This Row],[econMultiplierName]]="None", "N/A", 2010)</f>
        <v>N/A</v>
      </c>
    </row>
    <row r="168" spans="2:16" ht="22.5" x14ac:dyDescent="0.2">
      <c r="B168" s="4">
        <f xml:space="preserve"> ROW( co_impactTypes[[#This Row],[row_id]] ) - ROW(co_impactTypes[[#Headers],[row_id]] )</f>
        <v>14</v>
      </c>
      <c r="C168" s="7" t="s">
        <v>237</v>
      </c>
      <c r="D168" s="37" t="s">
        <v>194</v>
      </c>
      <c r="E168" s="26" t="s">
        <v>38</v>
      </c>
      <c r="F168" s="33" t="s">
        <v>217</v>
      </c>
      <c r="G168" s="26" t="s">
        <v>38</v>
      </c>
      <c r="H168" s="26" t="s">
        <v>89</v>
      </c>
      <c r="I168" s="23" t="s">
        <v>89</v>
      </c>
      <c r="J168" s="23" t="s">
        <v>238</v>
      </c>
      <c r="K168" s="26" t="s">
        <v>89</v>
      </c>
      <c r="L168" s="26" t="s">
        <v>89</v>
      </c>
      <c r="M168" s="25">
        <v>0</v>
      </c>
      <c r="N168" s="25">
        <v>1</v>
      </c>
      <c r="O168" s="25">
        <v>1</v>
      </c>
      <c r="P168" s="31" t="str">
        <f xml:space="preserve"> IF(co_impactTypes[[#This Row],[econMultiplierName]]="None", "N/A", 2010)</f>
        <v>N/A</v>
      </c>
    </row>
    <row r="169" spans="2:16" x14ac:dyDescent="0.2">
      <c r="B169" s="4">
        <f xml:space="preserve"> ROW( co_impactTypes[[#This Row],[row_id]] ) - ROW(co_impactTypes[[#Headers],[row_id]] )</f>
        <v>15</v>
      </c>
      <c r="C169" s="7" t="s">
        <v>15</v>
      </c>
      <c r="D169" s="37" t="s">
        <v>14</v>
      </c>
      <c r="E169" s="26" t="s">
        <v>40</v>
      </c>
      <c r="F169" s="30" t="s">
        <v>146</v>
      </c>
      <c r="G169" s="26" t="s">
        <v>251</v>
      </c>
      <c r="H169" s="26" t="s">
        <v>85</v>
      </c>
      <c r="I169" s="26" t="s">
        <v>91</v>
      </c>
      <c r="J169" s="26" t="s">
        <v>89</v>
      </c>
      <c r="K169" s="26" t="s">
        <v>123</v>
      </c>
      <c r="L169" s="26" t="s">
        <v>90</v>
      </c>
      <c r="M169" s="25">
        <v>0</v>
      </c>
      <c r="N169" s="25">
        <v>1</v>
      </c>
      <c r="O169" s="25">
        <v>0.4</v>
      </c>
      <c r="P169" s="31">
        <f xml:space="preserve"> IF(co_impactTypes[[#This Row],[econMultiplierName]]="None", "N/A", 2010)</f>
        <v>2010</v>
      </c>
    </row>
    <row r="170" spans="2:16" x14ac:dyDescent="0.2">
      <c r="B170" s="4">
        <f xml:space="preserve"> ROW( co_impactTypes[[#This Row],[row_id]] ) - ROW(co_impactTypes[[#Headers],[row_id]] )</f>
        <v>16</v>
      </c>
      <c r="C170" s="7" t="s">
        <v>15</v>
      </c>
      <c r="D170" s="37" t="s">
        <v>13</v>
      </c>
      <c r="E170" s="26" t="s">
        <v>39</v>
      </c>
      <c r="F170" s="30" t="s">
        <v>147</v>
      </c>
      <c r="G170" s="26" t="s">
        <v>251</v>
      </c>
      <c r="H170" s="26" t="s">
        <v>85</v>
      </c>
      <c r="I170" s="26" t="s">
        <v>91</v>
      </c>
      <c r="J170" s="26" t="s">
        <v>89</v>
      </c>
      <c r="K170" s="26" t="s">
        <v>123</v>
      </c>
      <c r="L170" s="26" t="s">
        <v>90</v>
      </c>
      <c r="M170" s="25">
        <v>0</v>
      </c>
      <c r="N170" s="25">
        <v>1</v>
      </c>
      <c r="O170" s="25">
        <v>0.4</v>
      </c>
      <c r="P170" s="31">
        <f xml:space="preserve"> IF(co_impactTypes[[#This Row],[econMultiplierName]]="None", "N/A", 2010)</f>
        <v>2010</v>
      </c>
    </row>
    <row r="171" spans="2:16" x14ac:dyDescent="0.2">
      <c r="B171" s="4">
        <f xml:space="preserve"> ROW( co_impactTypes[[#This Row],[row_id]] ) - ROW(co_impactTypes[[#Headers],[row_id]] )</f>
        <v>17</v>
      </c>
      <c r="C171" s="7" t="s">
        <v>472</v>
      </c>
      <c r="D171" s="37" t="s">
        <v>194</v>
      </c>
      <c r="E171" s="26" t="s">
        <v>38</v>
      </c>
      <c r="F171" s="30" t="s">
        <v>478</v>
      </c>
      <c r="G171" s="26" t="s">
        <v>38</v>
      </c>
      <c r="H171" s="26" t="s">
        <v>89</v>
      </c>
      <c r="I171" s="26" t="s">
        <v>89</v>
      </c>
      <c r="J171" s="26" t="s">
        <v>479</v>
      </c>
      <c r="K171" s="26" t="s">
        <v>90</v>
      </c>
      <c r="L171" s="26" t="s">
        <v>89</v>
      </c>
      <c r="M171" s="25">
        <v>0</v>
      </c>
      <c r="N171" s="25">
        <v>1</v>
      </c>
      <c r="O171" s="25">
        <v>1</v>
      </c>
      <c r="P171" s="31" t="str">
        <f xml:space="preserve"> IF(co_impactTypes[[#This Row],[econMultiplierName]]="None", "N/A", 2010)</f>
        <v>N/A</v>
      </c>
    </row>
    <row r="172" spans="2:16" ht="33.75" x14ac:dyDescent="0.2">
      <c r="B172" s="4">
        <f xml:space="preserve"> ROW( co_impactTypes[[#This Row],[row_id]] ) - ROW(co_impactTypes[[#Headers],[row_id]] )</f>
        <v>18</v>
      </c>
      <c r="C172" s="7" t="s">
        <v>58</v>
      </c>
      <c r="D172" s="37" t="s">
        <v>194</v>
      </c>
      <c r="E172" s="26" t="s">
        <v>38</v>
      </c>
      <c r="F172" s="30" t="s">
        <v>60</v>
      </c>
      <c r="G172" s="26" t="s">
        <v>38</v>
      </c>
      <c r="H172" s="26" t="s">
        <v>89</v>
      </c>
      <c r="I172" s="26" t="s">
        <v>89</v>
      </c>
      <c r="J172" s="26" t="s">
        <v>89</v>
      </c>
      <c r="K172" s="26" t="s">
        <v>89</v>
      </c>
      <c r="L172" s="26" t="s">
        <v>89</v>
      </c>
      <c r="M172" s="25">
        <v>0</v>
      </c>
      <c r="N172" s="25">
        <v>1</v>
      </c>
      <c r="O172" s="25">
        <v>1</v>
      </c>
      <c r="P172" s="31" t="str">
        <f xml:space="preserve"> IF(co_impactTypes[[#This Row],[econMultiplierName]]="None", "N/A", 2010)</f>
        <v>N/A</v>
      </c>
    </row>
    <row r="173" spans="2:16" ht="22.5" x14ac:dyDescent="0.2">
      <c r="B173" s="4">
        <f xml:space="preserve"> ROW( co_impactTypes[[#This Row],[row_id]] ) - ROW(co_impactTypes[[#Headers],[row_id]] )</f>
        <v>19</v>
      </c>
      <c r="C173" s="7" t="s">
        <v>19</v>
      </c>
      <c r="D173" s="37" t="s">
        <v>194</v>
      </c>
      <c r="E173" s="26" t="s">
        <v>38</v>
      </c>
      <c r="F173" s="30" t="s">
        <v>274</v>
      </c>
      <c r="G173" s="26" t="s">
        <v>38</v>
      </c>
      <c r="H173" s="26" t="s">
        <v>89</v>
      </c>
      <c r="I173" s="26" t="s">
        <v>89</v>
      </c>
      <c r="J173" s="26" t="s">
        <v>89</v>
      </c>
      <c r="K173" s="26" t="s">
        <v>89</v>
      </c>
      <c r="L173" s="26" t="s">
        <v>89</v>
      </c>
      <c r="M173" s="25">
        <v>0</v>
      </c>
      <c r="N173" s="25">
        <v>1</v>
      </c>
      <c r="O173" s="25">
        <v>1</v>
      </c>
      <c r="P173" s="31" t="str">
        <f xml:space="preserve"> IF(co_impactTypes[[#This Row],[econMultiplierName]]="None", "N/A", 2010)</f>
        <v>N/A</v>
      </c>
    </row>
    <row r="174" spans="2:16" ht="22.5" x14ac:dyDescent="0.2">
      <c r="B174" s="4">
        <f xml:space="preserve"> ROW( co_impactTypes[[#This Row],[row_id]] ) - ROW(co_impactTypes[[#Headers],[row_id]] )</f>
        <v>20</v>
      </c>
      <c r="C174" s="7" t="s">
        <v>18</v>
      </c>
      <c r="D174" s="37" t="s">
        <v>194</v>
      </c>
      <c r="E174" s="26" t="s">
        <v>38</v>
      </c>
      <c r="F174" s="30" t="s">
        <v>143</v>
      </c>
      <c r="G174" s="26" t="s">
        <v>389</v>
      </c>
      <c r="H174" s="26" t="s">
        <v>101</v>
      </c>
      <c r="I174" s="26" t="s">
        <v>89</v>
      </c>
      <c r="J174" s="26" t="s">
        <v>89</v>
      </c>
      <c r="K174" s="26" t="s">
        <v>245</v>
      </c>
      <c r="L174" s="26" t="s">
        <v>90</v>
      </c>
      <c r="M174" s="25">
        <v>0</v>
      </c>
      <c r="N174" s="25">
        <v>1</v>
      </c>
      <c r="O174" s="25">
        <v>1</v>
      </c>
      <c r="P174" s="31">
        <f xml:space="preserve"> IF(co_impactTypes[[#This Row],[econMultiplierName]]="None", "N/A", 2010)</f>
        <v>2010</v>
      </c>
    </row>
    <row r="175" spans="2:16" ht="22.5" x14ac:dyDescent="0.2">
      <c r="B175" s="4">
        <f xml:space="preserve"> ROW( co_impactTypes[[#This Row],[row_id]] ) - ROW(co_impactTypes[[#Headers],[row_id]] )</f>
        <v>21</v>
      </c>
      <c r="C175" s="7" t="s">
        <v>488</v>
      </c>
      <c r="D175" s="26" t="s">
        <v>491</v>
      </c>
      <c r="E175" s="26" t="s">
        <v>493</v>
      </c>
      <c r="F175" s="30" t="s">
        <v>495</v>
      </c>
      <c r="G175" s="26" t="s">
        <v>38</v>
      </c>
      <c r="H175" s="26" t="s">
        <v>85</v>
      </c>
      <c r="I175" s="26" t="s">
        <v>496</v>
      </c>
      <c r="J175" s="26" t="s">
        <v>89</v>
      </c>
      <c r="K175" s="26" t="s">
        <v>89</v>
      </c>
      <c r="L175" s="26" t="s">
        <v>89</v>
      </c>
      <c r="M175" s="25">
        <v>0</v>
      </c>
      <c r="N175" s="25">
        <v>1</v>
      </c>
      <c r="O175" s="25">
        <v>1</v>
      </c>
      <c r="P175" s="31" t="str">
        <f xml:space="preserve"> IF(co_impactTypes[[#This Row],[econMultiplierName]]="None", "N/A", 2010)</f>
        <v>N/A</v>
      </c>
    </row>
    <row r="176" spans="2:16" ht="22.5" x14ac:dyDescent="0.2">
      <c r="B176" s="4">
        <f xml:space="preserve"> ROW( co_impactTypes[[#This Row],[row_id]] ) - ROW(co_impactTypes[[#Headers],[row_id]] )</f>
        <v>22</v>
      </c>
      <c r="C176" s="7" t="s">
        <v>488</v>
      </c>
      <c r="D176" s="26" t="s">
        <v>492</v>
      </c>
      <c r="E176" s="26" t="s">
        <v>494</v>
      </c>
      <c r="F176" s="30" t="s">
        <v>498</v>
      </c>
      <c r="G176" s="26" t="s">
        <v>38</v>
      </c>
      <c r="H176" s="26" t="s">
        <v>85</v>
      </c>
      <c r="I176" s="26" t="s">
        <v>496</v>
      </c>
      <c r="J176" s="26" t="s">
        <v>89</v>
      </c>
      <c r="K176" s="26" t="s">
        <v>89</v>
      </c>
      <c r="L176" s="26" t="s">
        <v>89</v>
      </c>
      <c r="M176" s="25">
        <v>0</v>
      </c>
      <c r="N176" s="25">
        <v>1</v>
      </c>
      <c r="O176" s="25">
        <v>1</v>
      </c>
      <c r="P176" s="31" t="str">
        <f xml:space="preserve"> IF(co_impactTypes[[#This Row],[econMultiplierName]]="None", "N/A", 2010)</f>
        <v>N/A</v>
      </c>
    </row>
    <row r="177" spans="2:16" ht="22.5" x14ac:dyDescent="0.2">
      <c r="B177" s="4">
        <f xml:space="preserve"> ROW( co_impactTypes[[#This Row],[row_id]] ) - ROW(co_impactTypes[[#Headers],[row_id]] )</f>
        <v>23</v>
      </c>
      <c r="C177" s="7" t="s">
        <v>439</v>
      </c>
      <c r="D177" s="37" t="s">
        <v>194</v>
      </c>
      <c r="E177" s="26" t="s">
        <v>38</v>
      </c>
      <c r="F177" s="30" t="s">
        <v>441</v>
      </c>
      <c r="G177" s="26" t="s">
        <v>442</v>
      </c>
      <c r="H177" s="26" t="s">
        <v>85</v>
      </c>
      <c r="I177" s="26" t="s">
        <v>89</v>
      </c>
      <c r="J177" s="26" t="s">
        <v>89</v>
      </c>
      <c r="K177" s="26" t="s">
        <v>443</v>
      </c>
      <c r="L177" s="26" t="s">
        <v>89</v>
      </c>
      <c r="M177" s="25">
        <v>0</v>
      </c>
      <c r="N177" s="25">
        <v>1</v>
      </c>
      <c r="O177" s="25">
        <v>1</v>
      </c>
      <c r="P177" s="31" t="str">
        <f xml:space="preserve"> IF(co_impactTypes[[#This Row],[econMultiplierName]]="None", "N/A", 2010)</f>
        <v>N/A</v>
      </c>
    </row>
    <row r="178" spans="2:16" x14ac:dyDescent="0.2">
      <c r="B178" s="4">
        <f xml:space="preserve"> ROW( co_impactTypes[[#This Row],[row_id]] ) - ROW(co_impactTypes[[#Headers],[row_id]] )</f>
        <v>24</v>
      </c>
      <c r="C178" s="7" t="s">
        <v>59</v>
      </c>
      <c r="D178" s="37" t="s">
        <v>194</v>
      </c>
      <c r="E178" s="26" t="s">
        <v>38</v>
      </c>
      <c r="F178" s="30" t="s">
        <v>290</v>
      </c>
      <c r="G178" s="26" t="s">
        <v>38</v>
      </c>
      <c r="H178" s="26" t="s">
        <v>89</v>
      </c>
      <c r="I178" s="26" t="s">
        <v>89</v>
      </c>
      <c r="J178" s="26" t="s">
        <v>89</v>
      </c>
      <c r="K178" s="26" t="s">
        <v>89</v>
      </c>
      <c r="L178" s="26" t="s">
        <v>89</v>
      </c>
      <c r="M178" s="25">
        <v>0</v>
      </c>
      <c r="N178" s="25">
        <v>1000000</v>
      </c>
      <c r="O178" s="25">
        <v>1</v>
      </c>
      <c r="P178" s="31" t="str">
        <f xml:space="preserve"> IF(co_impactTypes[[#This Row],[econMultiplierName]]="None", "N/A", 2010)</f>
        <v>N/A</v>
      </c>
    </row>
    <row r="179" spans="2:16" ht="13.5" customHeight="1" x14ac:dyDescent="0.2">
      <c r="B179" s="4">
        <f xml:space="preserve"> ROW( co_impactTypes[[#This Row],[row_id]] ) - ROW(co_impactTypes[[#Headers],[row_id]] )</f>
        <v>25</v>
      </c>
      <c r="C179" s="7" t="s">
        <v>432</v>
      </c>
      <c r="D179" s="37" t="s">
        <v>414</v>
      </c>
      <c r="E179" s="26" t="s">
        <v>424</v>
      </c>
      <c r="F179" s="30" t="s">
        <v>422</v>
      </c>
      <c r="G179" s="26" t="s">
        <v>430</v>
      </c>
      <c r="H179" s="26" t="s">
        <v>89</v>
      </c>
      <c r="I179" s="26" t="s">
        <v>89</v>
      </c>
      <c r="J179" s="26" t="s">
        <v>89</v>
      </c>
      <c r="K179" s="26" t="s">
        <v>89</v>
      </c>
      <c r="L179" s="26" t="s">
        <v>89</v>
      </c>
      <c r="M179" s="25">
        <v>0</v>
      </c>
      <c r="N179" s="25">
        <v>0</v>
      </c>
      <c r="O179" s="25">
        <v>1</v>
      </c>
      <c r="P179" s="31" t="str">
        <f xml:space="preserve"> IF(co_impactTypes[[#This Row],[econMultiplierName]]="None", "N/A", 2010)</f>
        <v>N/A</v>
      </c>
    </row>
    <row r="180" spans="2:16" ht="33.75" x14ac:dyDescent="0.2">
      <c r="B180" s="4">
        <f xml:space="preserve"> ROW( co_impactTypes[[#This Row],[row_id]] ) - ROW(co_impactTypes[[#Headers],[row_id]] )</f>
        <v>26</v>
      </c>
      <c r="C180" s="7" t="s">
        <v>432</v>
      </c>
      <c r="D180" s="37" t="s">
        <v>415</v>
      </c>
      <c r="E180" s="26" t="s">
        <v>425</v>
      </c>
      <c r="F180" s="30" t="s">
        <v>423</v>
      </c>
      <c r="G180" s="26" t="s">
        <v>431</v>
      </c>
      <c r="H180" s="26" t="s">
        <v>89</v>
      </c>
      <c r="I180" s="26" t="s">
        <v>89</v>
      </c>
      <c r="J180" s="26" t="s">
        <v>89</v>
      </c>
      <c r="K180" s="26" t="s">
        <v>89</v>
      </c>
      <c r="L180" s="26" t="s">
        <v>89</v>
      </c>
      <c r="M180" s="25">
        <v>0</v>
      </c>
      <c r="N180" s="25">
        <v>0</v>
      </c>
      <c r="O180" s="25">
        <v>1</v>
      </c>
      <c r="P180" s="31" t="str">
        <f xml:space="preserve"> IF(co_impactTypes[[#This Row],[econMultiplierName]]="None", "N/A", 2010)</f>
        <v>N/A</v>
      </c>
    </row>
    <row r="181" spans="2:16" x14ac:dyDescent="0.2">
      <c r="B181" s="4">
        <f xml:space="preserve"> ROW( co_impactTypes[[#This Row],[row_id]] ) - ROW(co_impactTypes[[#Headers],[row_id]] )</f>
        <v>27</v>
      </c>
      <c r="C181" s="7" t="s">
        <v>432</v>
      </c>
      <c r="D181" s="37" t="s">
        <v>416</v>
      </c>
      <c r="E181" s="26" t="s">
        <v>426</v>
      </c>
      <c r="F181" s="30" t="s">
        <v>419</v>
      </c>
      <c r="G181" s="26" t="s">
        <v>429</v>
      </c>
      <c r="H181" s="26" t="s">
        <v>89</v>
      </c>
      <c r="I181" s="26" t="s">
        <v>89</v>
      </c>
      <c r="J181" s="26" t="s">
        <v>89</v>
      </c>
      <c r="K181" s="26" t="s">
        <v>89</v>
      </c>
      <c r="L181" s="26" t="s">
        <v>89</v>
      </c>
      <c r="M181" s="25">
        <v>0</v>
      </c>
      <c r="N181" s="25">
        <v>0</v>
      </c>
      <c r="O181" s="25">
        <v>1</v>
      </c>
      <c r="P181" s="31" t="str">
        <f xml:space="preserve"> IF(co_impactTypes[[#This Row],[econMultiplierName]]="None", "N/A", 2010)</f>
        <v>N/A</v>
      </c>
    </row>
    <row r="182" spans="2:16" ht="18.75" customHeight="1" x14ac:dyDescent="0.2">
      <c r="B182" s="4">
        <f xml:space="preserve"> ROW( co_impactTypes[[#This Row],[row_id]] ) - ROW(co_impactTypes[[#Headers],[row_id]] )</f>
        <v>28</v>
      </c>
      <c r="C182" s="7" t="s">
        <v>432</v>
      </c>
      <c r="D182" s="37" t="s">
        <v>417</v>
      </c>
      <c r="E182" s="26" t="s">
        <v>427</v>
      </c>
      <c r="F182" s="30" t="s">
        <v>420</v>
      </c>
      <c r="G182" s="26" t="s">
        <v>38</v>
      </c>
      <c r="H182" s="26" t="s">
        <v>89</v>
      </c>
      <c r="I182" s="26" t="s">
        <v>89</v>
      </c>
      <c r="J182" s="26" t="s">
        <v>89</v>
      </c>
      <c r="K182" s="26" t="s">
        <v>89</v>
      </c>
      <c r="L182" s="26" t="s">
        <v>89</v>
      </c>
      <c r="M182" s="25">
        <v>0</v>
      </c>
      <c r="N182" s="25">
        <v>1</v>
      </c>
      <c r="O182" s="25">
        <v>1</v>
      </c>
      <c r="P182" s="31" t="str">
        <f xml:space="preserve"> IF(co_impactTypes[[#This Row],[econMultiplierName]]="None", "N/A", 2010)</f>
        <v>N/A</v>
      </c>
    </row>
    <row r="183" spans="2:16" x14ac:dyDescent="0.2">
      <c r="B183" s="4">
        <f xml:space="preserve"> ROW( co_impactTypes[[#This Row],[row_id]] ) - ROW(co_impactTypes[[#Headers],[row_id]] )</f>
        <v>29</v>
      </c>
      <c r="C183" s="7" t="s">
        <v>433</v>
      </c>
      <c r="D183" s="37" t="s">
        <v>418</v>
      </c>
      <c r="E183" s="26" t="s">
        <v>428</v>
      </c>
      <c r="F183" s="30" t="s">
        <v>421</v>
      </c>
      <c r="G183" s="26" t="s">
        <v>38</v>
      </c>
      <c r="H183" s="26" t="s">
        <v>89</v>
      </c>
      <c r="I183" s="26" t="s">
        <v>89</v>
      </c>
      <c r="J183" s="26" t="s">
        <v>89</v>
      </c>
      <c r="K183" s="26" t="s">
        <v>89</v>
      </c>
      <c r="L183" s="26" t="s">
        <v>89</v>
      </c>
      <c r="M183" s="25">
        <v>0</v>
      </c>
      <c r="N183" s="25">
        <v>1</v>
      </c>
      <c r="O183" s="25">
        <v>1</v>
      </c>
      <c r="P183" s="31" t="str">
        <f xml:space="preserve"> IF(co_impactTypes[[#This Row],[econMultiplierName]]="None", "N/A", 2010)</f>
        <v>N/A</v>
      </c>
    </row>
    <row r="184" spans="2:16" x14ac:dyDescent="0.2">
      <c r="B184" s="4">
        <f xml:space="preserve"> ROW( co_impactTypes[[#This Row],[row_id]] ) - ROW(co_impactTypes[[#Headers],[row_id]] )</f>
        <v>30</v>
      </c>
      <c r="C184" s="7" t="s">
        <v>445</v>
      </c>
      <c r="D184" s="37" t="s">
        <v>448</v>
      </c>
      <c r="E184" s="26" t="s">
        <v>447</v>
      </c>
      <c r="F184" s="30" t="s">
        <v>457</v>
      </c>
      <c r="G184" s="26" t="s">
        <v>38</v>
      </c>
      <c r="H184" s="26" t="s">
        <v>85</v>
      </c>
      <c r="I184" s="26" t="s">
        <v>463</v>
      </c>
      <c r="J184" s="26" t="s">
        <v>89</v>
      </c>
      <c r="K184" s="26" t="s">
        <v>464</v>
      </c>
      <c r="L184" s="26" t="s">
        <v>89</v>
      </c>
      <c r="M184" s="25">
        <v>0</v>
      </c>
      <c r="N184" s="25">
        <v>1</v>
      </c>
      <c r="O184" s="25">
        <v>1</v>
      </c>
      <c r="P184" s="31" t="str">
        <f xml:space="preserve"> IF(co_impactTypes[[#This Row],[econMultiplierName]]="None", "N/A", 2010)</f>
        <v>N/A</v>
      </c>
    </row>
    <row r="185" spans="2:16" x14ac:dyDescent="0.2">
      <c r="B185" s="4">
        <f xml:space="preserve"> ROW( co_impactTypes[[#This Row],[row_id]] ) - ROW(co_impactTypes[[#Headers],[row_id]] )</f>
        <v>31</v>
      </c>
      <c r="C185" s="7" t="s">
        <v>445</v>
      </c>
      <c r="D185" s="37" t="s">
        <v>450</v>
      </c>
      <c r="E185" s="26" t="s">
        <v>449</v>
      </c>
      <c r="F185" s="30" t="s">
        <v>458</v>
      </c>
      <c r="G185" s="26" t="s">
        <v>38</v>
      </c>
      <c r="H185" s="26" t="s">
        <v>85</v>
      </c>
      <c r="I185" s="26" t="s">
        <v>463</v>
      </c>
      <c r="J185" s="26" t="s">
        <v>89</v>
      </c>
      <c r="K185" s="26" t="s">
        <v>465</v>
      </c>
      <c r="L185" s="26" t="s">
        <v>89</v>
      </c>
      <c r="M185" s="25">
        <v>0</v>
      </c>
      <c r="N185" s="25">
        <v>1</v>
      </c>
      <c r="O185" s="25">
        <v>1</v>
      </c>
      <c r="P185" s="31" t="str">
        <f xml:space="preserve"> IF(co_impactTypes[[#This Row],[econMultiplierName]]="None", "N/A", 2010)</f>
        <v>N/A</v>
      </c>
    </row>
    <row r="186" spans="2:16" x14ac:dyDescent="0.2">
      <c r="B186" s="4">
        <f xml:space="preserve"> ROW( co_impactTypes[[#This Row],[row_id]] ) - ROW(co_impactTypes[[#Headers],[row_id]] )</f>
        <v>32</v>
      </c>
      <c r="C186" s="7" t="s">
        <v>445</v>
      </c>
      <c r="D186" s="37" t="s">
        <v>452</v>
      </c>
      <c r="E186" s="26" t="s">
        <v>451</v>
      </c>
      <c r="F186" s="30" t="s">
        <v>459</v>
      </c>
      <c r="G186" s="26" t="s">
        <v>38</v>
      </c>
      <c r="H186" s="26" t="s">
        <v>85</v>
      </c>
      <c r="I186" s="26" t="s">
        <v>463</v>
      </c>
      <c r="J186" s="26" t="s">
        <v>89</v>
      </c>
      <c r="K186" s="26" t="s">
        <v>466</v>
      </c>
      <c r="L186" s="26" t="s">
        <v>89</v>
      </c>
      <c r="M186" s="25">
        <v>0</v>
      </c>
      <c r="N186" s="25">
        <v>1</v>
      </c>
      <c r="O186" s="25">
        <v>1</v>
      </c>
      <c r="P186" s="31" t="str">
        <f xml:space="preserve"> IF(co_impactTypes[[#This Row],[econMultiplierName]]="None", "N/A", 2010)</f>
        <v>N/A</v>
      </c>
    </row>
    <row r="187" spans="2:16" x14ac:dyDescent="0.2">
      <c r="B187" s="4">
        <f xml:space="preserve"> ROW( co_impactTypes[[#This Row],[row_id]] ) - ROW(co_impactTypes[[#Headers],[row_id]] )</f>
        <v>33</v>
      </c>
      <c r="C187" s="7" t="s">
        <v>445</v>
      </c>
      <c r="D187" s="26" t="s">
        <v>453</v>
      </c>
      <c r="E187" s="26" t="s">
        <v>454</v>
      </c>
      <c r="F187" s="30" t="s">
        <v>460</v>
      </c>
      <c r="G187" s="26" t="s">
        <v>38</v>
      </c>
      <c r="H187" s="26" t="s">
        <v>85</v>
      </c>
      <c r="I187" s="26" t="s">
        <v>463</v>
      </c>
      <c r="J187" s="26" t="s">
        <v>89</v>
      </c>
      <c r="K187" s="26" t="s">
        <v>89</v>
      </c>
      <c r="L187" s="26" t="s">
        <v>89</v>
      </c>
      <c r="M187" s="25">
        <v>0</v>
      </c>
      <c r="N187" s="25">
        <v>1</v>
      </c>
      <c r="O187" s="25">
        <v>1</v>
      </c>
      <c r="P187" s="31" t="str">
        <f xml:space="preserve"> IF(co_impactTypes[[#This Row],[econMultiplierName]]="None", "N/A", 2010)</f>
        <v>N/A</v>
      </c>
    </row>
    <row r="188" spans="2:16" x14ac:dyDescent="0.2">
      <c r="B188" s="4">
        <f xml:space="preserve"> ROW( co_impactTypes[[#This Row],[row_id]] ) - ROW(co_impactTypes[[#Headers],[row_id]] )</f>
        <v>34</v>
      </c>
      <c r="C188" s="7" t="s">
        <v>445</v>
      </c>
      <c r="D188" s="37" t="s">
        <v>456</v>
      </c>
      <c r="E188" s="26" t="s">
        <v>455</v>
      </c>
      <c r="F188" s="30" t="s">
        <v>461</v>
      </c>
      <c r="G188" s="26" t="s">
        <v>462</v>
      </c>
      <c r="H188" s="26" t="s">
        <v>85</v>
      </c>
      <c r="I188" s="26" t="s">
        <v>463</v>
      </c>
      <c r="J188" s="26" t="s">
        <v>89</v>
      </c>
      <c r="K188" s="26" t="s">
        <v>89</v>
      </c>
      <c r="L188" s="26" t="s">
        <v>89</v>
      </c>
      <c r="M188" s="25">
        <v>0</v>
      </c>
      <c r="N188" s="25">
        <v>0</v>
      </c>
      <c r="O188" s="25">
        <v>1</v>
      </c>
      <c r="P188" s="31" t="str">
        <f xml:space="preserve"> IF(co_impactTypes[[#This Row],[econMultiplierName]]="None", "N/A", 2010)</f>
        <v>N/A</v>
      </c>
    </row>
    <row r="189" spans="2:16" x14ac:dyDescent="0.2">
      <c r="B189" s="4">
        <f xml:space="preserve"> ROW( co_impactTypes[[#This Row],[row_id]] ) - ROW(co_impactTypes[[#Headers],[row_id]] )</f>
        <v>35</v>
      </c>
      <c r="C189" s="7" t="s">
        <v>382</v>
      </c>
      <c r="D189" s="37" t="s">
        <v>194</v>
      </c>
      <c r="E189" s="26" t="s">
        <v>38</v>
      </c>
      <c r="F189" s="30" t="s">
        <v>369</v>
      </c>
      <c r="G189" s="26" t="s">
        <v>251</v>
      </c>
      <c r="H189" s="26" t="s">
        <v>85</v>
      </c>
      <c r="I189" s="26" t="s">
        <v>372</v>
      </c>
      <c r="J189" s="26" t="s">
        <v>370</v>
      </c>
      <c r="K189" s="26" t="s">
        <v>123</v>
      </c>
      <c r="L189" s="26" t="s">
        <v>90</v>
      </c>
      <c r="M189" s="25">
        <v>0</v>
      </c>
      <c r="N189" s="25">
        <v>1</v>
      </c>
      <c r="O189" s="25">
        <v>0.4</v>
      </c>
      <c r="P189" s="31">
        <f xml:space="preserve"> IF(co_impactTypes[[#This Row],[econMultiplierName]]="None", "N/A", 2010)</f>
        <v>2010</v>
      </c>
    </row>
    <row r="190" spans="2:16" x14ac:dyDescent="0.2">
      <c r="B190" s="4">
        <f xml:space="preserve"> ROW( co_impactTypes[[#This Row],[row_id]] ) - ROW(co_impactTypes[[#Headers],[row_id]] )</f>
        <v>36</v>
      </c>
      <c r="C190" s="7" t="s">
        <v>46</v>
      </c>
      <c r="D190" s="37" t="s">
        <v>194</v>
      </c>
      <c r="E190" s="26" t="s">
        <v>38</v>
      </c>
      <c r="F190" s="33" t="s">
        <v>141</v>
      </c>
      <c r="G190" s="26" t="s">
        <v>52</v>
      </c>
      <c r="H190" s="26" t="s">
        <v>70</v>
      </c>
      <c r="I190" s="23" t="s">
        <v>89</v>
      </c>
      <c r="J190" s="23" t="s">
        <v>122</v>
      </c>
      <c r="K190" s="26" t="s">
        <v>89</v>
      </c>
      <c r="L190" s="26" t="s">
        <v>89</v>
      </c>
      <c r="M190" s="25">
        <v>0</v>
      </c>
      <c r="N190" s="25">
        <v>1</v>
      </c>
      <c r="O190" s="25">
        <v>1</v>
      </c>
      <c r="P190" s="31" t="str">
        <f xml:space="preserve"> IF(co_impactTypes[[#This Row],[econMultiplierName]]="None", "N/A", 2010)</f>
        <v>N/A</v>
      </c>
    </row>
    <row r="191" spans="2:16" x14ac:dyDescent="0.2">
      <c r="B191" s="4">
        <f xml:space="preserve"> ROW( co_impactTypes[[#This Row],[row_id]] ) - ROW(co_impactTypes[[#Headers],[row_id]] )</f>
        <v>37</v>
      </c>
      <c r="C191" s="7" t="s">
        <v>53</v>
      </c>
      <c r="D191" s="37" t="s">
        <v>194</v>
      </c>
      <c r="E191" s="26" t="s">
        <v>38</v>
      </c>
      <c r="F191" s="33" t="s">
        <v>144</v>
      </c>
      <c r="G191" s="26" t="s">
        <v>133</v>
      </c>
      <c r="H191" s="26" t="s">
        <v>84</v>
      </c>
      <c r="I191" s="23" t="s">
        <v>89</v>
      </c>
      <c r="J191" s="23" t="s">
        <v>71</v>
      </c>
      <c r="K191" s="26" t="s">
        <v>89</v>
      </c>
      <c r="L191" s="26" t="s">
        <v>89</v>
      </c>
      <c r="M191" s="25">
        <v>0</v>
      </c>
      <c r="N191" s="25">
        <v>1</v>
      </c>
      <c r="O191" s="25">
        <v>1</v>
      </c>
      <c r="P191" s="31" t="str">
        <f xml:space="preserve"> IF(co_impactTypes[[#This Row],[econMultiplierName]]="None", "N/A", 2010)</f>
        <v>N/A</v>
      </c>
    </row>
    <row r="192" spans="2:16" ht="22.5" x14ac:dyDescent="0.2">
      <c r="B192" s="4">
        <f xml:space="preserve"> ROW( co_impactTypes[[#This Row],[row_id]] ) - ROW(co_impactTypes[[#Headers],[row_id]] )</f>
        <v>38</v>
      </c>
      <c r="C192" s="7" t="s">
        <v>20</v>
      </c>
      <c r="D192" s="37" t="s">
        <v>32</v>
      </c>
      <c r="E192" s="26" t="s">
        <v>218</v>
      </c>
      <c r="F192" s="30" t="s">
        <v>51</v>
      </c>
      <c r="G192" s="26" t="s">
        <v>390</v>
      </c>
      <c r="H192" s="26" t="s">
        <v>85</v>
      </c>
      <c r="I192" s="26" t="s">
        <v>400</v>
      </c>
      <c r="J192" s="26" t="s">
        <v>89</v>
      </c>
      <c r="K192" s="26" t="s">
        <v>125</v>
      </c>
      <c r="L192" s="26" t="s">
        <v>89</v>
      </c>
      <c r="M192" s="25">
        <v>0</v>
      </c>
      <c r="N192" s="25">
        <v>1</v>
      </c>
      <c r="O192" s="25">
        <v>1</v>
      </c>
      <c r="P192" s="31" t="str">
        <f xml:space="preserve"> IF(co_impactTypes[[#This Row],[econMultiplierName]]="None", "N/A", 2010)</f>
        <v>N/A</v>
      </c>
    </row>
    <row r="193" spans="2:16" ht="22.5" x14ac:dyDescent="0.2">
      <c r="B193" s="4">
        <f xml:space="preserve"> ROW( co_impactTypes[[#This Row],[row_id]] ) - ROW(co_impactTypes[[#Headers],[row_id]] )</f>
        <v>39</v>
      </c>
      <c r="C193" s="7" t="s">
        <v>20</v>
      </c>
      <c r="D193" s="37" t="s">
        <v>31</v>
      </c>
      <c r="E193" s="26" t="s">
        <v>54</v>
      </c>
      <c r="F193" s="30" t="s">
        <v>50</v>
      </c>
      <c r="G193" s="26" t="s">
        <v>390</v>
      </c>
      <c r="H193" s="26" t="s">
        <v>85</v>
      </c>
      <c r="I193" s="26" t="s">
        <v>400</v>
      </c>
      <c r="J193" s="26" t="s">
        <v>89</v>
      </c>
      <c r="K193" s="26" t="s">
        <v>125</v>
      </c>
      <c r="L193" s="26" t="s">
        <v>89</v>
      </c>
      <c r="M193" s="25">
        <v>0</v>
      </c>
      <c r="N193" s="25">
        <v>1</v>
      </c>
      <c r="O193" s="25">
        <v>1</v>
      </c>
      <c r="P193" s="31" t="str">
        <f xml:space="preserve"> IF(co_impactTypes[[#This Row],[econMultiplierName]]="None", "N/A", 2010)</f>
        <v>N/A</v>
      </c>
    </row>
    <row r="194" spans="2:16" x14ac:dyDescent="0.2">
      <c r="B194" s="4">
        <f xml:space="preserve"> ROW( co_impactTypes[[#This Row],[row_id]] ) - ROW(co_impactTypes[[#Headers],[row_id]] )</f>
        <v>40</v>
      </c>
      <c r="C194" s="7" t="s">
        <v>20</v>
      </c>
      <c r="D194" s="37" t="s">
        <v>28</v>
      </c>
      <c r="E194" s="26" t="s">
        <v>41</v>
      </c>
      <c r="F194" s="30" t="s">
        <v>41</v>
      </c>
      <c r="G194" s="26" t="s">
        <v>251</v>
      </c>
      <c r="H194" s="26" t="s">
        <v>85</v>
      </c>
      <c r="I194" s="26" t="s">
        <v>401</v>
      </c>
      <c r="J194" s="26" t="s">
        <v>89</v>
      </c>
      <c r="K194" s="26" t="s">
        <v>123</v>
      </c>
      <c r="L194" s="26" t="s">
        <v>90</v>
      </c>
      <c r="M194" s="25">
        <v>0</v>
      </c>
      <c r="N194" s="25">
        <v>1</v>
      </c>
      <c r="O194" s="25">
        <v>0.4</v>
      </c>
      <c r="P194" s="31">
        <f xml:space="preserve"> IF(co_impactTypes[[#This Row],[econMultiplierName]]="None", "N/A", 2010)</f>
        <v>2010</v>
      </c>
    </row>
    <row r="195" spans="2:16" x14ac:dyDescent="0.2">
      <c r="B195" s="4">
        <f xml:space="preserve"> ROW( co_impactTypes[[#This Row],[row_id]] ) - ROW(co_impactTypes[[#Headers],[row_id]] )</f>
        <v>41</v>
      </c>
      <c r="C195" s="7" t="s">
        <v>20</v>
      </c>
      <c r="D195" s="37" t="s">
        <v>30</v>
      </c>
      <c r="E195" s="26" t="s">
        <v>42</v>
      </c>
      <c r="F195" s="30" t="s">
        <v>49</v>
      </c>
      <c r="G195" s="26" t="s">
        <v>390</v>
      </c>
      <c r="H195" s="26" t="s">
        <v>85</v>
      </c>
      <c r="I195" s="26" t="s">
        <v>400</v>
      </c>
      <c r="J195" s="26" t="s">
        <v>89</v>
      </c>
      <c r="K195" s="26" t="s">
        <v>126</v>
      </c>
      <c r="L195" s="26" t="s">
        <v>89</v>
      </c>
      <c r="M195" s="25">
        <v>0</v>
      </c>
      <c r="N195" s="25">
        <v>1</v>
      </c>
      <c r="O195" s="25">
        <v>1</v>
      </c>
      <c r="P195" s="31" t="str">
        <f xml:space="preserve"> IF(co_impactTypes[[#This Row],[econMultiplierName]]="None", "N/A", 2010)</f>
        <v>N/A</v>
      </c>
    </row>
    <row r="196" spans="2:16" x14ac:dyDescent="0.2">
      <c r="B196" s="4">
        <f xml:space="preserve"> ROW( co_impactTypes[[#This Row],[row_id]] ) - ROW(co_impactTypes[[#Headers],[row_id]] )</f>
        <v>42</v>
      </c>
      <c r="C196" s="7" t="s">
        <v>20</v>
      </c>
      <c r="D196" s="37" t="s">
        <v>29</v>
      </c>
      <c r="E196" s="26" t="s">
        <v>83</v>
      </c>
      <c r="F196" s="30" t="s">
        <v>145</v>
      </c>
      <c r="G196" s="26" t="s">
        <v>391</v>
      </c>
      <c r="H196" s="26" t="s">
        <v>85</v>
      </c>
      <c r="I196" s="26" t="s">
        <v>89</v>
      </c>
      <c r="J196" s="26" t="s">
        <v>89</v>
      </c>
      <c r="K196" s="26" t="s">
        <v>148</v>
      </c>
      <c r="L196" s="26" t="s">
        <v>89</v>
      </c>
      <c r="M196" s="25">
        <v>0</v>
      </c>
      <c r="N196" s="25">
        <v>1</v>
      </c>
      <c r="O196" s="25">
        <v>1</v>
      </c>
      <c r="P196" s="31" t="str">
        <f xml:space="preserve"> IF(co_impactTypes[[#This Row],[econMultiplierName]]="None", "N/A", 2010)</f>
        <v>N/A</v>
      </c>
    </row>
    <row r="197" spans="2:16" ht="33.75" x14ac:dyDescent="0.2">
      <c r="B197" s="4">
        <f xml:space="preserve"> ROW( co_impactTypes[[#This Row],[row_id]] ) - ROW(co_impactTypes[[#Headers],[row_id]] )</f>
        <v>43</v>
      </c>
      <c r="C197" s="7" t="s">
        <v>61</v>
      </c>
      <c r="D197" s="37" t="s">
        <v>194</v>
      </c>
      <c r="E197" s="26" t="s">
        <v>38</v>
      </c>
      <c r="F197" s="30" t="s">
        <v>231</v>
      </c>
      <c r="G197" s="26" t="s">
        <v>38</v>
      </c>
      <c r="H197" s="26" t="s">
        <v>89</v>
      </c>
      <c r="I197" s="26" t="s">
        <v>89</v>
      </c>
      <c r="J197" s="26" t="s">
        <v>89</v>
      </c>
      <c r="K197" s="26" t="s">
        <v>89</v>
      </c>
      <c r="L197" s="26" t="s">
        <v>89</v>
      </c>
      <c r="M197" s="25">
        <v>0</v>
      </c>
      <c r="N197" s="25">
        <f>10^6</f>
        <v>1000000</v>
      </c>
      <c r="O197" s="25">
        <v>1</v>
      </c>
      <c r="P197" s="31" t="str">
        <f xml:space="preserve"> IF(co_impactTypes[[#This Row],[econMultiplierName]]="None", "N/A", 2010)</f>
        <v>N/A</v>
      </c>
    </row>
    <row r="198" spans="2:16" x14ac:dyDescent="0.2">
      <c r="B198" s="4">
        <f xml:space="preserve"> ROW( co_impactTypes[[#This Row],[row_id]] ) - ROW(co_impactTypes[[#Headers],[row_id]] )</f>
        <v>44</v>
      </c>
      <c r="C198" s="7" t="s">
        <v>219</v>
      </c>
      <c r="D198" s="37" t="s">
        <v>140</v>
      </c>
      <c r="E198" s="26" t="s">
        <v>230</v>
      </c>
      <c r="F198" s="30" t="s">
        <v>230</v>
      </c>
      <c r="G198" s="26" t="s">
        <v>392</v>
      </c>
      <c r="H198" s="26" t="s">
        <v>85</v>
      </c>
      <c r="I198" s="26" t="s">
        <v>225</v>
      </c>
      <c r="J198" s="26" t="s">
        <v>89</v>
      </c>
      <c r="K198" s="26" t="s">
        <v>226</v>
      </c>
      <c r="L198" s="26" t="s">
        <v>90</v>
      </c>
      <c r="M198" s="25">
        <v>0</v>
      </c>
      <c r="N198" s="25">
        <v>1</v>
      </c>
      <c r="O198" s="25">
        <v>1</v>
      </c>
      <c r="P198" s="31">
        <f xml:space="preserve"> IF(co_impactTypes[[#This Row],[econMultiplierName]]="None", "N/A", 2010)</f>
        <v>2010</v>
      </c>
    </row>
    <row r="199" spans="2:16" x14ac:dyDescent="0.2">
      <c r="B199" s="4">
        <f xml:space="preserve"> ROW( co_impactTypes[[#This Row],[row_id]] ) - ROW(co_impactTypes[[#Headers],[row_id]] )</f>
        <v>45</v>
      </c>
      <c r="C199" s="7" t="s">
        <v>219</v>
      </c>
      <c r="D199" s="58" t="s">
        <v>110</v>
      </c>
      <c r="E199" s="26" t="s">
        <v>110</v>
      </c>
      <c r="F199" s="30" t="s">
        <v>110</v>
      </c>
      <c r="G199" s="26" t="s">
        <v>393</v>
      </c>
      <c r="H199" s="26" t="s">
        <v>85</v>
      </c>
      <c r="I199" s="26" t="s">
        <v>246</v>
      </c>
      <c r="J199" s="26" t="s">
        <v>89</v>
      </c>
      <c r="K199" s="26" t="s">
        <v>227</v>
      </c>
      <c r="L199" s="26" t="s">
        <v>89</v>
      </c>
      <c r="M199" s="25">
        <v>0</v>
      </c>
      <c r="N199" s="25">
        <v>1</v>
      </c>
      <c r="O199" s="25">
        <v>1</v>
      </c>
      <c r="P199" s="31" t="str">
        <f xml:space="preserve"> IF(co_impactTypes[[#This Row],[econMultiplierName]]="None", "N/A", 2010)</f>
        <v>N/A</v>
      </c>
    </row>
    <row r="200" spans="2:16" x14ac:dyDescent="0.2">
      <c r="B200" s="4">
        <f xml:space="preserve"> ROW( co_impactTypes[[#This Row],[row_id]] ) - ROW(co_impactTypes[[#Headers],[row_id]] )</f>
        <v>46</v>
      </c>
      <c r="C200" s="7" t="s">
        <v>219</v>
      </c>
      <c r="D200" s="58" t="s">
        <v>109</v>
      </c>
      <c r="E200" s="26" t="s">
        <v>109</v>
      </c>
      <c r="F200" s="30" t="s">
        <v>109</v>
      </c>
      <c r="G200" s="26" t="s">
        <v>251</v>
      </c>
      <c r="H200" s="26" t="s">
        <v>85</v>
      </c>
      <c r="I200" s="26" t="s">
        <v>224</v>
      </c>
      <c r="J200" s="26" t="s">
        <v>89</v>
      </c>
      <c r="K200" s="26" t="s">
        <v>123</v>
      </c>
      <c r="L200" s="26" t="s">
        <v>90</v>
      </c>
      <c r="M200" s="25">
        <v>0</v>
      </c>
      <c r="N200" s="25">
        <v>1</v>
      </c>
      <c r="O200" s="25">
        <v>0.4</v>
      </c>
      <c r="P200" s="31">
        <f xml:space="preserve"> IF(co_impactTypes[[#This Row],[econMultiplierName]]="None", "N/A", 2010)</f>
        <v>2010</v>
      </c>
    </row>
    <row r="201" spans="2:16" x14ac:dyDescent="0.2">
      <c r="B201" s="4">
        <f xml:space="preserve"> ROW( co_impactTypes[[#This Row],[row_id]] ) - ROW(co_impactTypes[[#Headers],[row_id]] )</f>
        <v>47</v>
      </c>
      <c r="C201" s="7" t="s">
        <v>364</v>
      </c>
      <c r="D201" s="37" t="s">
        <v>367</v>
      </c>
      <c r="E201" s="26" t="s">
        <v>365</v>
      </c>
      <c r="F201" s="30" t="s">
        <v>365</v>
      </c>
      <c r="G201" s="26" t="s">
        <v>38</v>
      </c>
      <c r="H201" s="26" t="s">
        <v>89</v>
      </c>
      <c r="I201" s="26" t="s">
        <v>89</v>
      </c>
      <c r="J201" s="26" t="s">
        <v>89</v>
      </c>
      <c r="K201" s="26" t="s">
        <v>89</v>
      </c>
      <c r="L201" s="26" t="s">
        <v>89</v>
      </c>
      <c r="M201" s="25">
        <v>0</v>
      </c>
      <c r="N201" s="25">
        <v>1</v>
      </c>
      <c r="O201" s="25">
        <v>1</v>
      </c>
      <c r="P201" s="31" t="str">
        <f xml:space="preserve"> IF(co_impactTypes[[#This Row],[econMultiplierName]]="None", "N/A", 2010)</f>
        <v>N/A</v>
      </c>
    </row>
    <row r="202" spans="2:16" x14ac:dyDescent="0.2">
      <c r="B202" s="4">
        <f xml:space="preserve"> ROW( co_impactTypes[[#This Row],[row_id]] ) - ROW(co_impactTypes[[#Headers],[row_id]] )</f>
        <v>48</v>
      </c>
      <c r="C202" s="7" t="s">
        <v>364</v>
      </c>
      <c r="D202" s="37" t="s">
        <v>368</v>
      </c>
      <c r="E202" s="26" t="s">
        <v>366</v>
      </c>
      <c r="F202" s="30" t="s">
        <v>366</v>
      </c>
      <c r="G202" s="26" t="s">
        <v>392</v>
      </c>
      <c r="H202" s="26" t="s">
        <v>89</v>
      </c>
      <c r="I202" s="26" t="s">
        <v>89</v>
      </c>
      <c r="J202" s="26" t="s">
        <v>89</v>
      </c>
      <c r="K202" s="26" t="s">
        <v>226</v>
      </c>
      <c r="L202" s="26" t="s">
        <v>90</v>
      </c>
      <c r="M202" s="25">
        <v>0</v>
      </c>
      <c r="N202" s="25">
        <v>1</v>
      </c>
      <c r="O202" s="25">
        <v>1</v>
      </c>
      <c r="P202" s="31">
        <f xml:space="preserve"> IF(co_impactTypes[[#This Row],[econMultiplierName]]="None", "N/A", 2010)</f>
        <v>2010</v>
      </c>
    </row>
    <row r="203" spans="2:16" x14ac:dyDescent="0.2">
      <c r="B203" s="4">
        <f xml:space="preserve"> ROW( co_impactTypes[[#This Row],[row_id]] ) - ROW(co_impactTypes[[#Headers],[row_id]] )</f>
        <v>49</v>
      </c>
      <c r="C203" s="7" t="s">
        <v>364</v>
      </c>
      <c r="D203" s="37" t="s">
        <v>109</v>
      </c>
      <c r="E203" s="26" t="s">
        <v>109</v>
      </c>
      <c r="F203" s="30" t="s">
        <v>109</v>
      </c>
      <c r="G203" s="26" t="s">
        <v>251</v>
      </c>
      <c r="H203" s="26" t="s">
        <v>89</v>
      </c>
      <c r="I203" s="26" t="s">
        <v>89</v>
      </c>
      <c r="J203" s="26" t="s">
        <v>89</v>
      </c>
      <c r="K203" s="26" t="s">
        <v>123</v>
      </c>
      <c r="L203" s="26" t="s">
        <v>90</v>
      </c>
      <c r="M203" s="25">
        <v>0</v>
      </c>
      <c r="N203" s="25">
        <v>1</v>
      </c>
      <c r="O203" s="25">
        <v>0.4</v>
      </c>
      <c r="P203" s="31">
        <f xml:space="preserve"> IF(co_impactTypes[[#This Row],[econMultiplierName]]="None", "N/A", 2010)</f>
        <v>2010</v>
      </c>
    </row>
    <row r="204" spans="2:16" x14ac:dyDescent="0.2">
      <c r="B204" s="4">
        <f xml:space="preserve"> ROW( co_impactTypes[[#This Row],[row_id]] ) - ROW(co_impactTypes[[#Headers],[row_id]] )</f>
        <v>50</v>
      </c>
      <c r="C204" s="7" t="s">
        <v>63</v>
      </c>
      <c r="D204" s="37" t="s">
        <v>194</v>
      </c>
      <c r="E204" s="26" t="s">
        <v>38</v>
      </c>
      <c r="F204" s="30" t="s">
        <v>142</v>
      </c>
      <c r="G204" s="26" t="s">
        <v>38</v>
      </c>
      <c r="H204" s="26" t="s">
        <v>85</v>
      </c>
      <c r="I204" s="26" t="s">
        <v>89</v>
      </c>
      <c r="J204" s="26" t="s">
        <v>89</v>
      </c>
      <c r="K204" s="26" t="s">
        <v>89</v>
      </c>
      <c r="L204" s="26" t="s">
        <v>89</v>
      </c>
      <c r="M204" s="25">
        <v>0</v>
      </c>
      <c r="N204" s="25">
        <v>1</v>
      </c>
      <c r="O204" s="25">
        <v>1</v>
      </c>
      <c r="P204" s="31" t="str">
        <f xml:space="preserve"> IF(co_impactTypes[[#This Row],[econMultiplierName]]="None", "N/A", 2010)</f>
        <v>N/A</v>
      </c>
    </row>
    <row r="205" spans="2:16" x14ac:dyDescent="0.2">
      <c r="B205" s="4">
        <f xml:space="preserve"> ROW( co_impactTypes[[#This Row],[row_id]] ) - ROW(co_impactTypes[[#Headers],[row_id]] )</f>
        <v>51</v>
      </c>
      <c r="C205" s="7" t="s">
        <v>103</v>
      </c>
      <c r="D205" s="37" t="s">
        <v>110</v>
      </c>
      <c r="E205" s="26" t="s">
        <v>110</v>
      </c>
      <c r="F205" s="30" t="s">
        <v>110</v>
      </c>
      <c r="G205" s="26" t="s">
        <v>393</v>
      </c>
      <c r="H205" s="26" t="s">
        <v>85</v>
      </c>
      <c r="I205" s="26" t="s">
        <v>89</v>
      </c>
      <c r="J205" s="26" t="s">
        <v>89</v>
      </c>
      <c r="K205" s="26" t="s">
        <v>89</v>
      </c>
      <c r="L205" s="26" t="s">
        <v>89</v>
      </c>
      <c r="M205" s="25">
        <v>0</v>
      </c>
      <c r="N205" s="25">
        <v>1</v>
      </c>
      <c r="O205" s="25">
        <v>1</v>
      </c>
      <c r="P205" s="31" t="str">
        <f xml:space="preserve"> IF(co_impactTypes[[#This Row],[econMultiplierName]]="None", "N/A", 2010)</f>
        <v>N/A</v>
      </c>
    </row>
    <row r="206" spans="2:16" x14ac:dyDescent="0.2">
      <c r="B206" s="4">
        <f xml:space="preserve"> ROW( co_impactTypes[[#This Row],[row_id]] ) - ROW(co_impactTypes[[#Headers],[row_id]] )</f>
        <v>52</v>
      </c>
      <c r="C206" s="7" t="s">
        <v>103</v>
      </c>
      <c r="D206" s="37" t="s">
        <v>109</v>
      </c>
      <c r="E206" s="26" t="s">
        <v>109</v>
      </c>
      <c r="F206" s="30" t="s">
        <v>109</v>
      </c>
      <c r="G206" s="26" t="s">
        <v>251</v>
      </c>
      <c r="H206" s="26" t="s">
        <v>85</v>
      </c>
      <c r="I206" s="26" t="s">
        <v>89</v>
      </c>
      <c r="J206" s="26" t="s">
        <v>89</v>
      </c>
      <c r="K206" s="26" t="s">
        <v>123</v>
      </c>
      <c r="L206" s="26" t="s">
        <v>90</v>
      </c>
      <c r="M206" s="25">
        <v>0</v>
      </c>
      <c r="N206" s="25">
        <v>1</v>
      </c>
      <c r="O206" s="25">
        <v>0.4</v>
      </c>
      <c r="P206" s="31">
        <f xml:space="preserve"> IF(co_impactTypes[[#This Row],[econMultiplierName]]="None", "N/A", 2010)</f>
        <v>2010</v>
      </c>
    </row>
    <row r="207" spans="2:16" x14ac:dyDescent="0.2">
      <c r="B207" s="4">
        <f xml:space="preserve"> ROW( co_impactTypes[[#This Row],[row_id]] ) - ROW(co_impactTypes[[#Headers],[row_id]] )</f>
        <v>53</v>
      </c>
      <c r="C207" s="7" t="s">
        <v>103</v>
      </c>
      <c r="D207" s="37" t="s">
        <v>113</v>
      </c>
      <c r="E207" s="26" t="s">
        <v>138</v>
      </c>
      <c r="F207" s="30" t="s">
        <v>138</v>
      </c>
      <c r="G207" s="26" t="s">
        <v>252</v>
      </c>
      <c r="H207" s="26" t="s">
        <v>89</v>
      </c>
      <c r="I207" s="26" t="s">
        <v>89</v>
      </c>
      <c r="J207" s="26" t="s">
        <v>89</v>
      </c>
      <c r="K207" s="26" t="s">
        <v>112</v>
      </c>
      <c r="L207" s="26" t="s">
        <v>89</v>
      </c>
      <c r="M207" s="25">
        <v>0</v>
      </c>
      <c r="N207" s="25">
        <v>1</v>
      </c>
      <c r="O207" s="25">
        <v>1</v>
      </c>
      <c r="P207" s="31" t="str">
        <f xml:space="preserve"> IF(co_impactTypes[[#This Row],[econMultiplierName]]="None", "N/A", 2010)</f>
        <v>N/A</v>
      </c>
    </row>
    <row r="208" spans="2:16" x14ac:dyDescent="0.2">
      <c r="B208" s="4">
        <f xml:space="preserve"> ROW( co_impactTypes[[#This Row],[row_id]] ) - ROW(co_impactTypes[[#Headers],[row_id]] )</f>
        <v>54</v>
      </c>
      <c r="C208" s="7" t="s">
        <v>276</v>
      </c>
      <c r="D208" s="37" t="s">
        <v>194</v>
      </c>
      <c r="E208" s="26" t="s">
        <v>38</v>
      </c>
      <c r="F208" s="30" t="s">
        <v>279</v>
      </c>
      <c r="G208" s="26" t="s">
        <v>38</v>
      </c>
      <c r="H208" s="26" t="s">
        <v>89</v>
      </c>
      <c r="I208" s="26" t="s">
        <v>89</v>
      </c>
      <c r="J208" s="26" t="s">
        <v>89</v>
      </c>
      <c r="K208" s="26" t="s">
        <v>89</v>
      </c>
      <c r="L208" s="26" t="s">
        <v>89</v>
      </c>
      <c r="M208" s="25">
        <v>0</v>
      </c>
      <c r="N208" s="25">
        <v>1</v>
      </c>
      <c r="O208" s="25">
        <v>1</v>
      </c>
      <c r="P208" s="31" t="str">
        <f xml:space="preserve"> IF(co_impactTypes[[#This Row],[econMultiplierName]]="None", "N/A", 2010)</f>
        <v>N/A</v>
      </c>
    </row>
    <row r="209" spans="1:21" ht="22.5" x14ac:dyDescent="0.2">
      <c r="B209" s="4">
        <f xml:space="preserve"> ROW( co_impactTypes[[#This Row],[row_id]] ) - ROW(co_impactTypes[[#Headers],[row_id]] )</f>
        <v>55</v>
      </c>
      <c r="C209" s="7" t="s">
        <v>24</v>
      </c>
      <c r="D209" s="37" t="s">
        <v>25</v>
      </c>
      <c r="E209" s="26" t="s">
        <v>43</v>
      </c>
      <c r="F209" s="30" t="s">
        <v>233</v>
      </c>
      <c r="G209" s="26" t="s">
        <v>38</v>
      </c>
      <c r="H209" s="26" t="s">
        <v>85</v>
      </c>
      <c r="I209" s="26" t="s">
        <v>89</v>
      </c>
      <c r="J209" s="26" t="s">
        <v>89</v>
      </c>
      <c r="K209" s="26" t="s">
        <v>89</v>
      </c>
      <c r="L209" s="26" t="s">
        <v>89</v>
      </c>
      <c r="M209" s="25">
        <v>0</v>
      </c>
      <c r="N209" s="25">
        <v>1</v>
      </c>
      <c r="O209" s="25">
        <v>1</v>
      </c>
      <c r="P209" s="31" t="str">
        <f xml:space="preserve"> IF(co_impactTypes[[#This Row],[econMultiplierName]]="None", "N/A", 2010)</f>
        <v>N/A</v>
      </c>
    </row>
    <row r="210" spans="1:21" ht="22.5" x14ac:dyDescent="0.2">
      <c r="B210" s="4">
        <f xml:space="preserve"> ROW( co_impactTypes[[#This Row],[row_id]] ) - ROW(co_impactTypes[[#Headers],[row_id]] )</f>
        <v>56</v>
      </c>
      <c r="C210" s="7" t="s">
        <v>24</v>
      </c>
      <c r="D210" s="37" t="s">
        <v>26</v>
      </c>
      <c r="E210" s="26" t="s">
        <v>44</v>
      </c>
      <c r="F210" s="30" t="s">
        <v>234</v>
      </c>
      <c r="G210" s="26" t="s">
        <v>38</v>
      </c>
      <c r="H210" s="26" t="s">
        <v>85</v>
      </c>
      <c r="I210" s="26" t="s">
        <v>89</v>
      </c>
      <c r="J210" s="26" t="s">
        <v>89</v>
      </c>
      <c r="K210" s="26" t="s">
        <v>89</v>
      </c>
      <c r="L210" s="26" t="s">
        <v>89</v>
      </c>
      <c r="M210" s="25">
        <v>0</v>
      </c>
      <c r="N210" s="25">
        <v>1</v>
      </c>
      <c r="O210" s="25">
        <v>1</v>
      </c>
      <c r="P210" s="31" t="str">
        <f xml:space="preserve"> IF(co_impactTypes[[#This Row],[econMultiplierName]]="None", "N/A", 2010)</f>
        <v>N/A</v>
      </c>
    </row>
    <row r="211" spans="1:21" ht="22.5" x14ac:dyDescent="0.2">
      <c r="B211" s="4">
        <f xml:space="preserve"> ROW( co_impactTypes[[#This Row],[row_id]] ) - ROW(co_impactTypes[[#Headers],[row_id]] )</f>
        <v>57</v>
      </c>
      <c r="C211" s="7" t="s">
        <v>24</v>
      </c>
      <c r="D211" s="37" t="s">
        <v>27</v>
      </c>
      <c r="E211" s="26" t="s">
        <v>27</v>
      </c>
      <c r="F211" s="30" t="s">
        <v>235</v>
      </c>
      <c r="G211" s="26" t="s">
        <v>38</v>
      </c>
      <c r="H211" s="26" t="s">
        <v>85</v>
      </c>
      <c r="I211" s="26" t="s">
        <v>89</v>
      </c>
      <c r="J211" s="26" t="s">
        <v>89</v>
      </c>
      <c r="K211" s="26" t="s">
        <v>89</v>
      </c>
      <c r="L211" s="26" t="s">
        <v>89</v>
      </c>
      <c r="M211" s="25">
        <v>0</v>
      </c>
      <c r="N211" s="25">
        <v>1</v>
      </c>
      <c r="O211" s="25">
        <v>1</v>
      </c>
      <c r="P211" s="31" t="str">
        <f xml:space="preserve"> IF(co_impactTypes[[#This Row],[econMultiplierName]]="None", "N/A", 2010)</f>
        <v>N/A</v>
      </c>
    </row>
    <row r="215" spans="1:21" ht="15" x14ac:dyDescent="0.25">
      <c r="A215" s="16"/>
      <c r="B215" s="17" t="s">
        <v>288</v>
      </c>
      <c r="C215" s="17"/>
      <c r="D215" s="17"/>
      <c r="E215" s="17"/>
      <c r="F215" s="17"/>
      <c r="G215" s="17"/>
      <c r="H215" s="17"/>
      <c r="I215" s="17"/>
      <c r="J215" s="17"/>
      <c r="K215" s="17"/>
      <c r="L215" s="17"/>
      <c r="M215" s="17"/>
      <c r="N215" s="17"/>
      <c r="O215" s="17"/>
      <c r="P215" s="17"/>
      <c r="Q215" s="17"/>
      <c r="R215" s="17"/>
      <c r="S215" s="17"/>
      <c r="T215" s="17"/>
      <c r="U215" s="17"/>
    </row>
    <row r="216" spans="1:21" x14ac:dyDescent="0.2">
      <c r="B216" s="2" t="s">
        <v>174</v>
      </c>
    </row>
    <row r="219" spans="1:21" ht="15" x14ac:dyDescent="0.25">
      <c r="B219" s="27" t="s">
        <v>121</v>
      </c>
      <c r="C219" s="27" t="s">
        <v>87</v>
      </c>
      <c r="D219" s="27" t="s">
        <v>86</v>
      </c>
      <c r="E219" s="29" t="s">
        <v>149</v>
      </c>
      <c r="F219" s="29" t="s">
        <v>174</v>
      </c>
      <c r="G219" s="29" t="s">
        <v>173</v>
      </c>
      <c r="H219" s="29" t="s">
        <v>153</v>
      </c>
      <c r="I219" s="29" t="s">
        <v>179</v>
      </c>
      <c r="J219" s="27" t="s">
        <v>166</v>
      </c>
      <c r="Q219" s="5"/>
      <c r="R219" s="5"/>
      <c r="S219" s="5"/>
    </row>
    <row r="220" spans="1:21" ht="22.5" x14ac:dyDescent="0.25">
      <c r="B220" s="6">
        <f xml:space="preserve"> ROW( co_scalarInfo[[#This Row],[row_id]] ) - ROW( co_scalarInfo[[#Headers],[row_id]] )</f>
        <v>1</v>
      </c>
      <c r="C220" s="24" t="s">
        <v>93</v>
      </c>
      <c r="D220" s="24" t="s">
        <v>92</v>
      </c>
      <c r="E220" s="70" t="s">
        <v>151</v>
      </c>
      <c r="F220" s="70">
        <v>1</v>
      </c>
      <c r="G220" s="70">
        <v>1</v>
      </c>
      <c r="H220" s="70">
        <v>2015</v>
      </c>
      <c r="I220" s="38" t="s">
        <v>180</v>
      </c>
      <c r="J220" s="55"/>
      <c r="Q220"/>
      <c r="R220"/>
      <c r="S220"/>
    </row>
    <row r="221" spans="1:21" ht="33.75" x14ac:dyDescent="0.25">
      <c r="B221" s="6">
        <f xml:space="preserve"> ROW( co_scalarInfo[[#This Row],[row_id]] ) - ROW( co_scalarInfo[[#Headers],[row_id]] )</f>
        <v>2</v>
      </c>
      <c r="C221" s="30" t="s">
        <v>238</v>
      </c>
      <c r="D221" s="24" t="s">
        <v>134</v>
      </c>
      <c r="E221" s="70" t="s">
        <v>151</v>
      </c>
      <c r="F221" s="70">
        <v>1</v>
      </c>
      <c r="G221" s="70">
        <v>1</v>
      </c>
      <c r="H221" s="71" t="s">
        <v>208</v>
      </c>
      <c r="I221" s="38" t="s">
        <v>180</v>
      </c>
      <c r="J221" s="55"/>
      <c r="Q221"/>
      <c r="R221"/>
      <c r="S221"/>
    </row>
    <row r="222" spans="1:21" ht="15" x14ac:dyDescent="0.25">
      <c r="B222" s="6">
        <f xml:space="preserve"> ROW( co_scalarInfo[[#This Row],[row_id]] ) - ROW( co_scalarInfo[[#Headers],[row_id]] )</f>
        <v>3</v>
      </c>
      <c r="C222" s="30" t="s">
        <v>480</v>
      </c>
      <c r="D222" s="24" t="s">
        <v>482</v>
      </c>
      <c r="E222" s="70" t="s">
        <v>151</v>
      </c>
      <c r="F222" s="70">
        <v>1</v>
      </c>
      <c r="G222" s="70">
        <v>1</v>
      </c>
      <c r="H222" s="71" t="s">
        <v>208</v>
      </c>
      <c r="I222" s="38" t="s">
        <v>180</v>
      </c>
      <c r="J222" s="55"/>
      <c r="Q222"/>
      <c r="R222"/>
      <c r="S222"/>
    </row>
    <row r="223" spans="1:21" ht="15" x14ac:dyDescent="0.25">
      <c r="B223" s="6">
        <f xml:space="preserve"> ROW( co_scalarInfo[[#This Row],[row_id]] ) - ROW( co_scalarInfo[[#Headers],[row_id]] )</f>
        <v>4</v>
      </c>
      <c r="C223" s="30" t="s">
        <v>481</v>
      </c>
      <c r="D223" s="24" t="s">
        <v>483</v>
      </c>
      <c r="E223" s="70" t="s">
        <v>151</v>
      </c>
      <c r="F223" s="70">
        <v>1</v>
      </c>
      <c r="G223" s="70">
        <v>1</v>
      </c>
      <c r="H223" s="71" t="s">
        <v>208</v>
      </c>
      <c r="I223" s="38" t="s">
        <v>180</v>
      </c>
      <c r="J223" s="55"/>
      <c r="Q223"/>
      <c r="R223"/>
      <c r="S223"/>
    </row>
    <row r="224" spans="1:21" ht="15" x14ac:dyDescent="0.25">
      <c r="B224" s="6">
        <f xml:space="preserve"> ROW( co_scalarInfo[[#This Row],[row_id]] ) - ROW( co_scalarInfo[[#Headers],[row_id]] )</f>
        <v>5</v>
      </c>
      <c r="C224" s="30" t="s">
        <v>89</v>
      </c>
      <c r="D224" s="24" t="s">
        <v>183</v>
      </c>
      <c r="E224" s="70" t="s">
        <v>151</v>
      </c>
      <c r="F224" s="70">
        <v>0</v>
      </c>
      <c r="G224" s="70">
        <v>0</v>
      </c>
      <c r="H224" s="70" t="s">
        <v>38</v>
      </c>
      <c r="I224" s="38" t="s">
        <v>182</v>
      </c>
      <c r="J224" s="55" t="s">
        <v>184</v>
      </c>
      <c r="Q224"/>
      <c r="R224"/>
      <c r="S224"/>
    </row>
    <row r="225" spans="2:19" ht="15" x14ac:dyDescent="0.25">
      <c r="B225" s="6">
        <f xml:space="preserve"> ROW( co_scalarInfo[[#This Row],[row_id]] ) - ROW( co_scalarInfo[[#Headers],[row_id]] )</f>
        <v>6</v>
      </c>
      <c r="C225" s="30" t="s">
        <v>122</v>
      </c>
      <c r="D225" s="24" t="s">
        <v>135</v>
      </c>
      <c r="E225" s="70" t="s">
        <v>151</v>
      </c>
      <c r="F225" s="70">
        <v>1</v>
      </c>
      <c r="G225" s="70">
        <v>0</v>
      </c>
      <c r="H225" s="71" t="s">
        <v>208</v>
      </c>
      <c r="I225" s="38" t="s">
        <v>180</v>
      </c>
      <c r="J225" s="55"/>
      <c r="Q225"/>
      <c r="R225"/>
      <c r="S225"/>
    </row>
    <row r="226" spans="2:19" ht="33.75" x14ac:dyDescent="0.25">
      <c r="B226" s="6">
        <f xml:space="preserve"> ROW( co_scalarInfo[[#This Row],[row_id]] ) - ROW( co_scalarInfo[[#Headers],[row_id]] )</f>
        <v>7</v>
      </c>
      <c r="C226" s="30" t="s">
        <v>394</v>
      </c>
      <c r="D226" s="24" t="s">
        <v>395</v>
      </c>
      <c r="E226" s="70" t="s">
        <v>151</v>
      </c>
      <c r="F226" s="70">
        <v>1</v>
      </c>
      <c r="G226" s="70">
        <v>1</v>
      </c>
      <c r="H226" s="71" t="s">
        <v>208</v>
      </c>
      <c r="I226" s="38" t="s">
        <v>180</v>
      </c>
      <c r="J226" s="55" t="s">
        <v>406</v>
      </c>
      <c r="Q226"/>
      <c r="R226"/>
      <c r="S226"/>
    </row>
    <row r="227" spans="2:19" ht="33.75" x14ac:dyDescent="0.25">
      <c r="B227" s="6">
        <f xml:space="preserve"> ROW( co_scalarInfo[[#This Row],[row_id]] ) - ROW( co_scalarInfo[[#Headers],[row_id]] )</f>
        <v>8</v>
      </c>
      <c r="C227" s="30" t="s">
        <v>396</v>
      </c>
      <c r="D227" s="24" t="s">
        <v>397</v>
      </c>
      <c r="E227" s="70" t="s">
        <v>151</v>
      </c>
      <c r="F227" s="70">
        <v>1</v>
      </c>
      <c r="G227" s="70">
        <v>1</v>
      </c>
      <c r="H227" s="71" t="s">
        <v>208</v>
      </c>
      <c r="I227" s="38" t="s">
        <v>180</v>
      </c>
      <c r="J227" s="55" t="s">
        <v>407</v>
      </c>
      <c r="Q227"/>
      <c r="R227"/>
      <c r="S227"/>
    </row>
    <row r="228" spans="2:19" ht="33.75" x14ac:dyDescent="0.25">
      <c r="B228" s="6">
        <f xml:space="preserve"> ROW( co_scalarInfo[[#This Row],[row_id]] ) - ROW( co_scalarInfo[[#Headers],[row_id]] )</f>
        <v>9</v>
      </c>
      <c r="C228" s="30" t="s">
        <v>398</v>
      </c>
      <c r="D228" s="24" t="s">
        <v>399</v>
      </c>
      <c r="E228" s="70" t="s">
        <v>151</v>
      </c>
      <c r="F228" s="70">
        <v>1</v>
      </c>
      <c r="G228" s="70">
        <v>1</v>
      </c>
      <c r="H228" s="71" t="s">
        <v>208</v>
      </c>
      <c r="I228" s="38" t="s">
        <v>180</v>
      </c>
      <c r="J228" s="55" t="s">
        <v>408</v>
      </c>
      <c r="Q228"/>
      <c r="R228"/>
      <c r="S228"/>
    </row>
    <row r="229" spans="2:19" ht="15" x14ac:dyDescent="0.25">
      <c r="B229" s="6">
        <f xml:space="preserve"> ROW( co_scalarInfo[[#This Row],[row_id]] ) - ROW( co_scalarInfo[[#Headers],[row_id]] )</f>
        <v>10</v>
      </c>
      <c r="C229" s="30" t="s">
        <v>226</v>
      </c>
      <c r="D229" s="24" t="s">
        <v>228</v>
      </c>
      <c r="E229" s="70" t="s">
        <v>150</v>
      </c>
      <c r="F229" s="70">
        <v>0</v>
      </c>
      <c r="G229" s="70">
        <v>0</v>
      </c>
      <c r="H229" s="71" t="s">
        <v>208</v>
      </c>
      <c r="I229" s="38" t="s">
        <v>180</v>
      </c>
      <c r="J229" s="55"/>
      <c r="Q229"/>
      <c r="R229"/>
      <c r="S229"/>
    </row>
    <row r="230" spans="2:19" ht="15" x14ac:dyDescent="0.25">
      <c r="B230" s="6">
        <f xml:space="preserve"> ROW( co_scalarInfo[[#This Row],[row_id]] ) - ROW( co_scalarInfo[[#Headers],[row_id]] )</f>
        <v>11</v>
      </c>
      <c r="C230" s="30" t="s">
        <v>464</v>
      </c>
      <c r="D230" s="24" t="s">
        <v>467</v>
      </c>
      <c r="E230" s="70" t="s">
        <v>150</v>
      </c>
      <c r="F230" s="70">
        <v>0</v>
      </c>
      <c r="G230" s="70">
        <v>0</v>
      </c>
      <c r="H230" s="71">
        <v>2015</v>
      </c>
      <c r="I230" s="38" t="s">
        <v>180</v>
      </c>
      <c r="J230" s="55"/>
      <c r="Q230"/>
      <c r="R230"/>
      <c r="S230"/>
    </row>
    <row r="231" spans="2:19" ht="15" x14ac:dyDescent="0.25">
      <c r="B231" s="6">
        <f xml:space="preserve"> ROW( co_scalarInfo[[#This Row],[row_id]] ) - ROW( co_scalarInfo[[#Headers],[row_id]] )</f>
        <v>12</v>
      </c>
      <c r="C231" s="30" t="s">
        <v>90</v>
      </c>
      <c r="D231" s="24" t="s">
        <v>485</v>
      </c>
      <c r="E231" s="70" t="s">
        <v>150</v>
      </c>
      <c r="F231" s="70">
        <v>1</v>
      </c>
      <c r="G231" s="70">
        <v>0</v>
      </c>
      <c r="H231" s="71"/>
      <c r="I231" s="38" t="s">
        <v>182</v>
      </c>
      <c r="J231" s="55" t="s">
        <v>484</v>
      </c>
      <c r="Q231"/>
      <c r="R231"/>
      <c r="S231"/>
    </row>
    <row r="232" spans="2:19" ht="15" x14ac:dyDescent="0.25">
      <c r="B232" s="6">
        <f xml:space="preserve"> ROW( co_scalarInfo[[#This Row],[row_id]] ) - ROW( co_scalarInfo[[#Headers],[row_id]] )</f>
        <v>13</v>
      </c>
      <c r="C232" s="24" t="s">
        <v>245</v>
      </c>
      <c r="D232" s="24" t="s">
        <v>108</v>
      </c>
      <c r="E232" s="70" t="s">
        <v>150</v>
      </c>
      <c r="F232" s="70">
        <v>0</v>
      </c>
      <c r="G232" s="70">
        <v>0</v>
      </c>
      <c r="H232" s="71">
        <v>2010</v>
      </c>
      <c r="I232" s="38" t="s">
        <v>180</v>
      </c>
      <c r="J232" s="55"/>
      <c r="Q232"/>
      <c r="R232"/>
      <c r="S232"/>
    </row>
    <row r="233" spans="2:19" ht="22.5" x14ac:dyDescent="0.25">
      <c r="B233" s="6">
        <f xml:space="preserve"> ROW( co_scalarInfo[[#This Row],[row_id]] ) - ROW( co_scalarInfo[[#Headers],[row_id]] )</f>
        <v>14</v>
      </c>
      <c r="C233" s="30" t="s">
        <v>148</v>
      </c>
      <c r="D233" s="24" t="s">
        <v>128</v>
      </c>
      <c r="E233" s="70" t="s">
        <v>150</v>
      </c>
      <c r="F233" s="70">
        <v>0</v>
      </c>
      <c r="G233" s="70">
        <v>0</v>
      </c>
      <c r="H233" s="70">
        <v>2010</v>
      </c>
      <c r="I233" s="38" t="s">
        <v>180</v>
      </c>
      <c r="J233" s="55"/>
      <c r="Q233"/>
      <c r="R233"/>
      <c r="S233"/>
    </row>
    <row r="234" spans="2:19" ht="22.5" x14ac:dyDescent="0.2">
      <c r="B234" s="6">
        <f xml:space="preserve"> ROW( co_scalarInfo[[#This Row],[row_id]] ) - ROW( co_scalarInfo[[#Headers],[row_id]] )</f>
        <v>15</v>
      </c>
      <c r="C234" s="30" t="s">
        <v>125</v>
      </c>
      <c r="D234" s="24" t="s">
        <v>124</v>
      </c>
      <c r="E234" s="70" t="s">
        <v>150</v>
      </c>
      <c r="F234" s="70">
        <v>0</v>
      </c>
      <c r="G234" s="70">
        <v>0</v>
      </c>
      <c r="H234" s="70">
        <v>2010</v>
      </c>
      <c r="I234" s="38" t="s">
        <v>180</v>
      </c>
      <c r="J234" s="55"/>
    </row>
    <row r="235" spans="2:19" ht="22.5" x14ac:dyDescent="0.2">
      <c r="B235" s="6">
        <f xml:space="preserve"> ROW( co_scalarInfo[[#This Row],[row_id]] ) - ROW( co_scalarInfo[[#Headers],[row_id]] )</f>
        <v>16</v>
      </c>
      <c r="C235" s="30" t="s">
        <v>126</v>
      </c>
      <c r="D235" s="24" t="s">
        <v>127</v>
      </c>
      <c r="E235" s="70" t="s">
        <v>150</v>
      </c>
      <c r="F235" s="70">
        <v>0</v>
      </c>
      <c r="G235" s="70">
        <v>0</v>
      </c>
      <c r="H235" s="70">
        <v>2010</v>
      </c>
      <c r="I235" s="38" t="s">
        <v>180</v>
      </c>
      <c r="J235" s="55"/>
    </row>
    <row r="236" spans="2:19" ht="22.5" x14ac:dyDescent="0.2">
      <c r="B236" s="6">
        <f xml:space="preserve"> ROW( co_scalarInfo[[#This Row],[row_id]] ) - ROW( co_scalarInfo[[#Headers],[row_id]] )</f>
        <v>17</v>
      </c>
      <c r="C236" s="30" t="s">
        <v>443</v>
      </c>
      <c r="D236" s="24" t="s">
        <v>444</v>
      </c>
      <c r="E236" s="70" t="s">
        <v>150</v>
      </c>
      <c r="F236" s="70">
        <v>0</v>
      </c>
      <c r="G236" s="70">
        <v>0</v>
      </c>
      <c r="H236" s="70">
        <v>2015</v>
      </c>
      <c r="I236" s="38" t="s">
        <v>180</v>
      </c>
      <c r="J236" s="55"/>
    </row>
    <row r="237" spans="2:19" x14ac:dyDescent="0.2">
      <c r="B237" s="6">
        <f xml:space="preserve"> ROW( co_scalarInfo[[#This Row],[row_id]] ) - ROW( co_scalarInfo[[#Headers],[row_id]] )</f>
        <v>18</v>
      </c>
      <c r="C237" s="30" t="s">
        <v>89</v>
      </c>
      <c r="D237" s="24" t="s">
        <v>183</v>
      </c>
      <c r="E237" s="70" t="s">
        <v>150</v>
      </c>
      <c r="F237" s="70">
        <v>0</v>
      </c>
      <c r="G237" s="70">
        <v>0</v>
      </c>
      <c r="H237" s="70" t="s">
        <v>38</v>
      </c>
      <c r="I237" s="38" t="s">
        <v>182</v>
      </c>
      <c r="J237" s="55" t="s">
        <v>184</v>
      </c>
    </row>
    <row r="238" spans="2:19" x14ac:dyDescent="0.2">
      <c r="B238" s="6">
        <f xml:space="preserve"> ROW( co_scalarInfo[[#This Row],[row_id]] ) - ROW( co_scalarInfo[[#Headers],[row_id]] )</f>
        <v>19</v>
      </c>
      <c r="C238" s="30" t="s">
        <v>303</v>
      </c>
      <c r="D238" s="24" t="s">
        <v>304</v>
      </c>
      <c r="E238" s="70" t="s">
        <v>150</v>
      </c>
      <c r="F238" s="70">
        <v>0</v>
      </c>
      <c r="G238" s="70">
        <v>1</v>
      </c>
      <c r="H238" s="71">
        <v>2015</v>
      </c>
      <c r="I238" s="38"/>
      <c r="J238" s="55"/>
    </row>
    <row r="239" spans="2:19" x14ac:dyDescent="0.2">
      <c r="B239" s="6">
        <f xml:space="preserve"> ROW( co_scalarInfo[[#This Row],[row_id]] ) - ROW( co_scalarInfo[[#Headers],[row_id]] )</f>
        <v>20</v>
      </c>
      <c r="C239" s="30" t="s">
        <v>465</v>
      </c>
      <c r="D239" s="24" t="s">
        <v>468</v>
      </c>
      <c r="E239" s="70" t="s">
        <v>150</v>
      </c>
      <c r="F239" s="70">
        <v>0</v>
      </c>
      <c r="G239" s="70">
        <v>0</v>
      </c>
      <c r="H239" s="71">
        <v>2015</v>
      </c>
      <c r="I239" s="38" t="s">
        <v>180</v>
      </c>
      <c r="J239" s="55"/>
    </row>
    <row r="240" spans="2:19" ht="22.5" x14ac:dyDescent="0.2">
      <c r="B240" s="6">
        <f xml:space="preserve"> ROW( co_scalarInfo[[#This Row],[row_id]] ) - ROW( co_scalarInfo[[#Headers],[row_id]] )</f>
        <v>21</v>
      </c>
      <c r="C240" s="30" t="s">
        <v>227</v>
      </c>
      <c r="D240" s="24" t="s">
        <v>229</v>
      </c>
      <c r="E240" s="70" t="s">
        <v>150</v>
      </c>
      <c r="F240" s="70">
        <v>0</v>
      </c>
      <c r="G240" s="70">
        <v>0</v>
      </c>
      <c r="H240" s="71" t="s">
        <v>208</v>
      </c>
      <c r="I240" s="38" t="s">
        <v>180</v>
      </c>
      <c r="J240" s="55"/>
    </row>
    <row r="241" spans="2:10" x14ac:dyDescent="0.2">
      <c r="B241" s="6">
        <f xml:space="preserve"> ROW( co_scalarInfo[[#This Row],[row_id]] ) - ROW( co_scalarInfo[[#Headers],[row_id]] )</f>
        <v>22</v>
      </c>
      <c r="C241" s="30" t="s">
        <v>305</v>
      </c>
      <c r="D241" s="24" t="s">
        <v>306</v>
      </c>
      <c r="E241" s="70" t="s">
        <v>150</v>
      </c>
      <c r="F241" s="70">
        <v>0</v>
      </c>
      <c r="G241" s="70">
        <v>1</v>
      </c>
      <c r="H241" s="71">
        <v>2015</v>
      </c>
      <c r="I241" s="38"/>
      <c r="J241" s="55"/>
    </row>
    <row r="242" spans="2:10" x14ac:dyDescent="0.2">
      <c r="B242" s="6">
        <f xml:space="preserve"> ROW( co_scalarInfo[[#This Row],[row_id]] ) - ROW( co_scalarInfo[[#Headers],[row_id]] )</f>
        <v>23</v>
      </c>
      <c r="C242" s="24" t="s">
        <v>123</v>
      </c>
      <c r="D242" s="24" t="s">
        <v>16</v>
      </c>
      <c r="E242" s="70" t="s">
        <v>150</v>
      </c>
      <c r="F242" s="70">
        <v>0</v>
      </c>
      <c r="G242" s="70">
        <v>0</v>
      </c>
      <c r="H242" s="70">
        <v>2010</v>
      </c>
      <c r="I242" s="38" t="s">
        <v>180</v>
      </c>
      <c r="J242" s="55"/>
    </row>
    <row r="243" spans="2:10" x14ac:dyDescent="0.2">
      <c r="B243" s="6">
        <f xml:space="preserve"> ROW( co_scalarInfo[[#This Row],[row_id]] ) - ROW( co_scalarInfo[[#Headers],[row_id]] )</f>
        <v>24</v>
      </c>
      <c r="C243" s="30" t="s">
        <v>466</v>
      </c>
      <c r="D243" s="24" t="s">
        <v>469</v>
      </c>
      <c r="E243" s="70" t="s">
        <v>150</v>
      </c>
      <c r="F243" s="70">
        <v>0</v>
      </c>
      <c r="G243" s="70">
        <v>0</v>
      </c>
      <c r="H243" s="70">
        <v>2015</v>
      </c>
      <c r="I243" s="38" t="s">
        <v>180</v>
      </c>
      <c r="J243" s="55"/>
    </row>
    <row r="244" spans="2:10" x14ac:dyDescent="0.2">
      <c r="B244" s="6">
        <f xml:space="preserve"> ROW( co_scalarInfo[[#This Row],[row_id]] ) - ROW( co_scalarInfo[[#Headers],[row_id]] )</f>
        <v>25</v>
      </c>
      <c r="C244" s="30" t="s">
        <v>112</v>
      </c>
      <c r="D244" s="24" t="s">
        <v>111</v>
      </c>
      <c r="E244" s="70" t="s">
        <v>150</v>
      </c>
      <c r="F244" s="70">
        <v>0</v>
      </c>
      <c r="G244" s="70">
        <v>1</v>
      </c>
      <c r="H244" s="71">
        <v>2010</v>
      </c>
      <c r="I244" s="38" t="s">
        <v>180</v>
      </c>
      <c r="J244" s="55"/>
    </row>
    <row r="245" spans="2:10" x14ac:dyDescent="0.2">
      <c r="B245" s="6">
        <f xml:space="preserve"> ROW( co_scalarInfo[[#This Row],[row_id]] ) - ROW( co_scalarInfo[[#Headers],[row_id]] )</f>
        <v>26</v>
      </c>
      <c r="C245" s="30" t="s">
        <v>89</v>
      </c>
      <c r="D245" s="24" t="s">
        <v>183</v>
      </c>
      <c r="E245" s="70" t="s">
        <v>505</v>
      </c>
      <c r="F245" s="70">
        <v>0</v>
      </c>
      <c r="G245" s="70">
        <v>0</v>
      </c>
      <c r="H245" s="71" t="s">
        <v>38</v>
      </c>
      <c r="I245" s="38" t="s">
        <v>182</v>
      </c>
      <c r="J245" s="55"/>
    </row>
    <row r="246" spans="2:10" x14ac:dyDescent="0.2">
      <c r="B246" s="6">
        <f xml:space="preserve"> ROW( co_scalarInfo[[#This Row],[row_id]] ) - ROW( co_scalarInfo[[#Headers],[row_id]] )</f>
        <v>27</v>
      </c>
      <c r="C246" s="30" t="s">
        <v>91</v>
      </c>
      <c r="D246" s="24" t="s">
        <v>130</v>
      </c>
      <c r="E246" s="70" t="s">
        <v>167</v>
      </c>
      <c r="F246" s="70">
        <v>1</v>
      </c>
      <c r="G246" s="70">
        <v>1</v>
      </c>
      <c r="H246" s="71" t="s">
        <v>208</v>
      </c>
      <c r="I246" s="38" t="s">
        <v>180</v>
      </c>
      <c r="J246" s="55"/>
    </row>
    <row r="247" spans="2:10" x14ac:dyDescent="0.2">
      <c r="B247" s="6">
        <f xml:space="preserve"> ROW( co_scalarInfo[[#This Row],[row_id]] ) - ROW( co_scalarInfo[[#Headers],[row_id]] )</f>
        <v>28</v>
      </c>
      <c r="C247" s="30" t="s">
        <v>89</v>
      </c>
      <c r="D247" s="24" t="s">
        <v>183</v>
      </c>
      <c r="E247" s="70" t="s">
        <v>167</v>
      </c>
      <c r="F247" s="70">
        <v>0</v>
      </c>
      <c r="G247" s="70">
        <v>0</v>
      </c>
      <c r="H247" s="70" t="s">
        <v>38</v>
      </c>
      <c r="I247" s="38" t="s">
        <v>182</v>
      </c>
      <c r="J247" s="55" t="s">
        <v>184</v>
      </c>
    </row>
    <row r="248" spans="2:10" ht="22.5" x14ac:dyDescent="0.2">
      <c r="B248" s="6">
        <f xml:space="preserve"> ROW( co_scalarInfo[[#This Row],[row_id]] ) - ROW( co_scalarInfo[[#Headers],[row_id]] )</f>
        <v>29</v>
      </c>
      <c r="C248" s="30" t="s">
        <v>246</v>
      </c>
      <c r="D248" s="24" t="s">
        <v>222</v>
      </c>
      <c r="E248" s="70" t="s">
        <v>167</v>
      </c>
      <c r="F248" s="70">
        <v>0</v>
      </c>
      <c r="G248" s="70">
        <v>0</v>
      </c>
      <c r="H248" s="71" t="s">
        <v>208</v>
      </c>
      <c r="I248" s="38" t="s">
        <v>180</v>
      </c>
      <c r="J248" s="55"/>
    </row>
    <row r="249" spans="2:10" ht="22.5" x14ac:dyDescent="0.2">
      <c r="B249" s="6">
        <f xml:space="preserve"> ROW( co_scalarInfo[[#This Row],[row_id]] ) - ROW( co_scalarInfo[[#Headers],[row_id]] )</f>
        <v>30</v>
      </c>
      <c r="C249" s="30" t="s">
        <v>224</v>
      </c>
      <c r="D249" s="24" t="s">
        <v>221</v>
      </c>
      <c r="E249" s="70" t="s">
        <v>167</v>
      </c>
      <c r="F249" s="70">
        <v>0</v>
      </c>
      <c r="G249" s="70">
        <v>0</v>
      </c>
      <c r="H249" s="71" t="s">
        <v>208</v>
      </c>
      <c r="I249" s="38" t="s">
        <v>180</v>
      </c>
      <c r="J249" s="55"/>
    </row>
    <row r="250" spans="2:10" ht="22.5" x14ac:dyDescent="0.2">
      <c r="B250" s="6">
        <f xml:space="preserve"> ROW( co_scalarInfo[[#This Row],[row_id]] ) - ROW( co_scalarInfo[[#Headers],[row_id]] )</f>
        <v>31</v>
      </c>
      <c r="C250" s="30" t="s">
        <v>225</v>
      </c>
      <c r="D250" s="24" t="s">
        <v>223</v>
      </c>
      <c r="E250" s="70" t="s">
        <v>167</v>
      </c>
      <c r="F250" s="70">
        <v>0</v>
      </c>
      <c r="G250" s="70">
        <v>0</v>
      </c>
      <c r="H250" s="71" t="s">
        <v>208</v>
      </c>
      <c r="I250" s="38" t="s">
        <v>180</v>
      </c>
      <c r="J250" s="55"/>
    </row>
    <row r="251" spans="2:10" x14ac:dyDescent="0.2">
      <c r="B251" s="6">
        <f xml:space="preserve"> ROW( co_scalarInfo[[#This Row],[row_id]] ) - ROW( co_scalarInfo[[#Headers],[row_id]] )</f>
        <v>32</v>
      </c>
      <c r="C251" s="30" t="s">
        <v>244</v>
      </c>
      <c r="D251" s="24" t="s">
        <v>243</v>
      </c>
      <c r="E251" s="70" t="s">
        <v>152</v>
      </c>
      <c r="F251" s="70">
        <v>1</v>
      </c>
      <c r="G251" s="70">
        <v>1</v>
      </c>
      <c r="H251" s="71" t="s">
        <v>208</v>
      </c>
      <c r="I251" s="38" t="s">
        <v>180</v>
      </c>
      <c r="J251" s="55"/>
    </row>
    <row r="252" spans="2:10" x14ac:dyDescent="0.2">
      <c r="B252" s="6">
        <f xml:space="preserve"> ROW( co_scalarInfo[[#This Row],[row_id]] ) - ROW( co_scalarInfo[[#Headers],[row_id]] )</f>
        <v>33</v>
      </c>
      <c r="C252" s="30" t="s">
        <v>101</v>
      </c>
      <c r="D252" s="24" t="s">
        <v>100</v>
      </c>
      <c r="E252" s="70" t="s">
        <v>152</v>
      </c>
      <c r="F252" s="70">
        <v>1</v>
      </c>
      <c r="G252" s="70">
        <v>1</v>
      </c>
      <c r="H252" s="71" t="s">
        <v>208</v>
      </c>
      <c r="I252" s="38" t="s">
        <v>180</v>
      </c>
      <c r="J252" s="55"/>
    </row>
    <row r="253" spans="2:10" x14ac:dyDescent="0.2">
      <c r="B253" s="6">
        <f xml:space="preserve"> ROW( co_scalarInfo[[#This Row],[row_id]] ) - ROW( co_scalarInfo[[#Headers],[row_id]] )</f>
        <v>34</v>
      </c>
      <c r="C253" s="30" t="s">
        <v>89</v>
      </c>
      <c r="D253" s="24" t="s">
        <v>183</v>
      </c>
      <c r="E253" s="70" t="s">
        <v>152</v>
      </c>
      <c r="F253" s="70">
        <v>0</v>
      </c>
      <c r="G253" s="70">
        <v>0</v>
      </c>
      <c r="H253" s="70" t="s">
        <v>38</v>
      </c>
      <c r="I253" s="38" t="s">
        <v>182</v>
      </c>
      <c r="J253" s="55" t="s">
        <v>184</v>
      </c>
    </row>
    <row r="254" spans="2:10" x14ac:dyDescent="0.2">
      <c r="B254" s="6">
        <f xml:space="preserve"> ROW( co_scalarInfo[[#This Row],[row_id]] ) - ROW( co_scalarInfo[[#Headers],[row_id]] )</f>
        <v>35</v>
      </c>
      <c r="C254" s="30" t="s">
        <v>70</v>
      </c>
      <c r="D254" s="24" t="s">
        <v>52</v>
      </c>
      <c r="E254" s="70" t="s">
        <v>152</v>
      </c>
      <c r="F254" s="70">
        <v>0</v>
      </c>
      <c r="G254" s="70">
        <v>1</v>
      </c>
      <c r="H254" s="71">
        <v>2010</v>
      </c>
      <c r="I254" s="38" t="s">
        <v>180</v>
      </c>
      <c r="J254" s="55"/>
    </row>
    <row r="255" spans="2:10" x14ac:dyDescent="0.2">
      <c r="B255" s="6">
        <f xml:space="preserve"> ROW( co_scalarInfo[[#This Row],[row_id]] ) - ROW( co_scalarInfo[[#Headers],[row_id]] )</f>
        <v>36</v>
      </c>
      <c r="C255" s="30" t="s">
        <v>85</v>
      </c>
      <c r="D255" s="24" t="s">
        <v>48</v>
      </c>
      <c r="E255" s="70" t="s">
        <v>152</v>
      </c>
      <c r="F255" s="70">
        <v>1</v>
      </c>
      <c r="G255" s="70">
        <v>1</v>
      </c>
      <c r="H255" s="71" t="s">
        <v>208</v>
      </c>
      <c r="I255" s="38" t="s">
        <v>181</v>
      </c>
      <c r="J255" s="55"/>
    </row>
    <row r="256" spans="2:10" x14ac:dyDescent="0.2">
      <c r="B256" s="6">
        <f xml:space="preserve"> ROW( co_scalarInfo[[#This Row],[row_id]] ) - ROW( co_scalarInfo[[#Headers],[row_id]] )</f>
        <v>37</v>
      </c>
      <c r="C256" s="30" t="s">
        <v>84</v>
      </c>
      <c r="D256" s="24" t="s">
        <v>133</v>
      </c>
      <c r="E256" s="70" t="s">
        <v>152</v>
      </c>
      <c r="F256" s="70">
        <v>0</v>
      </c>
      <c r="G256" s="70">
        <v>1</v>
      </c>
      <c r="H256" s="71">
        <v>2010</v>
      </c>
      <c r="I256" s="38" t="s">
        <v>180</v>
      </c>
      <c r="J256" s="55"/>
    </row>
    <row r="257" spans="1:21" ht="33.75" x14ac:dyDescent="0.2">
      <c r="B257" s="6">
        <f xml:space="preserve"> ROW( co_scalarInfo[[#This Row],[row_id]] ) - ROW( co_scalarInfo[[#Headers],[row_id]] )</f>
        <v>38</v>
      </c>
      <c r="C257" s="30" t="s">
        <v>496</v>
      </c>
      <c r="D257" s="24" t="s">
        <v>497</v>
      </c>
      <c r="E257" s="70" t="s">
        <v>167</v>
      </c>
      <c r="F257" s="70">
        <v>1</v>
      </c>
      <c r="G257" s="70">
        <v>1</v>
      </c>
      <c r="H257" s="71" t="s">
        <v>208</v>
      </c>
      <c r="I257" s="38" t="s">
        <v>180</v>
      </c>
      <c r="J257" s="55"/>
    </row>
    <row r="258" spans="1:21" ht="33.75" x14ac:dyDescent="0.2">
      <c r="B258" s="6">
        <f xml:space="preserve"> ROW( co_scalarInfo[[#This Row],[row_id]] ) - ROW( co_scalarInfo[[#Headers],[row_id]] )</f>
        <v>39</v>
      </c>
      <c r="C258" s="30" t="s">
        <v>463</v>
      </c>
      <c r="D258" s="24" t="s">
        <v>470</v>
      </c>
      <c r="E258" s="70" t="s">
        <v>167</v>
      </c>
      <c r="F258" s="70">
        <v>1</v>
      </c>
      <c r="G258" s="70">
        <v>1</v>
      </c>
      <c r="H258" s="71">
        <v>2015</v>
      </c>
      <c r="I258" s="38" t="s">
        <v>180</v>
      </c>
      <c r="J258" s="55"/>
    </row>
    <row r="259" spans="1:21" ht="33.75" x14ac:dyDescent="0.2">
      <c r="B259" s="6">
        <f xml:space="preserve"> ROW( co_scalarInfo[[#This Row],[row_id]] ) - ROW( co_scalarInfo[[#Headers],[row_id]] )</f>
        <v>40</v>
      </c>
      <c r="C259" s="26" t="s">
        <v>400</v>
      </c>
      <c r="D259" s="24" t="s">
        <v>402</v>
      </c>
      <c r="E259" s="70" t="s">
        <v>167</v>
      </c>
      <c r="F259" s="70">
        <v>1</v>
      </c>
      <c r="G259" s="70">
        <v>1</v>
      </c>
      <c r="H259" s="71" t="s">
        <v>208</v>
      </c>
      <c r="I259" s="38"/>
      <c r="J259" s="55"/>
    </row>
    <row r="260" spans="1:21" ht="33.75" x14ac:dyDescent="0.2">
      <c r="B260" s="6">
        <f xml:space="preserve"> ROW( co_scalarInfo[[#This Row],[row_id]] ) - ROW( co_scalarInfo[[#Headers],[row_id]] )</f>
        <v>41</v>
      </c>
      <c r="C260" s="26" t="s">
        <v>401</v>
      </c>
      <c r="D260" s="24" t="s">
        <v>403</v>
      </c>
      <c r="E260" s="70" t="s">
        <v>167</v>
      </c>
      <c r="F260" s="70">
        <v>1</v>
      </c>
      <c r="G260" s="70">
        <v>1</v>
      </c>
      <c r="H260" s="71" t="s">
        <v>208</v>
      </c>
      <c r="I260" s="38"/>
      <c r="J260" s="55"/>
    </row>
    <row r="261" spans="1:21" ht="22.5" x14ac:dyDescent="0.2">
      <c r="B261" s="6">
        <f xml:space="preserve"> ROW( co_scalarInfo[[#This Row],[row_id]] ) - ROW( co_scalarInfo[[#Headers],[row_id]] )</f>
        <v>42</v>
      </c>
      <c r="C261" s="30" t="s">
        <v>370</v>
      </c>
      <c r="D261" s="24" t="s">
        <v>371</v>
      </c>
      <c r="E261" s="70" t="s">
        <v>151</v>
      </c>
      <c r="F261" s="70">
        <v>1</v>
      </c>
      <c r="G261" s="70">
        <v>1</v>
      </c>
      <c r="H261" s="71" t="s">
        <v>208</v>
      </c>
      <c r="I261" s="38"/>
      <c r="J261" s="55"/>
    </row>
    <row r="262" spans="1:21" ht="33.75" x14ac:dyDescent="0.2">
      <c r="B262" s="6">
        <f xml:space="preserve"> ROW( co_scalarInfo[[#This Row],[row_id]] ) - ROW( co_scalarInfo[[#Headers],[row_id]] )</f>
        <v>43</v>
      </c>
      <c r="C262" s="30" t="s">
        <v>372</v>
      </c>
      <c r="D262" s="24" t="s">
        <v>373</v>
      </c>
      <c r="E262" s="70" t="s">
        <v>167</v>
      </c>
      <c r="F262" s="70">
        <v>1</v>
      </c>
      <c r="G262" s="70">
        <v>1</v>
      </c>
      <c r="H262" s="71" t="s">
        <v>208</v>
      </c>
      <c r="I262" s="38"/>
      <c r="J262" s="55"/>
    </row>
    <row r="266" spans="1:21" ht="15" x14ac:dyDescent="0.25">
      <c r="A266" s="16"/>
      <c r="B266" s="17" t="s">
        <v>375</v>
      </c>
      <c r="C266" s="17"/>
      <c r="D266" s="17"/>
      <c r="E266" s="17"/>
      <c r="F266" s="17"/>
      <c r="G266" s="17"/>
      <c r="H266" s="17"/>
      <c r="I266" s="17"/>
      <c r="J266" s="17"/>
      <c r="K266" s="17"/>
      <c r="L266" s="17"/>
      <c r="M266" s="17"/>
      <c r="N266" s="17"/>
      <c r="O266" s="17"/>
      <c r="P266" s="17"/>
      <c r="Q266" s="17"/>
      <c r="R266" s="17"/>
      <c r="S266" s="17"/>
      <c r="T266" s="17"/>
      <c r="U266" s="17"/>
    </row>
    <row r="267" spans="1:21" x14ac:dyDescent="0.2">
      <c r="B267" s="2" t="s">
        <v>503</v>
      </c>
    </row>
    <row r="269" spans="1:21" x14ac:dyDescent="0.2">
      <c r="B269" s="34" t="s">
        <v>121</v>
      </c>
      <c r="C269" s="27" t="s">
        <v>187</v>
      </c>
      <c r="D269" s="28" t="s">
        <v>196</v>
      </c>
      <c r="E269" s="27" t="s">
        <v>129</v>
      </c>
      <c r="F269" s="27" t="s">
        <v>185</v>
      </c>
      <c r="G269" s="27" t="s">
        <v>105</v>
      </c>
      <c r="H269" s="27" t="s">
        <v>106</v>
      </c>
      <c r="I269" s="27" t="s">
        <v>376</v>
      </c>
      <c r="J269" s="27" t="s">
        <v>377</v>
      </c>
    </row>
    <row r="270" spans="1:21" x14ac:dyDescent="0.2">
      <c r="B270" s="4">
        <f xml:space="preserve"> ROW( co_slrScalars[[#This Row],[row_id]] ) - ROW( co_slrScalars[[#Headers],[row_id]] )</f>
        <v>1</v>
      </c>
      <c r="C270" s="35" t="s">
        <v>21</v>
      </c>
      <c r="D270" s="37" t="s">
        <v>194</v>
      </c>
      <c r="E270" s="35" t="s">
        <v>85</v>
      </c>
      <c r="F270" s="35" t="s">
        <v>90</v>
      </c>
      <c r="G270" s="35">
        <v>1</v>
      </c>
      <c r="H270" s="35">
        <v>0.45</v>
      </c>
      <c r="I270" s="35">
        <v>0</v>
      </c>
      <c r="J270" s="35">
        <v>2100</v>
      </c>
    </row>
    <row r="271" spans="1:21" x14ac:dyDescent="0.2">
      <c r="B271" s="4">
        <f xml:space="preserve"> ROW( co_slrScalars[[#This Row],[row_id]] ) - ROW( co_slrScalars[[#Headers],[row_id]] )</f>
        <v>2</v>
      </c>
      <c r="C271" s="35" t="s">
        <v>58</v>
      </c>
      <c r="D271" s="37" t="s">
        <v>194</v>
      </c>
      <c r="E271" s="35" t="s">
        <v>85</v>
      </c>
      <c r="F271" s="35" t="s">
        <v>177</v>
      </c>
      <c r="G271" s="35">
        <v>0.16250000000000001</v>
      </c>
      <c r="H271" s="35">
        <v>1</v>
      </c>
      <c r="I271" s="35">
        <v>0.83750000000000002</v>
      </c>
      <c r="J271" s="35">
        <v>2100</v>
      </c>
    </row>
    <row r="274" spans="1:21" ht="15" x14ac:dyDescent="0.25">
      <c r="A274" s="16"/>
      <c r="B274" s="17" t="s">
        <v>404</v>
      </c>
      <c r="C274" s="17"/>
      <c r="D274" s="17"/>
      <c r="E274" s="17"/>
      <c r="F274" s="17"/>
      <c r="G274" s="17"/>
      <c r="H274" s="17"/>
      <c r="I274" s="17"/>
      <c r="J274" s="17"/>
      <c r="K274" s="17"/>
      <c r="L274" s="17"/>
      <c r="M274" s="17"/>
      <c r="N274" s="17"/>
      <c r="O274" s="17"/>
      <c r="P274" s="17"/>
      <c r="Q274" s="17"/>
      <c r="R274" s="17"/>
      <c r="S274" s="17"/>
      <c r="T274" s="17"/>
      <c r="U274" s="17"/>
    </row>
    <row r="276" spans="1:21" x14ac:dyDescent="0.2">
      <c r="B276" s="34" t="s">
        <v>121</v>
      </c>
      <c r="C276" s="27" t="s">
        <v>197</v>
      </c>
      <c r="D276" s="28" t="s">
        <v>210</v>
      </c>
      <c r="E276" s="27" t="s">
        <v>501</v>
      </c>
      <c r="F276" s="27" t="s">
        <v>499</v>
      </c>
    </row>
    <row r="277" spans="1:21" x14ac:dyDescent="0.2">
      <c r="B277" s="4">
        <f xml:space="preserve"> ROW( co_models[[#This Row],[row_id]] ) - ROW( co_models[[#Headers],[row_id]] )</f>
        <v>1</v>
      </c>
      <c r="C277" s="74" t="str">
        <f xml:space="preserve"> SUBSTITUTE( SUBSTITUTE( co_models[[#This Row],[model_label]], " ", "" ), "-", "" )</f>
        <v>CanESM2</v>
      </c>
      <c r="D277" s="72" t="s">
        <v>0</v>
      </c>
      <c r="E277" s="35">
        <v>6</v>
      </c>
      <c r="F277" s="35" t="s">
        <v>155</v>
      </c>
    </row>
    <row r="278" spans="1:21" x14ac:dyDescent="0.2">
      <c r="B278" s="4">
        <f xml:space="preserve"> ROW( co_models[[#This Row],[row_id]] ) - ROW( co_models[[#Headers],[row_id]] )</f>
        <v>2</v>
      </c>
      <c r="C278" s="74" t="str">
        <f xml:space="preserve"> SUBSTITUTE( SUBSTITUTE( co_models[[#This Row],[model_label]], " ", "" ), "-", "" )</f>
        <v>CCSM4</v>
      </c>
      <c r="D278" s="72" t="s">
        <v>1</v>
      </c>
      <c r="E278" s="35">
        <v>5</v>
      </c>
      <c r="F278" s="35" t="s">
        <v>155</v>
      </c>
    </row>
    <row r="279" spans="1:21" x14ac:dyDescent="0.2">
      <c r="B279" s="4">
        <f xml:space="preserve"> ROW( co_models[[#This Row],[row_id]] ) - ROW( co_models[[#Headers],[row_id]] )</f>
        <v>3</v>
      </c>
      <c r="C279" s="74" t="str">
        <f xml:space="preserve"> SUBSTITUTE( SUBSTITUTE( co_models[[#This Row],[model_label]], " ", "" ), "-", "" )</f>
        <v>GISSE2R</v>
      </c>
      <c r="D279" s="72" t="s">
        <v>2</v>
      </c>
      <c r="E279" s="35">
        <v>3</v>
      </c>
      <c r="F279" s="35" t="s">
        <v>155</v>
      </c>
    </row>
    <row r="280" spans="1:21" x14ac:dyDescent="0.2">
      <c r="B280" s="4">
        <f xml:space="preserve"> ROW( co_models[[#This Row],[row_id]] ) - ROW( co_models[[#Headers],[row_id]] )</f>
        <v>4</v>
      </c>
      <c r="C280" s="74" t="str">
        <f xml:space="preserve"> SUBSTITUTE( SUBSTITUTE( co_models[[#This Row],[model_label]], " ", "" ), "-", "" )</f>
        <v>HadGEM2ES</v>
      </c>
      <c r="D280" s="72" t="s">
        <v>3</v>
      </c>
      <c r="E280" s="35">
        <v>6</v>
      </c>
      <c r="F280" s="35" t="s">
        <v>155</v>
      </c>
    </row>
    <row r="281" spans="1:21" x14ac:dyDescent="0.2">
      <c r="B281" s="4">
        <f xml:space="preserve"> ROW( co_models[[#This Row],[row_id]] ) - ROW( co_models[[#Headers],[row_id]] )</f>
        <v>5</v>
      </c>
      <c r="C281" s="74" t="str">
        <f xml:space="preserve"> SUBSTITUTE( SUBSTITUTE( co_models[[#This Row],[model_label]], " ", "" ), "-", "" )</f>
        <v>MIROC5</v>
      </c>
      <c r="D281" s="72" t="s">
        <v>4</v>
      </c>
      <c r="E281" s="35">
        <v>5</v>
      </c>
      <c r="F281" s="35" t="s">
        <v>155</v>
      </c>
    </row>
    <row r="282" spans="1:21" x14ac:dyDescent="0.2">
      <c r="B282" s="4">
        <f xml:space="preserve"> ROW( co_models[[#This Row],[row_id]] ) - ROW( co_models[[#Headers],[row_id]] )</f>
        <v>6</v>
      </c>
      <c r="C282" s="74" t="str">
        <f xml:space="preserve"> SUBSTITUTE( SUBSTITUTE( co_models[[#This Row],[model_label]], " ", "" ), "-", "" )</f>
        <v>GFDLCM3</v>
      </c>
      <c r="D282" s="72" t="s">
        <v>5</v>
      </c>
      <c r="E282" s="35">
        <v>6</v>
      </c>
      <c r="F282" s="35" t="s">
        <v>155</v>
      </c>
    </row>
    <row r="283" spans="1:21" x14ac:dyDescent="0.2">
      <c r="B283" s="4">
        <f xml:space="preserve"> ROW( co_models[[#This Row],[row_id]] ) - ROW( co_models[[#Headers],[row_id]] )</f>
        <v>7</v>
      </c>
      <c r="C283" s="74" t="str">
        <f xml:space="preserve"> SUBSTITUTE( SUBSTITUTE( co_models[[#This Row],[model_label]], " ", "" ), "-", "" )</f>
        <v>MRICGCM3</v>
      </c>
      <c r="D283" s="72" t="s">
        <v>277</v>
      </c>
      <c r="E283" s="35">
        <v>3</v>
      </c>
      <c r="F283" s="35" t="s">
        <v>155</v>
      </c>
    </row>
    <row r="284" spans="1:21" x14ac:dyDescent="0.2">
      <c r="B284" s="4">
        <f xml:space="preserve"> ROW( co_models[[#This Row],[row_id]] ) - ROW( co_models[[#Headers],[row_id]] )</f>
        <v>8</v>
      </c>
      <c r="C284" s="74" t="str">
        <f xml:space="preserve"> SUBSTITUTE( SUBSTITUTE( co_models[[#This Row],[model_label]], " ", "" ), "-", "" )</f>
        <v>GCMEnsemble</v>
      </c>
      <c r="D284" s="72" t="s">
        <v>275</v>
      </c>
      <c r="E284" s="35">
        <v>5</v>
      </c>
      <c r="F284" s="35" t="s">
        <v>155</v>
      </c>
    </row>
    <row r="285" spans="1:21" x14ac:dyDescent="0.2">
      <c r="B285" s="4">
        <f xml:space="preserve"> ROW( co_models[[#This Row],[row_id]] ) - ROW( co_models[[#Headers],[row_id]] )</f>
        <v>9</v>
      </c>
      <c r="C285" s="74" t="str">
        <f xml:space="preserve"> SUBSTITUTE( SUBSTITUTE( co_models[[#This Row],[model_label]], " ", "" ), "-", "" )</f>
        <v>Interpolation</v>
      </c>
      <c r="D285" s="72" t="s">
        <v>502</v>
      </c>
      <c r="E285" s="35">
        <v>250</v>
      </c>
      <c r="F285" s="35" t="s">
        <v>154</v>
      </c>
    </row>
  </sheetData>
  <phoneticPr fontId="8" type="noConversion"/>
  <conditionalFormatting sqref="B15:F34">
    <cfRule type="expression" dxfId="3" priority="2">
      <formula xml:space="preserve"> IF( $E15 = 1, 1, 0)</formula>
    </cfRule>
  </conditionalFormatting>
  <conditionalFormatting sqref="C35:F35">
    <cfRule type="expression" dxfId="2" priority="1">
      <formula xml:space="preserve"> IF( $E35 = 1, 1, 0)</formula>
    </cfRule>
  </conditionalFormatting>
  <conditionalFormatting sqref="G15:G45 B35 B36:F45">
    <cfRule type="expression" dxfId="1" priority="7">
      <formula xml:space="preserve"> IF( $E15 = 1, 1, 0)</formula>
    </cfRule>
  </conditionalFormatting>
  <conditionalFormatting sqref="I160:J160">
    <cfRule type="expression" dxfId="0" priority="5">
      <formula xml:space="preserve"> IF( #REF! = 1, 1, 0)</formula>
    </cfRule>
  </conditionalFormatting>
  <hyperlinks>
    <hyperlink ref="C7" location="loc_coModels" display="loc_coModels" xr:uid="{1AB1FA05-ED11-4F07-8B38-FA24CC6D4F4F}"/>
    <hyperlink ref="C6" location="loc_coScalars" display="loc_coScalars" xr:uid="{9B32F273-E2BC-47BF-A60E-7A67D15D4D38}"/>
    <hyperlink ref="C2" location="loc_coSectors" display="loc_coSectors" xr:uid="{0561FE55-51F9-468F-AA02-79E8761039B2}"/>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s>
  <pageMargins left="0.7" right="0.7" top="0.75" bottom="0.75" header="0.3" footer="0.3"/>
  <pageSetup orientation="portrait" horizontalDpi="1200" verticalDpi="1200" r:id="rId1"/>
  <legacyDrawing r:id="rId2"/>
  <tableParts count="7">
    <tablePart r:id="rId3"/>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280</v>
      </c>
    </row>
    <row r="3" spans="2:6" x14ac:dyDescent="0.25">
      <c r="B3" s="51" t="s">
        <v>121</v>
      </c>
      <c r="C3" s="51" t="s">
        <v>56</v>
      </c>
      <c r="D3" s="51" t="s">
        <v>281</v>
      </c>
      <c r="E3" s="51" t="s">
        <v>282</v>
      </c>
      <c r="F3" s="51" t="s">
        <v>266</v>
      </c>
    </row>
    <row r="4" spans="2:6" ht="75" x14ac:dyDescent="0.25">
      <c r="B4" s="52">
        <f xml:space="preserve"> ROW( Readme_sectors[[#This Row],[row_id]] ) - ROW( Readme_sectors[[#Headers],[row_id]] )</f>
        <v>1</v>
      </c>
      <c r="C4" s="51" t="s">
        <v>21</v>
      </c>
      <c r="D4" s="51" t="s">
        <v>22</v>
      </c>
      <c r="E4" s="51" t="s">
        <v>117</v>
      </c>
      <c r="F4" s="53" t="s">
        <v>283</v>
      </c>
    </row>
    <row r="5" spans="2:6" ht="45" x14ac:dyDescent="0.25">
      <c r="B5" s="52">
        <f xml:space="preserve"> ROW( Readme_sectors[[#This Row],[row_id]] ) - ROW( Readme_sectors[[#Headers],[row_id]] )</f>
        <v>2</v>
      </c>
      <c r="C5" s="52" t="s">
        <v>58</v>
      </c>
      <c r="D5" s="51" t="s">
        <v>22</v>
      </c>
      <c r="E5" s="51" t="s">
        <v>117</v>
      </c>
      <c r="F5" s="53" t="s">
        <v>284</v>
      </c>
    </row>
    <row r="8" spans="2:6" x14ac:dyDescent="0.25">
      <c r="B8" t="s">
        <v>285</v>
      </c>
    </row>
    <row r="9" spans="2:6" x14ac:dyDescent="0.25">
      <c r="B9" t="s">
        <v>121</v>
      </c>
      <c r="C9" t="s">
        <v>56</v>
      </c>
      <c r="D9" t="s">
        <v>281</v>
      </c>
      <c r="E9" t="s">
        <v>282</v>
      </c>
    </row>
    <row r="10" spans="2:6" x14ac:dyDescent="0.25">
      <c r="B10" s="1">
        <f xml:space="preserve"> ROW( Readme_adaptations[[#This Row],[row_id]] ) - ROW( Readme_adaptations[[#Headers],[row_id]] )</f>
        <v>1</v>
      </c>
      <c r="C10" t="s">
        <v>21</v>
      </c>
      <c r="D10" t="s">
        <v>22</v>
      </c>
      <c r="E10" t="s">
        <v>117</v>
      </c>
    </row>
    <row r="11" spans="2:6" x14ac:dyDescent="0.25">
      <c r="B11" s="1">
        <f xml:space="preserve"> ROW( Readme_adaptations[[#This Row],[row_id]] ) - ROW( Readme_adaptations[[#Headers],[row_id]] )</f>
        <v>2</v>
      </c>
      <c r="C11" t="s">
        <v>21</v>
      </c>
      <c r="D11" t="s">
        <v>23</v>
      </c>
      <c r="E11" t="s">
        <v>119</v>
      </c>
    </row>
    <row r="12" spans="2:6" x14ac:dyDescent="0.25">
      <c r="B12" s="1">
        <f xml:space="preserve"> ROW( Readme_adaptations[[#This Row],[row_id]] ) - ROW( Readme_adaptations[[#Headers],[row_id]] )</f>
        <v>3</v>
      </c>
      <c r="C12" t="s">
        <v>21</v>
      </c>
      <c r="D12" t="s">
        <v>45</v>
      </c>
      <c r="E12" t="s">
        <v>118</v>
      </c>
    </row>
    <row r="13" spans="2:6" x14ac:dyDescent="0.25">
      <c r="B13" s="1">
        <f xml:space="preserve"> ROW( Readme_adaptations[[#This Row],[row_id]] ) - ROW( Readme_adaptations[[#Headers],[row_id]] )</f>
        <v>4</v>
      </c>
      <c r="C13" s="1" t="s">
        <v>58</v>
      </c>
      <c r="D13" t="s">
        <v>22</v>
      </c>
      <c r="E13" t="s">
        <v>117</v>
      </c>
    </row>
    <row r="14" spans="2:6" x14ac:dyDescent="0.25">
      <c r="B14" s="1">
        <f xml:space="preserve"> ROW( Readme_adaptations[[#This Row],[row_id]] ) - ROW( Readme_adaptations[[#Headers],[row_id]] )</f>
        <v>5</v>
      </c>
      <c r="C14" s="1" t="s">
        <v>58</v>
      </c>
      <c r="D14" t="s">
        <v>23</v>
      </c>
      <c r="E14" t="s">
        <v>120</v>
      </c>
    </row>
    <row r="15" spans="2:6" x14ac:dyDescent="0.25">
      <c r="B15" s="1">
        <f xml:space="preserve"> ROW( Readme_adaptations[[#This Row],[row_id]] ) - ROW( Readme_adaptations[[#Headers],[row_id]] )</f>
        <v>6</v>
      </c>
      <c r="C15" s="1" t="s">
        <v>58</v>
      </c>
      <c r="D15" t="s">
        <v>45</v>
      </c>
      <c r="E15" t="s">
        <v>116</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I8" sqref="I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79</v>
      </c>
      <c r="B1" s="2" t="s">
        <v>80</v>
      </c>
    </row>
    <row r="2" spans="1:5" x14ac:dyDescent="0.25">
      <c r="B2" s="2"/>
    </row>
    <row r="3" spans="1:5" ht="25.5" x14ac:dyDescent="0.25">
      <c r="B3" s="6" t="s">
        <v>121</v>
      </c>
      <c r="C3" s="6" t="s">
        <v>73</v>
      </c>
      <c r="D3" s="15" t="s">
        <v>330</v>
      </c>
      <c r="E3" s="6" t="s">
        <v>331</v>
      </c>
    </row>
    <row r="4" spans="1:5" x14ac:dyDescent="0.25">
      <c r="B4" s="4">
        <f xml:space="preserve"> ROW( testDev[[#This Row],[row_id]] ) - ROW(testDev[[#Headers],[row_id]] )</f>
        <v>1</v>
      </c>
      <c r="C4" s="7" t="s">
        <v>77</v>
      </c>
      <c r="D4" s="25" t="s">
        <v>332</v>
      </c>
      <c r="E4" s="37" t="s">
        <v>333</v>
      </c>
    </row>
    <row r="5" spans="1:5" ht="45" x14ac:dyDescent="0.25">
      <c r="B5" s="4">
        <f xml:space="preserve"> ROW( testDev[[#This Row],[row_id]] ) - ROW(testDev[[#Headers],[row_id]] )</f>
        <v>2</v>
      </c>
      <c r="C5" s="7" t="s">
        <v>169</v>
      </c>
      <c r="D5" s="25" t="s">
        <v>334</v>
      </c>
      <c r="E5" s="37" t="s">
        <v>335</v>
      </c>
    </row>
    <row r="6" spans="1:5" ht="45" x14ac:dyDescent="0.25">
      <c r="B6" s="4">
        <f xml:space="preserve"> ROW( testDev[[#This Row],[row_id]] ) - ROW(testDev[[#Headers],[row_id]] )</f>
        <v>3</v>
      </c>
      <c r="C6" s="7" t="s">
        <v>178</v>
      </c>
      <c r="D6" s="25" t="s">
        <v>332</v>
      </c>
      <c r="E6" s="37" t="s">
        <v>336</v>
      </c>
    </row>
    <row r="7" spans="1:5" x14ac:dyDescent="0.25">
      <c r="B7" s="4">
        <f xml:space="preserve"> ROW( testDev[[#This Row],[row_id]] ) - ROW(testDev[[#Headers],[row_id]] )</f>
        <v>4</v>
      </c>
      <c r="C7" s="7" t="s">
        <v>162</v>
      </c>
      <c r="D7" s="25" t="s">
        <v>337</v>
      </c>
      <c r="E7" s="37" t="s">
        <v>338</v>
      </c>
    </row>
    <row r="8" spans="1:5" x14ac:dyDescent="0.25">
      <c r="B8" s="4">
        <f xml:space="preserve"> ROW( testDev[[#This Row],[row_id]] ) - ROW(testDev[[#Headers],[row_id]] )</f>
        <v>5</v>
      </c>
      <c r="C8" s="7" t="s">
        <v>286</v>
      </c>
      <c r="D8" s="25" t="s">
        <v>337</v>
      </c>
      <c r="E8" s="37" t="s">
        <v>338</v>
      </c>
    </row>
    <row r="9" spans="1:5" ht="22.5" x14ac:dyDescent="0.25">
      <c r="B9" s="4">
        <f xml:space="preserve"> ROW( testDev[[#This Row],[row_id]] ) - ROW(testDev[[#Headers],[row_id]] )</f>
        <v>6</v>
      </c>
      <c r="C9" s="7" t="s">
        <v>313</v>
      </c>
      <c r="D9" s="25" t="s">
        <v>332</v>
      </c>
      <c r="E9" s="37" t="s">
        <v>339</v>
      </c>
    </row>
    <row r="10" spans="1:5" x14ac:dyDescent="0.25">
      <c r="B10" s="4">
        <f xml:space="preserve"> ROW( testDev[[#This Row],[row_id]] ) - ROW(testDev[[#Headers],[row_id]] )</f>
        <v>7</v>
      </c>
      <c r="C10" s="7" t="s">
        <v>170</v>
      </c>
      <c r="D10" s="25" t="s">
        <v>332</v>
      </c>
      <c r="E10" s="37" t="s">
        <v>340</v>
      </c>
    </row>
    <row r="11" spans="1:5" ht="22.5" x14ac:dyDescent="0.25">
      <c r="B11" s="4">
        <f xml:space="preserve"> ROW( testDev[[#This Row],[row_id]] ) - ROW(testDev[[#Headers],[row_id]] )</f>
        <v>8</v>
      </c>
      <c r="C11" s="7" t="s">
        <v>171</v>
      </c>
      <c r="D11" s="25" t="s">
        <v>332</v>
      </c>
      <c r="E11" s="37" t="s">
        <v>341</v>
      </c>
    </row>
    <row r="12" spans="1:5" ht="33.75" x14ac:dyDescent="0.25">
      <c r="B12" s="4">
        <f xml:space="preserve"> ROW( testDev[[#This Row],[row_id]] ) - ROW(testDev[[#Headers],[row_id]] )</f>
        <v>9</v>
      </c>
      <c r="C12" s="7" t="s">
        <v>172</v>
      </c>
      <c r="D12" s="25" t="s">
        <v>334</v>
      </c>
      <c r="E12" s="37" t="s">
        <v>342</v>
      </c>
    </row>
    <row r="13" spans="1:5" x14ac:dyDescent="0.25">
      <c r="B13" s="4">
        <f xml:space="preserve"> ROW( testDev[[#This Row],[row_id]] ) - ROW(testDev[[#Headers],[row_id]] )</f>
        <v>10</v>
      </c>
      <c r="C13" s="7" t="s">
        <v>76</v>
      </c>
      <c r="D13" s="25" t="s">
        <v>337</v>
      </c>
      <c r="E13" s="37" t="s">
        <v>338</v>
      </c>
    </row>
    <row r="14" spans="1:5" x14ac:dyDescent="0.25">
      <c r="B14" s="4">
        <f xml:space="preserve"> ROW( testDev[[#This Row],[row_id]] ) - ROW(testDev[[#Headers],[row_id]] )</f>
        <v>11</v>
      </c>
      <c r="C14" s="7" t="s">
        <v>211</v>
      </c>
      <c r="D14" s="25" t="s">
        <v>334</v>
      </c>
      <c r="E14" s="37" t="s">
        <v>343</v>
      </c>
    </row>
    <row r="15" spans="1:5" ht="22.5" x14ac:dyDescent="0.25">
      <c r="B15" s="4">
        <f xml:space="preserve"> ROW( testDev[[#This Row],[row_id]] ) - ROW(testDev[[#Headers],[row_id]] )</f>
        <v>12</v>
      </c>
      <c r="C15" s="7" t="s">
        <v>186</v>
      </c>
      <c r="D15" s="25" t="s">
        <v>337</v>
      </c>
      <c r="E15" s="37" t="s">
        <v>344</v>
      </c>
    </row>
    <row r="16" spans="1:5" x14ac:dyDescent="0.25">
      <c r="B16" s="4">
        <f xml:space="preserve"> ROW( testDev[[#This Row],[row_id]] ) - ROW(testDev[[#Headers],[row_id]] )</f>
        <v>13</v>
      </c>
      <c r="C16" s="7" t="s">
        <v>212</v>
      </c>
      <c r="D16" s="25" t="s">
        <v>337</v>
      </c>
      <c r="E16" s="37" t="s">
        <v>345</v>
      </c>
    </row>
    <row r="17" spans="2:5" x14ac:dyDescent="0.25">
      <c r="B17" s="4">
        <f xml:space="preserve"> ROW( testDev[[#This Row],[row_id]] ) - ROW(testDev[[#Headers],[row_id]] )</f>
        <v>14</v>
      </c>
      <c r="C17" s="7" t="s">
        <v>265</v>
      </c>
      <c r="D17" s="25" t="s">
        <v>337</v>
      </c>
      <c r="E17" s="37" t="s">
        <v>338</v>
      </c>
    </row>
    <row r="18" spans="2:5" x14ac:dyDescent="0.25">
      <c r="B18" s="4">
        <f xml:space="preserve"> ROW( testDev[[#This Row],[row_id]] ) - ROW(testDev[[#Headers],[row_id]] )</f>
        <v>15</v>
      </c>
      <c r="C18" s="7" t="s">
        <v>264</v>
      </c>
      <c r="D18" s="25" t="s">
        <v>337</v>
      </c>
      <c r="E18" s="37" t="s">
        <v>346</v>
      </c>
    </row>
    <row r="19" spans="2:5" ht="45" x14ac:dyDescent="0.25">
      <c r="B19" s="4">
        <f xml:space="preserve"> ROW( testDev[[#This Row],[row_id]] ) - ROW(testDev[[#Headers],[row_id]] )</f>
        <v>16</v>
      </c>
      <c r="C19" s="7" t="s">
        <v>287</v>
      </c>
      <c r="D19" s="25" t="s">
        <v>334</v>
      </c>
      <c r="E19" s="37" t="s">
        <v>347</v>
      </c>
    </row>
    <row r="20" spans="2:5" x14ac:dyDescent="0.25">
      <c r="B20" s="4">
        <f xml:space="preserve"> ROW( testDev[[#This Row],[row_id]] ) - ROW(testDev[[#Headers],[row_id]] )</f>
        <v>17</v>
      </c>
      <c r="C20" s="7" t="s">
        <v>348</v>
      </c>
      <c r="D20" s="25" t="s">
        <v>332</v>
      </c>
      <c r="E20" s="37" t="s">
        <v>349</v>
      </c>
    </row>
    <row r="21" spans="2:5" ht="22.5" x14ac:dyDescent="0.25">
      <c r="B21" s="4">
        <f xml:space="preserve"> ROW( testDev[[#This Row],[row_id]] ) - ROW(testDev[[#Headers],[row_id]] )</f>
        <v>18</v>
      </c>
      <c r="C21" s="7" t="s">
        <v>350</v>
      </c>
      <c r="D21" s="25" t="s">
        <v>337</v>
      </c>
      <c r="E21" s="37" t="s">
        <v>351</v>
      </c>
    </row>
    <row r="22" spans="2:5" x14ac:dyDescent="0.25">
      <c r="B22" s="4">
        <f xml:space="preserve"> ROW( testDev[[#This Row],[row_id]] ) - ROW(testDev[[#Headers],[row_id]] )</f>
        <v>19</v>
      </c>
      <c r="C22" s="7" t="s">
        <v>352</v>
      </c>
      <c r="D22" s="25" t="s">
        <v>332</v>
      </c>
      <c r="E22" s="37" t="s">
        <v>353</v>
      </c>
    </row>
    <row r="23" spans="2:5" x14ac:dyDescent="0.25">
      <c r="B23" s="4">
        <f xml:space="preserve"> ROW( testDev[[#This Row],[row_id]] ) - ROW(testDev[[#Headers],[row_id]] )</f>
        <v>20</v>
      </c>
      <c r="C23" s="7" t="s">
        <v>354</v>
      </c>
      <c r="D23" s="25" t="s">
        <v>337</v>
      </c>
      <c r="E23" s="37" t="s">
        <v>338</v>
      </c>
    </row>
    <row r="24" spans="2:5" x14ac:dyDescent="0.25">
      <c r="B24" s="4">
        <f xml:space="preserve"> ROW( testDev[[#This Row],[row_id]] ) - ROW(testDev[[#Headers],[row_id]] )</f>
        <v>21</v>
      </c>
      <c r="C24" s="7" t="s">
        <v>355</v>
      </c>
      <c r="D24" s="25" t="s">
        <v>337</v>
      </c>
      <c r="E24" s="37" t="s">
        <v>338</v>
      </c>
    </row>
    <row r="25" spans="2:5" x14ac:dyDescent="0.25">
      <c r="B25" s="4">
        <f xml:space="preserve"> ROW( testDev[[#This Row],[row_id]] ) - ROW(testDev[[#Headers],[row_id]] )</f>
        <v>22</v>
      </c>
      <c r="C25" s="7" t="s">
        <v>356</v>
      </c>
      <c r="D25" s="25" t="s">
        <v>337</v>
      </c>
      <c r="E25" s="37" t="s">
        <v>338</v>
      </c>
    </row>
    <row r="26" spans="2:5" x14ac:dyDescent="0.25">
      <c r="B26" s="4">
        <f xml:space="preserve"> ROW( testDev[[#This Row],[row_id]] ) - ROW(testDev[[#Headers],[row_id]] )</f>
        <v>23</v>
      </c>
      <c r="C26" s="7" t="s">
        <v>357</v>
      </c>
      <c r="D26" s="25" t="s">
        <v>337</v>
      </c>
      <c r="E26" s="37" t="s">
        <v>338</v>
      </c>
    </row>
    <row r="27" spans="2:5" ht="45" x14ac:dyDescent="0.25">
      <c r="B27" s="4">
        <f xml:space="preserve"> ROW( testDev[[#This Row],[row_id]] ) - ROW(testDev[[#Headers],[row_id]] )</f>
        <v>24</v>
      </c>
      <c r="C27" s="7" t="s">
        <v>358</v>
      </c>
      <c r="D27" s="25" t="s">
        <v>334</v>
      </c>
      <c r="E27" s="37" t="s">
        <v>359</v>
      </c>
    </row>
    <row r="28" spans="2:5" ht="22.5" x14ac:dyDescent="0.25">
      <c r="B28" s="4">
        <f xml:space="preserve"> ROW( testDev[[#This Row],[row_id]] ) - ROW(testDev[[#Headers],[row_id]] )</f>
        <v>25</v>
      </c>
      <c r="C28" s="7" t="s">
        <v>360</v>
      </c>
      <c r="D28" s="25" t="s">
        <v>332</v>
      </c>
      <c r="E28" s="37" t="s">
        <v>361</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ReadMe</vt:lpstr>
      <vt:lpstr>tableNames</vt:lpstr>
      <vt:lpstr>controlTables</vt:lpstr>
      <vt:lpstr>slrReadMe</vt:lpstr>
      <vt:lpstr>testDev</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2025-05-06T00:50:06Z</dcterms:modified>
</cp:coreProperties>
</file>