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updateLinks="never" codeName="ThisWorkbook" defaultThemeVersion="166925"/>
  <xr:revisionPtr revIDLastSave="0" documentId="13_ncr:1_{499EB895-1565-4394-A57C-54640F67C8C6}"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s>
  <definedNames>
    <definedName name="k_coBillions">controlTables!#REF!</definedName>
    <definedName name="k_coMillions">controlTables!#REF!</definedName>
    <definedName name="k_coThousands">controlTables!#REF!</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#REF!</definedName>
    <definedName name="loc_coImpactTypes">co_impactTypes[[#Headers],[row_id]]</definedName>
    <definedName name="loc_coImpactYears">co_impactYears[[#Headers],[row_id]]</definedName>
    <definedName name="loc_coInputScenarioInfo">co_inputInfo[[#Headers],[row_id]]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controlTables!$D$19:$D$19</definedName>
    <definedName name="SectorDropDown_1">controlTables!$D$19:$D$19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1" i="24" l="1"/>
  <c r="P41" i="24"/>
  <c r="B40" i="24"/>
  <c r="P40" i="24"/>
  <c r="B39" i="24"/>
  <c r="P39" i="24"/>
  <c r="B38" i="24"/>
  <c r="P38" i="24"/>
  <c r="K19" i="24" a="1"/>
  <c r="K19" i="24" s="1"/>
  <c r="H31" i="24"/>
  <c r="O19" i="24" a="1"/>
  <c r="O19" i="24" s="1"/>
  <c r="I31" i="24" l="1" a="1"/>
  <c r="I31" i="24" s="1"/>
  <c r="C68" i="24"/>
  <c r="C69" i="24"/>
  <c r="C70" i="24"/>
  <c r="C71" i="24"/>
  <c r="C72" i="24"/>
  <c r="C73" i="24"/>
  <c r="C74" i="24"/>
  <c r="D87" i="24"/>
  <c r="D88" i="24"/>
  <c r="D89" i="24"/>
  <c r="D90" i="24"/>
  <c r="D91" i="24"/>
  <c r="D92" i="24"/>
  <c r="D93" i="24"/>
  <c r="F15" i="43" l="1"/>
  <c r="B15" i="43"/>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K15" i="43" a="1"/>
  <c r="C12" i="24"/>
  <c r="H15" i="43"/>
  <c r="K15" i="43" l="1"/>
  <c r="G15" i="43" a="1"/>
  <c r="J15" i="43" a="1"/>
  <c r="G15" i="43" l="1"/>
  <c r="I15" i="43" s="1"/>
  <c r="J15" i="43"/>
  <c r="L15" i="43" s="1"/>
  <c r="B14" i="43" l="1"/>
  <c r="F14" i="43"/>
  <c r="B22" i="52"/>
  <c r="B21" i="52"/>
  <c r="B20" i="52"/>
  <c r="B19" i="52"/>
  <c r="B18" i="52"/>
  <c r="B17" i="52"/>
  <c r="B16" i="52"/>
  <c r="B15" i="52"/>
  <c r="B14" i="52"/>
  <c r="B13" i="52"/>
  <c r="B12" i="52"/>
  <c r="B11" i="52"/>
  <c r="B10" i="52"/>
  <c r="B9" i="52"/>
  <c r="B8" i="52"/>
  <c r="B7" i="52"/>
  <c r="B6" i="52"/>
  <c r="B5" i="52"/>
  <c r="B4" i="52"/>
  <c r="G14" i="43" a="1"/>
  <c r="K14" i="43" a="1"/>
  <c r="G14" i="43" l="1"/>
  <c r="K14" i="43"/>
  <c r="B19" i="24"/>
  <c r="J14" i="43" a="1"/>
  <c r="H14" i="43"/>
  <c r="I14" i="43" l="1"/>
  <c r="J14" i="43"/>
  <c r="L14" i="43" s="1"/>
  <c r="C4" i="24"/>
  <c r="B15" i="50" l="1"/>
  <c r="B14" i="50"/>
  <c r="B13" i="50"/>
  <c r="B12" i="50"/>
  <c r="B11" i="50"/>
  <c r="B10" i="50"/>
  <c r="B5" i="50"/>
  <c r="B4" i="50"/>
  <c r="B74" i="24" l="1"/>
  <c r="B13" i="43" l="1"/>
  <c r="F13" i="43"/>
  <c r="B81" i="24"/>
  <c r="B80" i="24"/>
  <c r="C10" i="24"/>
  <c r="C7" i="24"/>
  <c r="K13" i="43" a="1"/>
  <c r="C6" i="24"/>
  <c r="C11" i="24"/>
  <c r="C3" i="24"/>
  <c r="C8" i="24"/>
  <c r="G13" i="43" a="1"/>
  <c r="C9" i="24"/>
  <c r="K13" i="43" l="1"/>
  <c r="G13" i="43"/>
  <c r="H13" i="43"/>
  <c r="C2" i="24"/>
  <c r="J13" i="43" a="1"/>
  <c r="I13" i="43" l="1"/>
  <c r="J13" i="43"/>
  <c r="L13" i="43" s="1"/>
  <c r="N19" i="24" l="1" a="1"/>
  <c r="N19" i="24" s="1"/>
  <c r="M19" i="24" a="1"/>
  <c r="M19" i="24" s="1"/>
  <c r="B12" i="43" l="1"/>
  <c r="F12" i="43"/>
  <c r="K12" i="43" a="1"/>
  <c r="J12" i="43" a="1"/>
  <c r="J12" i="43" l="1"/>
  <c r="K12" i="43"/>
  <c r="G12" i="43" a="1"/>
  <c r="G12" i="43" l="1"/>
  <c r="L12" i="43"/>
  <c r="B11" i="43" l="1"/>
  <c r="F11" i="43"/>
  <c r="B55" i="24"/>
  <c r="K11" i="43" a="1"/>
  <c r="J11" i="43" a="1"/>
  <c r="J11" i="43" l="1"/>
  <c r="M11" i="43" s="1"/>
  <c r="K11" i="43"/>
  <c r="B46" i="24"/>
  <c r="B48" i="24"/>
  <c r="B49" i="24"/>
  <c r="B47" i="24"/>
  <c r="H11" i="43"/>
  <c r="G11" i="43" a="1"/>
  <c r="G11" i="43" l="1"/>
  <c r="I11" i="43" s="1"/>
  <c r="L11" i="43"/>
  <c r="B10" i="43"/>
  <c r="F10" i="43"/>
  <c r="B9" i="43"/>
  <c r="F9" i="43"/>
  <c r="K10" i="43" a="1"/>
  <c r="J9" i="43" a="1"/>
  <c r="K9" i="43" a="1"/>
  <c r="G10" i="43" a="1"/>
  <c r="C5" i="24"/>
  <c r="H19" i="24"/>
  <c r="J19" i="24" l="1"/>
  <c r="K10" i="43"/>
  <c r="G10" i="43"/>
  <c r="K9" i="43"/>
  <c r="J9" i="43"/>
  <c r="J10" i="43" a="1"/>
  <c r="G9" i="43" a="1"/>
  <c r="G9" i="43" l="1"/>
  <c r="L9" i="43"/>
  <c r="J10" i="43"/>
  <c r="L10" i="43" s="1"/>
  <c r="B31" i="24" l="1"/>
  <c r="G19" i="24" a="1"/>
  <c r="G19" i="24" l="1"/>
  <c r="B8" i="43"/>
  <c r="F8" i="43"/>
  <c r="B7" i="43"/>
  <c r="F7" i="43"/>
  <c r="B6" i="43"/>
  <c r="F6" i="43"/>
  <c r="B5" i="43"/>
  <c r="F5" i="43"/>
  <c r="F4" i="43"/>
  <c r="G6" i="43" a="1"/>
  <c r="G4" i="43" a="1"/>
  <c r="G5" i="43" a="1"/>
  <c r="K7" i="43" a="1"/>
  <c r="K5" i="43" a="1"/>
  <c r="G7" i="43" a="1"/>
  <c r="K6" i="43" a="1"/>
  <c r="K8" i="43" a="1"/>
  <c r="G8" i="43" a="1"/>
  <c r="G5" i="43" l="1"/>
  <c r="G8" i="43"/>
  <c r="K8" i="43"/>
  <c r="G7" i="43"/>
  <c r="K7" i="43"/>
  <c r="G6" i="43"/>
  <c r="K6" i="43"/>
  <c r="K5" i="43"/>
  <c r="G4" i="43"/>
  <c r="J5" i="43" a="1"/>
  <c r="J7" i="43" a="1"/>
  <c r="J6" i="43" a="1"/>
  <c r="J4" i="43" a="1"/>
  <c r="J8" i="43" a="1"/>
  <c r="J4" i="43" l="1"/>
  <c r="M4" i="43" s="1" a="1"/>
  <c r="M4" i="43" s="1"/>
  <c r="J5" i="43"/>
  <c r="M5" i="43" s="1"/>
  <c r="J8" i="43"/>
  <c r="J7" i="43"/>
  <c r="J6" i="43"/>
  <c r="L6" i="43" s="1"/>
  <c r="L5" i="43" l="1"/>
  <c r="L8" i="43"/>
  <c r="L7" i="43"/>
  <c r="P36" i="24"/>
  <c r="P37" i="24"/>
  <c r="L19" i="24" l="1" a="1"/>
  <c r="L19" i="24" s="1"/>
  <c r="B37" i="24"/>
  <c r="B36" i="24"/>
  <c r="H5" i="43"/>
  <c r="I5" i="43" l="1"/>
  <c r="H8" i="43"/>
  <c r="I8" i="43" l="1"/>
  <c r="I19" i="24" a="1"/>
  <c r="H7" i="43"/>
  <c r="I19" i="24" l="1"/>
  <c r="I7" i="43"/>
  <c r="B4" i="43" l="1"/>
  <c r="K4" i="43" a="1"/>
  <c r="K4" i="43" l="1"/>
  <c r="L4" i="43" s="1"/>
  <c r="B24" i="24"/>
  <c r="B62" i="24"/>
  <c r="B68" i="24"/>
  <c r="B69" i="24"/>
  <c r="B70" i="24"/>
  <c r="B71" i="24"/>
  <c r="B72" i="24"/>
  <c r="B73" i="24"/>
  <c r="B87" i="24"/>
  <c r="B88" i="24"/>
  <c r="B89" i="24"/>
  <c r="B90" i="24"/>
  <c r="B91" i="24"/>
  <c r="B92" i="24"/>
  <c r="B93" i="24"/>
  <c r="H9" i="43"/>
  <c r="H4" i="43"/>
  <c r="H10" i="43"/>
  <c r="H6" i="43"/>
  <c r="H12"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tc={EF83C059-A623-47AC-AFC4-40246F6AF9B2}</author>
    <author>tc={74E8C379-DF77-4FAE-8C13-4D0000C68271}</author>
    <author>tc={984021BA-DD3F-4758-AAFF-698CBFB1E97F}</author>
    <author>tc={A0D64BDD-1681-4C8F-9929-C1898D0603B0}</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23"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3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3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3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F45" authorId="6"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61" authorId="7"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8"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67" authorId="9"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79" authorId="10"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<sst xmlns="http://schemas.openxmlformats.org/spreadsheetml/2006/main" count="582" uniqueCount="359">
  <si>
    <t>Midwest</t>
  </si>
  <si>
    <t>Northeast</t>
  </si>
  <si>
    <t>Northern Plains</t>
  </si>
  <si>
    <t>Northwest</t>
  </si>
  <si>
    <t>Southeast</t>
  </si>
  <si>
    <t>Southern Plains</t>
  </si>
  <si>
    <t>Southwest</t>
  </si>
  <si>
    <t/>
  </si>
  <si>
    <t>CoastalProperties</t>
  </si>
  <si>
    <t>NoAdapt</t>
  </si>
  <si>
    <t>Reactive</t>
  </si>
  <si>
    <t>Impact Types</t>
  </si>
  <si>
    <t>N/A</t>
  </si>
  <si>
    <t>Proactive</t>
  </si>
  <si>
    <t>ID</t>
  </si>
  <si>
    <t>region</t>
  </si>
  <si>
    <t>sector_id</t>
  </si>
  <si>
    <t>HTF</t>
  </si>
  <si>
    <t>Notes</t>
  </si>
  <si>
    <t>Regions</t>
  </si>
  <si>
    <t>region_label</t>
  </si>
  <si>
    <t>output_lookupID</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</si>
  <si>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</si>
  <si>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</si>
  <si>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</si>
  <si>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</si>
  <si>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</si>
  <si>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</si>
  <si>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</si>
  <si>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</si>
  <si>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</si>
  <si>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</si>
  <si>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</si>
  <si>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scalarLabel</t>
  </si>
  <si>
    <t>scalarName</t>
  </si>
  <si>
    <t>none</t>
  </si>
  <si>
    <t>econScalarName</t>
  </si>
  <si>
    <t>Last Row</t>
  </si>
  <si>
    <t>Header Row</t>
  </si>
  <si>
    <t>include</t>
  </si>
  <si>
    <t>c0</t>
  </si>
  <si>
    <t>c1</t>
  </si>
  <si>
    <t>exp0</t>
  </si>
  <si>
    <t>year0</t>
  </si>
  <si>
    <t>Direct Adaptation</t>
  </si>
  <si>
    <t>No Adaptation</t>
  </si>
  <si>
    <t>Proactive Adaptation</t>
  </si>
  <si>
    <t>Reactive Adaptation</t>
  </si>
  <si>
    <t>Reasonably Anticipated Adaptation</t>
  </si>
  <si>
    <t>row_id</t>
  </si>
  <si>
    <t>constant</t>
  </si>
  <si>
    <t>physScalarName</t>
  </si>
  <si>
    <t>physAdjName</t>
  </si>
  <si>
    <t>damageAdjName</t>
  </si>
  <si>
    <t>scalarType</t>
  </si>
  <si>
    <t>econScalar</t>
  </si>
  <si>
    <t>damageAdj</t>
  </si>
  <si>
    <t>physScalar</t>
  </si>
  <si>
    <t>valueYear</t>
  </si>
  <si>
    <t>slr</t>
  </si>
  <si>
    <t>gcm</t>
  </si>
  <si>
    <t>impactYears</t>
  </si>
  <si>
    <t>impactTypes</t>
  </si>
  <si>
    <t>notes</t>
  </si>
  <si>
    <t>physAdj</t>
  </si>
  <si>
    <t>co_impactYears</t>
  </si>
  <si>
    <t>co_impactTypes</t>
  </si>
  <si>
    <t>co_scalarInfo</t>
  </si>
  <si>
    <t>modelType</t>
  </si>
  <si>
    <t>constant_or_dynamic</t>
  </si>
  <si>
    <t>national_or_regional</t>
  </si>
  <si>
    <t>national</t>
  </si>
  <si>
    <t>2010</t>
  </si>
  <si>
    <t>2090</t>
  </si>
  <si>
    <t>model_id</t>
  </si>
  <si>
    <t>data_scaledImpacts</t>
  </si>
  <si>
    <t>dataType</t>
  </si>
  <si>
    <t>Calculated</t>
  </si>
  <si>
    <t>None</t>
  </si>
  <si>
    <t>Has value of 1</t>
  </si>
  <si>
    <t>econMultiplierName</t>
  </si>
  <si>
    <t>co_econMultipliers</t>
  </si>
  <si>
    <t>sector</t>
  </si>
  <si>
    <t>impactYear</t>
  </si>
  <si>
    <t>adaptation</t>
  </si>
  <si>
    <t>outputRowID</t>
  </si>
  <si>
    <t>id_colIndex</t>
  </si>
  <si>
    <t>last_colIndex</t>
  </si>
  <si>
    <t>num_tableCols</t>
  </si>
  <si>
    <t>NA</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</si>
  <si>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</si>
  <si>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</si>
  <si>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</si>
  <si>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</si>
  <si>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</si>
  <si>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</si>
  <si>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</si>
  <si>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</si>
  <si>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</si>
  <si>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</si>
  <si>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</si>
  <si>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</si>
  <si>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econMultiplierDescription</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</si>
  <si>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</si>
  <si>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</si>
  <si>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</si>
  <si>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</si>
  <si>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</si>
  <si>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</si>
  <si>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</si>
  <si>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</si>
  <si>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</si>
  <si>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</si>
  <si>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</si>
  <si>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</si>
  <si>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</si>
  <si>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</si>
  <si>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</si>
  <si>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</si>
  <si>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</si>
  <si>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</si>
  <si>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</si>
  <si>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</si>
  <si>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</si>
  <si>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</si>
  <si>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</si>
  <si>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Table with information about model types (GCM vs SLR)</t>
  </si>
  <si>
    <t>Calculated value</t>
  </si>
  <si>
    <t>sectorprimary</t>
  </si>
  <si>
    <t>includeaggregate</t>
  </si>
  <si>
    <t>physicalmeasure</t>
  </si>
  <si>
    <t>Column used for record-keeping of data checks</t>
  </si>
  <si>
    <t>Color Legend</t>
  </si>
  <si>
    <t>Table of Contents</t>
  </si>
  <si>
    <t>Model Types</t>
  </si>
  <si>
    <t>Impact Year Estimates</t>
  </si>
  <si>
    <t>Economic Multipliers</t>
  </si>
  <si>
    <t>Hard-coded value/included in model</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</si>
  <si>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</si>
  <si>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</si>
  <si>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</si>
  <si>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</si>
  <si>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</si>
  <si>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</si>
  <si>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</si>
  <si>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</si>
  <si>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</si>
  <si>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</si>
  <si>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</si>
  <si>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</si>
  <si>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</si>
  <si>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inputType</t>
  </si>
  <si>
    <t>inputUnit</t>
  </si>
  <si>
    <t>inputDesc</t>
  </si>
  <si>
    <t>Temperature (Celsius)</t>
  </si>
  <si>
    <t>GMSL (cm)</t>
  </si>
  <si>
    <t>inputMin</t>
  </si>
  <si>
    <t>inputMax</t>
  </si>
  <si>
    <t>valueCol</t>
  </si>
  <si>
    <t>temp_C</t>
  </si>
  <si>
    <t>slr_cm</t>
  </si>
  <si>
    <t>co_inputScenarioInfo</t>
  </si>
  <si>
    <t>Table with information about input scenarios</t>
  </si>
  <si>
    <t>Information about input scenarios</t>
  </si>
  <si>
    <t>Description</t>
  </si>
  <si>
    <t>Field</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</si>
  <si>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</si>
  <si>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</si>
  <si>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</si>
  <si>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</si>
  <si>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</si>
  <si>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</si>
  <si>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</si>
  <si>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</si>
  <si>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</si>
  <si>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Scalar Information</t>
  </si>
  <si>
    <t>"impactType_id" should have no spaces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</si>
  <si>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</si>
  <si>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</si>
  <si>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</si>
  <si>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</si>
  <si>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</si>
  <si>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</si>
  <si>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</si>
  <si>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</si>
  <si>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</si>
  <si>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</si>
  <si>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</si>
  <si>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Changes if new sector added</t>
  </si>
  <si>
    <t>New sector changes</t>
  </si>
  <si>
    <t>Yes</t>
  </si>
  <si>
    <t>New rows for each new sector</t>
  </si>
  <si>
    <t>Maybe</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</si>
  <si>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</si>
  <si>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</si>
  <si>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</si>
  <si>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</si>
  <si>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</si>
  <si>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</si>
  <si>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</si>
  <si>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</si>
  <si>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</si>
  <si>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</si>
  <si>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</si>
  <si>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</si>
  <si>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</si>
  <si>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</si>
  <si>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</si>
  <si>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</si>
  <si>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gdp_default</t>
  </si>
  <si>
    <t>pop_default</t>
  </si>
  <si>
    <t>national_pop_default</t>
  </si>
  <si>
    <t>df_results0</t>
  </si>
  <si>
    <t>New rows for each new sector, impact type,  variant, region, GCM model (including new models),  etc. Will also add rows for any new GCM model for all other combinations</t>
  </si>
  <si>
    <t>testDev</t>
  </si>
  <si>
    <t>Table with information about tests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</si>
  <si>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</si>
  <si>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</si>
  <si>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</si>
  <si>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</si>
  <si>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</si>
  <si>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</si>
  <si>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</si>
  <si>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</si>
  <si>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</si>
  <si>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</si>
  <si>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</si>
  <si>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</si>
  <si>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</si>
  <si>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</si>
  <si>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</si>
  <si>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</si>
  <si>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</si>
  <si>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</si>
  <si>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</si>
  <si>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</si>
  <si>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</si>
  <si>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</si>
  <si>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</si>
  <si>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</si>
  <si>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</si>
  <si>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</si>
  <si>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</si>
  <si>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</si>
  <si>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</si>
  <si>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</si>
  <si>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</si>
  <si>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</si>
  <si>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</si>
  <si>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</si>
  <si>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</si>
  <si>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</si>
  <si>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</si>
  <si>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</si>
  <si>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</si>
  <si>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</si>
  <si>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</si>
  <si>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</si>
  <si>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</si>
  <si>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</si>
  <si>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</si>
  <si>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</si>
  <si>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</si>
  <si>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</si>
  <si>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</si>
  <si>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</si>
  <si>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</si>
  <si>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</si>
  <si>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</si>
  <si>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</si>
  <si>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</si>
  <si>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</si>
  <si>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</si>
  <si>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</si>
  <si>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</si>
  <si>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</si>
  <si>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</si>
  <si>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</si>
  <si>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</si>
  <si>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</si>
  <si>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</si>
  <si>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</si>
  <si>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</si>
  <si>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</si>
  <si>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</si>
  <si>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</si>
  <si>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</si>
  <si>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</si>
  <si>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</si>
  <si>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</si>
  <si>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</si>
  <si>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</si>
  <si>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</si>
  <si>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</si>
  <si>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</si>
  <si>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</si>
  <si>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</si>
  <si>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</si>
  <si>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</si>
  <si>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</si>
  <si>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</si>
  <si>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</si>
  <si>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</si>
  <si>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</si>
  <si>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</si>
  <si>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</si>
  <si>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</si>
  <si>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</si>
  <si>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</si>
  <si>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</si>
  <si>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</si>
  <si>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</si>
  <si>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</si>
  <si>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</si>
  <si>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</si>
  <si>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</si>
  <si>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</si>
  <si>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</si>
  <si>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</si>
  <si>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</si>
  <si>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</si>
  <si>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GCM Models &amp; SLR Scenarios</t>
  </si>
  <si>
    <t>hasImpacts</t>
  </si>
  <si>
    <t>region_id</t>
  </si>
  <si>
    <t>co_inputInfo</t>
  </si>
  <si>
    <t>hasPhysicalImpacts</t>
  </si>
  <si>
    <t>hasEconomicImpacts</t>
  </si>
  <si>
    <t>TropicalCyclones</t>
  </si>
  <si>
    <t>Climate-Driven Changes in Southern and Eastern US Tropical Cyclone landfall</t>
  </si>
  <si>
    <t>ts</t>
  </si>
  <si>
    <t>Tropical Storms</t>
  </si>
  <si>
    <t>cat1</t>
  </si>
  <si>
    <t>Category 1 Hurricane</t>
  </si>
  <si>
    <t>Category 1 Hurricanes</t>
  </si>
  <si>
    <t>Category 2 Hurricane</t>
  </si>
  <si>
    <t>Category 2 Hurricanes</t>
  </si>
  <si>
    <t>Category 3 Hurricane</t>
  </si>
  <si>
    <t>cat2</t>
  </si>
  <si>
    <t>cat3</t>
  </si>
  <si>
    <t>cat4</t>
  </si>
  <si>
    <t>cat5</t>
  </si>
  <si>
    <t>Category 3 Hurricanes</t>
  </si>
  <si>
    <t>Category 4 Hurricanes</t>
  </si>
  <si>
    <t>Category 5 Hurricanes</t>
  </si>
  <si>
    <t>Category 4 Hurricane</t>
  </si>
  <si>
    <t>Category 5 Hurricane</t>
  </si>
  <si>
    <t>Additional Tropical Storms</t>
  </si>
  <si>
    <t>Additional Category 1 Hurricanes</t>
  </si>
  <si>
    <t>Additional Category 2 Hurricanes</t>
  </si>
  <si>
    <t>Additional Category 3 Hurricanes</t>
  </si>
  <si>
    <t>Additional Category 4 Hurricanes</t>
  </si>
  <si>
    <t>Additional Category 5 Hurricanes</t>
  </si>
  <si>
    <t>CESM2</t>
  </si>
  <si>
    <t>CNRM-CM6-1</t>
  </si>
  <si>
    <t>EC-Earth3</t>
  </si>
  <si>
    <t>MIROC6</t>
  </si>
  <si>
    <t>MPI-ESM1-2-HR</t>
  </si>
  <si>
    <t>MRI-ESM2-0</t>
  </si>
  <si>
    <t>UKESM1-0-LL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</si>
</sst>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2" applyNumberFormat="0" applyAlignment="0" applyProtection="0"/>
    <xf numFmtId="0" fontId="28" fillId="18" borderId="13" applyNumberFormat="0" applyAlignment="0" applyProtection="0"/>
    <xf numFmtId="0" fontId="29" fillId="18" borderId="12" applyNumberFormat="0" applyAlignment="0" applyProtection="0"/>
    <xf numFmtId="0" fontId="30" fillId="0" borderId="14" applyNumberFormat="0" applyFill="0" applyAlignment="0" applyProtection="0"/>
    <xf numFmtId="0" fontId="14" fillId="19" borderId="15"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6"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73">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17" fillId="0" borderId="3" xfId="0" applyFont="1" applyBorder="1" applyAlignment="1">
      <alignment vertical="center" wrapText="1"/>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7"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5" fillId="8" borderId="7"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0" fillId="11" borderId="8"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5" fillId="6" borderId="0" xfId="0" applyFont="1" applyFill="1" applyAlignment="1">
      <alignment vertical="center" wrapText="1"/>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9" fillId="6" borderId="0" xfId="0" applyFont="1" applyFill="1" applyAlignment="1">
      <alignment vertical="center" wrapText="1"/>
    </xf>
    <xf numFmtId="0" fontId="17" fillId="0" borderId="0" xfId="0" applyFont="1" applyAlignment="1">
      <alignment horizontal="center" vertical="center" wrapText="1"/>
    </xf>
    <xf numFmtId="0" fontId="9" fillId="2" borderId="0" xfId="0" applyFont="1" applyFill="1" applyAlignment="1">
      <alignment vertical="center"/>
    </xf>
    <xf numFmtId="0" fontId="17" fillId="45" borderId="0" xfId="0" applyFont="1" applyFill="1" applyAlignment="1">
      <alignment horizontal="center" vertical="center" wrapText="1"/>
    </xf>
    <xf numFmtId="0" fontId="9" fillId="0" borderId="0" xfId="0" applyNumberFormat="1" applyFont="1" applyAlignment="1">
      <alignment horizontal="left" vertical="center"/>
    </xf>
    <xf numFmtId="0" fontId="9" fillId="6" borderId="0" xfId="0" applyNumberFormat="1" applyFont="1" applyFill="1" applyAlignment="1">
      <alignment horizontal="left" vertical="center"/>
    </xf>
    <xf numFmtId="0" fontId="17" fillId="6" borderId="0" xfId="0" applyNumberFormat="1" applyFont="1" applyFill="1" applyAlignment="1">
      <alignment horizontal="left" vertical="center"/>
    </xf>
    <xf numFmtId="0" fontId="9" fillId="7" borderId="0" xfId="0" applyNumberFormat="1" applyFont="1" applyFill="1" applyAlignment="1">
      <alignment horizontal="center" vertical="center"/>
    </xf>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74">
    <dxf>
      <fill>
        <patternFill>
          <bgColor theme="8" tint="0.79998168889431442"/>
        </patternFill>
      </fill>
    </dxf>
    <dxf>
      <fill>
        <patternFill>
          <bgColor theme="8" tint="0.79998168889431442"/>
        </patternFill>
      </fill>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73"/>
    </tableStyle>
    <tableStyle name="Table Style 2" pivot="0" count="2" xr9:uid="{5906E8DD-1157-4888-9A27-3B2DB57DF7A2}">
      <tableStyleElement type="wholeTable" dxfId="172"/>
      <tableStyleElement type="headerRow" dxfId="171"/>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16</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11" totalsRowShown="0" headerRowDxfId="170">
  <autoFilter ref="B9:C11" xr:uid="{DBDF25E7-D35C-4344-9B72-491345FCBF34}"/>
  <tableColumns count="2">
    <tableColumn id="1" xr3:uid="{306AD3FA-EE0B-4D9C-828A-C0B76198AE0B}" name="Worksheet" dataDxfId="16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5" totalsRowShown="0" headerRowDxfId="168" dataDxfId="167">
  <autoFilter ref="B3:N15"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66">
      <calculatedColumnFormula xml:space="preserve"> ROW( doc_tablesList[[#This Row],[ID]] ) - ROW(doc_tablesList[[#Headers],[ID]] )</calculatedColumnFormula>
    </tableColumn>
    <tableColumn id="2" xr3:uid="{238E4D6F-DBDF-41A4-8350-E77587A7D4B3}" name="Table Name" dataDxfId="165"/>
    <tableColumn id="8" xr3:uid="{D46F7497-B3FD-485E-91E8-C8117D6673FA}" name="Import" dataDxfId="164"/>
    <tableColumn id="3" xr3:uid="{39F2BFBD-30E6-473D-B9E5-9F407D5928C3}" name="Worksheet" dataDxfId="163"/>
    <tableColumn id="9" xr3:uid="{507E67A6-0C2B-4342-A04B-6A8E615993E3}" name="ID_columnName" dataDxfId="162">
      <calculatedColumnFormula xml:space="preserve"> "row_id"</calculatedColumnFormula>
    </tableColumn>
    <tableColumn id="4" xr3:uid="{961C935C-163D-4860-BA16-6CB492916203}" name="Header Row" dataDxfId="16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60">
      <calculatedColumnFormula xml:space="preserve"> MAX( INDIRECT( _xlfn.TEXTJOIN( "", , doc_tablesList[[#This Row],[Table Name]], "[", doc_tablesList[[#This Row],[ID_columnName]], "]" ) ) )</calculatedColumnFormula>
    </tableColumn>
    <tableColumn id="13" xr3:uid="{F53E64F1-7445-4927-A376-2FB765265648}" name="Last Row" dataDxfId="159">
      <calculatedColumnFormula xml:space="preserve"> doc_tablesList[[#This Row],[Number of Data Rows]] + doc_tablesList[[#This Row],[Header Row]]</calculatedColumnFormula>
    </tableColumn>
    <tableColumn id="6" xr3:uid="{86A51CF5-A3BA-4019-9C90-7A94C7FBA534}" name="id_colIndex" dataDxfId="158">
      <calculatedColumnFormula array="1" xml:space="preserve"> INDEX( COLUMN( INDIRECT( doc_tablesList[[#This Row],[Table Name]] &amp; "[" &amp; doc_tablesList[[#This Row],[ID_columnName]] &amp; "]" ) ), 1 )</calculatedColumnFormula>
    </tableColumn>
    <tableColumn id="7" xr3:uid="{DD29767F-0B22-4C97-9012-467EF6380323}" name="last_colIndex" dataDxfId="157">
      <calculatedColumnFormula array="1" xml:space="preserve"> MAX( COLUMN( INDIRECT( doc_tablesList[[#This Row],[Table Name]] ) ) )</calculatedColumnFormula>
    </tableColumn>
    <tableColumn id="12" xr3:uid="{7F09C7E5-85E6-4334-8C65-926F0EE13A13}" name="num_tableCols" dataDxfId="156">
      <calculatedColumnFormula xml:space="preserve"> doc_tablesList[[#This Row],[last_colIndex]] - doc_tablesList[[#This Row],[id_colIndex]] + 1</calculatedColumnFormula>
    </tableColumn>
    <tableColumn id="11" xr3:uid="{C4016964-772D-4CB1-A4CA-7E815387BA94}" name="excludeCol_ids" dataDxfId="155"/>
    <tableColumn id="10" xr3:uid="{1AD286DF-FF1E-4EA7-92C2-04966DE58B94}" name="Notes" dataDxfId="15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O19" totalsRowShown="0" headerRowDxfId="153" dataDxfId="151" headerRowBorderDxfId="152" tableBorderDxfId="150" totalsRowBorderDxfId="149">
  <autoFilter ref="B18:O19" xr:uid="{4FB08D13-3C4C-4BB6-9ED3-E44A55D938B0}"/>
  <sortState xmlns:xlrd2="http://schemas.microsoft.com/office/spreadsheetml/2017/richdata2" ref="B19:O19">
    <sortCondition ref="D19"/>
  </sortState>
  <tableColumns count="14">
    <tableColumn id="14" xr3:uid="{60C3EA8F-72E0-495B-8B73-6D682443C60B}" name="row_id" dataDxfId="148" totalsRowDxfId="147">
      <calculatedColumnFormula xml:space="preserve"> ROW( co_sectors[[#This Row],[row_id]] ) - ROW( co_sectors[[#Headers],[row_id]] )</calculatedColumnFormula>
    </tableColumn>
    <tableColumn id="1" xr3:uid="{05E901B8-39C9-4448-8C69-F1824616C5B3}" name="sector_id" dataDxfId="146" totalsRowDxfId="145"/>
    <tableColumn id="2" xr3:uid="{8435BE36-75E6-4124-BCAF-A700C82839D8}" name="sector_label" dataDxfId="144" totalsRowDxfId="143"/>
    <tableColumn id="6" xr3:uid="{2BB914B0-56FF-4336-B8AD-DDDF5E8FE532}" name="include" dataDxfId="142" totalsRowDxfId="141"/>
    <tableColumn id="8" xr3:uid="{18B4827C-060D-4556-903A-BB8A82781CB7}" name="modelType" dataDxfId="140" totalsRowDxfId="139"/>
    <tableColumn id="4" xr3:uid="{60EA29EE-87DF-48ED-AC00-5DE87371BD83}" name="variants" dataDxfId="138" totalsRowDxfId="13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36" totalsRowDxfId="13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34" totalsRowDxfId="13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32" totalsRowDxfId="131">
      <calculatedColumnFormula xml:space="preserve"> IF( co_sectors[[#This Row],[impactYears]] = "NA", 0, 1)</calculatedColumnFormula>
    </tableColumn>
    <tableColumn id="3" xr3:uid="{131F4380-0D81-4321-BEC8-8F7D57B7E216}" name="hasPhysicalImpacts" dataDxfId="130" totalsRowDxfId="129">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28" totalsRowDxfId="127">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26" totalsRowDxfId="125">
      <calculatedColumnFormula array="1" xml:space="preserve"> SUMPRODUCT( --( co_sectors[[#This Row],[sector_id]] = co_variants[sector_id] ) )</calculatedColumnFormula>
    </tableColumn>
    <tableColumn id="11" xr3:uid="{5F0E2743-320C-46C8-BF83-E0748C4ED15D}" name="Number of impact types" dataDxfId="124" totalsRowDxfId="123">
      <calculatedColumnFormula array="1" xml:space="preserve"> SUMPRODUCT( --( co_sectors[[#This Row],[sector_id]] = co_impactTypes[sector_id] ) )</calculatedColumnFormula>
    </tableColumn>
    <tableColumn id="13" xr3:uid="{39CDE92C-BE84-47A0-A80A-EB0EC7367742}" name="Number of impact years" dataDxfId="122" totalsRowDxfId="121">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2" totalsRowShown="0" headerRowDxfId="120" dataDxfId="119">
  <tableColumns count="11">
    <tableColumn id="1" xr3:uid="{11DFD282-93A9-4795-9369-6627D14BB282}" name="row_id" dataDxfId="118">
      <calculatedColumnFormula xml:space="preserve"> ROW( co_modelTypes[[#This Row],[row_id]] ) - ROW( co_modelTypes[[#Headers],[row_id]] )</calculatedColumnFormula>
    </tableColumn>
    <tableColumn id="5" xr3:uid="{083A43A4-471A-4911-84CB-93A1DE17EDC1}" name="modelType_id" dataDxfId="117"/>
    <tableColumn id="6" xr3:uid="{5A95B322-31B8-49BE-B215-52BB75258F9F}" name="modelType_label" dataDxfId="116"/>
    <tableColumn id="3" xr3:uid="{540088D4-3239-4E2E-B19D-9DEA7196BB93}" name="inputName" dataDxfId="115"/>
    <tableColumn id="7" xr3:uid="{EDB25577-4E2B-4262-9DF5-F68DC828D4E8}" name="modelUnitDesc" dataDxfId="114"/>
    <tableColumn id="2" xr3:uid="{7172DDAD-67EF-469B-A2DF-E5E2773966BC}" name="modelUnit_id" dataDxfId="113"/>
    <tableColumn id="8" xr3:uid="{0E585296-9334-4F27-8B15-1B944CD33E6C}" name="modelUnit_label" dataDxfId="112"/>
    <tableColumn id="10" xr3:uid="{5F1496AF-7FEE-4618-AAE6-2E8C8F5433BE}" name="modelUnitScale" dataDxfId="111"/>
    <tableColumn id="4" xr3:uid="{72573958-4C31-41E8-A620-C05E0EAD6C20}" name="modelRefYear" dataDxfId="110"/>
    <tableColumn id="14" xr3:uid="{24E03EC5-2F20-4779-B9C9-9AA4430B9341}" name="modelMaxOutput" dataDxfId="109"/>
    <tableColumn id="9" xr3:uid="{537B6620-4A1F-465E-B24B-88B4E9CB99EF}" name="modelMaxExtrap" dataDxfId="108"/>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86:D93" totalsRowShown="0" headerRowDxfId="107" dataDxfId="106">
  <tableColumns count="3">
    <tableColumn id="1" xr3:uid="{18599272-3810-42BA-A220-485AFB1D6807}" name="row_id" dataDxfId="105">
      <calculatedColumnFormula xml:space="preserve"> ROW( co_regions[[#This Row],[row_id]] ) - ROW( co_regions[[#Headers],[row_id]] )</calculatedColumnFormula>
    </tableColumn>
    <tableColumn id="3" xr3:uid="{56B07D04-3458-4687-B04E-181849066DB3}" name="region_label" dataDxfId="104"/>
    <tableColumn id="5" xr3:uid="{FFA64F27-24E0-4D92-8E8A-6A4675CEB856}" name="region_id" dataDxfId="103">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67:F74" totalsRowShown="0" headerRowDxfId="102" dataDxfId="101">
  <tableColumns count="5">
    <tableColumn id="1" xr3:uid="{BF1485BD-F9FE-4F5B-9D9F-D9CB3D918F44}" name="row_id" dataDxfId="100">
      <calculatedColumnFormula xml:space="preserve"> ROW( co_models[[#This Row],[row_id]] ) - ROW( co_models[[#Headers],[row_id]] )</calculatedColumnFormula>
    </tableColumn>
    <tableColumn id="2" xr3:uid="{A209304D-718C-45BB-922A-A83B3EC89858}" name="model_id" dataDxfId="99">
      <calculatedColumnFormula xml:space="preserve"> SUBSTITUTE( SUBSTITUTE( co_models[[#This Row],[model_label]], " ", "" ), "-", "" )</calculatedColumnFormula>
    </tableColumn>
    <tableColumn id="5" xr3:uid="{CBC70E09-D146-4CF4-911F-60EB221755C0}" name="maxUnitValue" dataDxfId="98"/>
    <tableColumn id="20" xr3:uid="{A1F83970-3B0E-4464-8376-1B37DBE20974}" name="modelType" dataDxfId="97"/>
    <tableColumn id="3" xr3:uid="{F9DE0808-4FD0-4FB6-9363-B580ED760D5C}" name="model_label" dataDxfId="96"/>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23:F24" totalsRowShown="0" headerRowDxfId="95" dataDxfId="94">
  <autoFilter ref="B23:F24" xr:uid="{965CD6B2-887D-46C8-9D98-6C6AECBC7B1A}"/>
  <sortState xmlns:xlrd2="http://schemas.microsoft.com/office/spreadsheetml/2017/richdata2" ref="B24:F24">
    <sortCondition ref="C24"/>
  </sortState>
  <tableColumns count="5">
    <tableColumn id="1" xr3:uid="{CDF8B6C0-3166-4A5F-954A-6DD921A48F0D}" name="row_id" dataDxfId="93" totalsRowDxfId="92">
      <calculatedColumnFormula xml:space="preserve"> ROW( co_impactYears[[#This Row],[row_id]] ) - ROW(co_impactYears[[#Headers],[row_id]] )</calculatedColumnFormula>
    </tableColumn>
    <tableColumn id="2" xr3:uid="{CE04D22F-F326-49F0-9B89-F7BBAC07F272}" name="sector_id" dataDxfId="2"/>
    <tableColumn id="4" xr3:uid="{D085A6D5-2B6A-46B4-9638-D837648BB08B}" name="NA" dataDxfId="91" totalsRowDxfId="90"/>
    <tableColumn id="5" xr3:uid="{EB302892-BCFD-4CA5-B470-8D81C8E73DDE}" name="2010" dataDxfId="89" totalsRowDxfId="88"/>
    <tableColumn id="6" xr3:uid="{FADA0A2C-2C06-4E27-9064-B329CB26787D}" name="2090" dataDxfId="87" totalsRowDxfId="86"/>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35:P41" totalsRowShown="0" headerRowDxfId="85" dataDxfId="84">
  <autoFilter ref="B35:P41" xr:uid="{E446364F-959A-4BFF-80B5-CD65050C4865}"/>
  <sortState xmlns:xlrd2="http://schemas.microsoft.com/office/spreadsheetml/2017/richdata2" ref="B36:P37">
    <sortCondition ref="C36:C37"/>
    <sortCondition ref="D36:D37"/>
  </sortState>
  <tableColumns count="15">
    <tableColumn id="1" xr3:uid="{3C0C87EC-3301-4189-A438-330FBC0C23CE}" name="row_id" dataDxfId="83">
      <calculatedColumnFormula xml:space="preserve"> ROW( co_impactTypes[[#This Row],[row_id]] ) - ROW(co_impactTypes[[#Headers],[row_id]] )</calculatedColumnFormula>
    </tableColumn>
    <tableColumn id="5" xr3:uid="{695E7B0A-9CCF-4B48-8FB4-7B2C8AC23CA2}" name="sector_id" dataDxfId="82"/>
    <tableColumn id="3" xr3:uid="{AC7D2590-5F6F-4E8A-8395-3ACC925DD65E}" name="impactType_label" dataDxfId="81"/>
    <tableColumn id="2" xr3:uid="{389F4E81-E357-4437-B986-87606739FD52}" name="impactType_id" dataDxfId="80"/>
    <tableColumn id="7" xr3:uid="{252ECC08-A081-4155-A2E4-6E6953775245}" name="impactType_description" dataDxfId="79"/>
    <tableColumn id="18" xr3:uid="{20E67458-91EF-4192-9F05-0BEE3F89945B}" name="physicalmeasure" dataDxfId="78"/>
    <tableColumn id="6" xr3:uid="{3CFD45D4-B79B-4F80-92FC-337937E46944}" name="physScalarName" dataDxfId="77"/>
    <tableColumn id="9" xr3:uid="{40E9B945-11EE-47C9-B5D8-A41A8FC63734}" name="physAdjName" dataDxfId="76"/>
    <tableColumn id="16" xr3:uid="{5C5AE37A-2086-491F-BF3C-F22CC928E516}" name="damageAdjName" dataDxfId="75"/>
    <tableColumn id="10" xr3:uid="{2A5B466E-A990-49E9-92E3-0103059D4863}" name="econScalarName" dataDxfId="74"/>
    <tableColumn id="11" xr3:uid="{74F77DB7-A970-4C19-A8F9-04E79FC664FD}" name="econMultiplierName" dataDxfId="73"/>
    <tableColumn id="12" xr3:uid="{DA200B1A-95FB-4000-933E-BC048A1E0631}" name="c0" dataDxfId="72"/>
    <tableColumn id="13" xr3:uid="{F6CED4C7-F96B-4766-BD90-7B52A49FAABA}" name="c1" dataDxfId="71"/>
    <tableColumn id="14" xr3:uid="{E36983CA-3DF1-4DD8-A727-E60C1D905346}" name="exp0" dataDxfId="70"/>
    <tableColumn id="15" xr3:uid="{861014FE-4437-4D17-8CED-BC8B72417DD9}" name="year0" dataDxfId="69">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45:J49" totalsRowShown="0" headerRowDxfId="68" dataDxfId="67">
  <autoFilter ref="B45:J49" xr:uid="{7F79E836-A486-4549-B875-6F873C0BCABB}"/>
  <sortState xmlns:xlrd2="http://schemas.microsoft.com/office/spreadsheetml/2017/richdata2" ref="B46:J49">
    <sortCondition ref="E46:E49"/>
    <sortCondition ref="C46:C49"/>
  </sortState>
  <tableColumns count="9">
    <tableColumn id="1" xr3:uid="{B5AB138C-E49F-456B-8F7B-6A701BD94314}" name="row_id" dataDxfId="66">
      <calculatedColumnFormula xml:space="preserve"> ROW( co_scalarInfo[[#This Row],[row_id]] ) - ROW( co_scalarInfo[[#Headers],[row_id]] )</calculatedColumnFormula>
    </tableColumn>
    <tableColumn id="4" xr3:uid="{057C556C-4A5B-41BF-9EA5-CD5D06EC20A3}" name="scalarName" dataDxfId="65"/>
    <tableColumn id="2" xr3:uid="{11586BC8-9866-411F-AFB1-B54CDBE58BC8}" name="scalarLabel" dataDxfId="64"/>
    <tableColumn id="3" xr3:uid="{59273865-10D7-4E58-A34B-98B12FD27367}" name="scalarType" dataDxfId="63"/>
    <tableColumn id="6" xr3:uid="{44722630-DE32-4127-9D36-E5716D7B6FB1}" name="constant_or_dynamic" dataDxfId="62"/>
    <tableColumn id="7" xr3:uid="{06B55EB3-A830-4A09-BCEF-732F610DB775}" name="national_or_regional" dataDxfId="61"/>
    <tableColumn id="12" xr3:uid="{DA5FA732-C673-49CC-B393-EEDF239C5944}" name="valueYear" dataDxfId="60"/>
    <tableColumn id="9" xr3:uid="{072DFA28-3A99-48D9-9F87-0B9663CC8EBE}" name="dataType" dataDxfId="59"/>
    <tableColumn id="8" xr3:uid="{083C27B7-8723-4638-8D25-C880E916AEB0}" name="notes" dataDxfId="58"/>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30:I31" totalsRowShown="0" headerRowDxfId="57" dataDxfId="56">
  <sortState xmlns:xlrd2="http://schemas.microsoft.com/office/spreadsheetml/2017/richdata2" ref="B31:I31">
    <sortCondition ref="C31"/>
  </sortState>
  <tableColumns count="8">
    <tableColumn id="1" xr3:uid="{1BCFA006-CF85-4F3A-AC79-60916A48ED39}" name="row_id" dataDxfId="55" totalsRowDxfId="54">
      <calculatedColumnFormula xml:space="preserve"> ROW( co_variants[[#This Row],[row_id]] ) - ROW( co_variants[[#Headers],[row_id]] )</calculatedColumnFormula>
    </tableColumn>
    <tableColumn id="18" xr3:uid="{11CBE921-72AF-48C1-82DE-27D30284B810}" name="sector_id" dataDxfId="53" totalsRowDxfId="52"/>
    <tableColumn id="3" xr3:uid="{1A31D87B-CDD5-4D8C-A4C9-8892B2B2C1E8}" name="variant_label" dataDxfId="51" totalsRowDxfId="50"/>
    <tableColumn id="4" xr3:uid="{BD980D22-60C8-4EA5-878C-1F6646D73814}" name="variant_id" dataDxfId="49" totalsRowDxfId="48"/>
    <tableColumn id="7" xr3:uid="{77C8D2EF-4466-45BD-90C6-9DB11F371760}" name="sectorprimary" dataDxfId="47" totalsRowDxfId="46"/>
    <tableColumn id="6" xr3:uid="{677E6396-DB82-43C2-B1C8-9CF8A385BC06}" name="includeaggregate" dataDxfId="45" totalsRowDxfId="44"/>
    <tableColumn id="19" xr3:uid="{C16D6C81-A98D-4F3D-B812-6AFD7158219C}" name="damageAdjName" dataDxfId="43" totalsRowDxfId="4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4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4:E55" totalsRowShown="0" headerRowDxfId="40" dataDxfId="39">
  <tableColumns count="4">
    <tableColumn id="1" xr3:uid="{B5687CDE-96CA-4DF3-A45A-B2EDE1CC9A93}" name="row_id" dataDxfId="38">
      <calculatedColumnFormula xml:space="preserve"> ROW( co_econMultipliers[[#This Row],[row_id]] ) - ROW( co_econMultipliers[[#Headers],[row_id]] )</calculatedColumnFormula>
    </tableColumn>
    <tableColumn id="4" xr3:uid="{76AF9F40-EEBA-4ABF-82CC-7580151C94E2}" name="econMultiplierName" dataDxfId="37"/>
    <tableColumn id="3" xr3:uid="{BB4C0E23-5864-41DA-8215-7C526A80B49B}" name="econMultiplierDescription" dataDxfId="36"/>
    <tableColumn id="2" xr3:uid="{013806BA-C4E3-46FD-AD7B-D198CFA696CD}" name="valueYear" dataDxfId="35"/>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79:J81" totalsRowShown="0" headerRowDxfId="34" dataDxfId="33">
  <tableColumns count="9">
    <tableColumn id="1" xr3:uid="{66AD6D28-7A41-4AD2-93FD-110433F1C5A5}" name="row_id" dataDxfId="32">
      <calculatedColumnFormula xml:space="preserve"> ROW( co_inputInfo[[#This Row],[row_id]] ) - ROW( co_inputInfo[[#Headers],[row_id]] )</calculatedColumnFormula>
    </tableColumn>
    <tableColumn id="4" xr3:uid="{45198473-3D48-41CD-B663-D0AF13813C66}" name="inputName" dataDxfId="31"/>
    <tableColumn id="3" xr3:uid="{E3847F4D-6384-49D5-8156-9EC8E8221B62}" name="inputType" dataDxfId="30"/>
    <tableColumn id="5" xr3:uid="{98CB64F8-23F0-4402-9CE1-03695A07036B}" name="inputDesc" dataDxfId="29"/>
    <tableColumn id="2" xr3:uid="{F9249B62-F8E8-46B3-88F1-E8E0903FDD4A}" name="inputUnit" dataDxfId="28"/>
    <tableColumn id="6" xr3:uid="{48BBD66A-C5AD-477C-84C9-E5FFE0D43B87}" name="inputMin" dataDxfId="27"/>
    <tableColumn id="7" xr3:uid="{05D78FF1-5FB5-4CB5-AB55-8F3089B354DC}" name="inputMax" dataDxfId="2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25"/>
    <tableColumn id="9" xr3:uid="{AAA49909-67E1-4978-90ED-573C388A520B}" name="region" dataDxfId="24"/>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98:F147" totalsRowShown="0" headerRowDxfId="23">
  <autoFilter ref="B98:F147" xr:uid="{260FF6F7-3417-4AB0-990E-0C31BC977851}"/>
  <tableColumns count="5">
    <tableColumn id="1" xr3:uid="{B802A69B-2E07-40A2-ADE9-DCABCB2E04A6}" name="row_id" dataDxfId="22">
      <calculatedColumnFormula xml:space="preserve"> ROW( co_states[[#This Row],[row_id]] ) - ROW( co_states[[#Headers],[row_id]] )</calculatedColumnFormula>
    </tableColumn>
    <tableColumn id="2" xr3:uid="{5B715195-2EAE-439A-84CF-1C26F65065E0}" name="state" dataDxfId="21"/>
    <tableColumn id="3" xr3:uid="{42CA1BFA-BDCF-464B-91DB-4C9663461C1C}" name="postal" dataDxfId="20"/>
    <tableColumn id="4" xr3:uid="{F4F2D0D4-82EF-41DF-B43B-E23CB36CF080}" name="region" dataDxfId="19"/>
    <tableColumn id="5" xr3:uid="{5807F5A8-31A9-4CC5-8FA0-243CB9917CD4}" name="fips" dataDxfId="18"/>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7">
      <calculatedColumnFormula xml:space="preserve"> ROW( Readme_adaptations[[#This Row],[row_id]] ) - ROW( Readme_adaptations[[#Headers],[row_id]] )</calculatedColumnFormula>
    </tableColumn>
    <tableColumn id="4" xr3:uid="{8F8CD713-0ECF-4957-8E94-F3FC5C746031}" name="sector_id" dataDxfId="1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5" dataDxfId="14">
  <autoFilter ref="B3:F5" xr:uid="{58C7AF19-DB28-47F8-BE56-AE985DF1009B}"/>
  <tableColumns count="5">
    <tableColumn id="1" xr3:uid="{055BC283-B8DC-4F37-B787-CE15D79337AE}" name="row_id" dataDxfId="13">
      <calculatedColumnFormula xml:space="preserve"> ROW( Readme_sectors[[#This Row],[row_id]] ) - ROW( Readme_sectors[[#Headers],[row_id]] )</calculatedColumnFormula>
    </tableColumn>
    <tableColumn id="4" xr3:uid="{F1DE1E87-7416-4EC2-83F4-443E818D69E2}" name="sector_id" dataDxfId="12"/>
    <tableColumn id="2" xr3:uid="{69F42C58-EA29-416E-A03E-490DCD1DAC6F}" name="adapt_id" dataDxfId="11"/>
    <tableColumn id="3" xr3:uid="{995768DD-996C-4A25-A331-EA651CF80A08}" name="adapt_label" dataDxfId="10"/>
    <tableColumn id="5" xr3:uid="{B607221E-C635-413E-A992-7E4B369F50F2}" name="Description" dataDxfId="9"/>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2" totalsRowShown="0" headerRowDxfId="8" dataDxfId="7">
  <autoFilter ref="B3:E22" xr:uid="{EF872F1E-6955-405B-B61A-5AA538BA1B9E}"/>
  <sortState xmlns:xlrd2="http://schemas.microsoft.com/office/spreadsheetml/2017/richdata2" ref="B4:E5">
    <sortCondition descending="1" ref="D4:D5"/>
    <sortCondition ref="E4:E5"/>
    <sortCondition ref="C4:C5"/>
  </sortState>
  <tableColumns count="4">
    <tableColumn id="1" xr3:uid="{F4105D57-2925-402A-AD59-A6C04C18DAF5}" name="row_id" dataDxfId="6">
      <calculatedColumnFormula xml:space="preserve"> ROW( testDev[[#This Row],[row_id]] ) - ROW(testDev[[#Headers],[row_id]] )</calculatedColumnFormula>
    </tableColumn>
    <tableColumn id="2" xr3:uid="{724C3667-B22B-4E0E-A26D-84EB27DA32DC}" name="Table Name" dataDxfId="5"/>
    <tableColumn id="8" xr3:uid="{2DE33227-E2C9-4F8F-BDC2-7C7EB619B32B}" name="Changes if new sector added" dataDxfId="4"/>
    <tableColumn id="3" xr3:uid="{91AE5770-239D-41B2-B469-E73127600B2A}" name="New sector changes" dataDxfId="3"/>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J18" dT="2021-04-02T15:08:18.98" personId="{00000000-0000-0000-0000-000000000000}" id="{492F094F-8801-4499-80C3-4610B2EB4C3B}">
    <text>Boolean field -- indicates if sector has 2010 and 2090 impact esimates. Corresponds to impact year table below.</text>
  </threadedComment>
  <threadedComment ref="D23" dT="2021-01-25T18:27:33.65" personId="{00000000-0000-0000-0000-000000000000}" id="{40274E0A-9A04-480D-A5E8-2C38F8B3CAD3}">
    <text>Empty values are replaced with "NA" in the R tool.</text>
  </threadedComment>
  <threadedComment ref="E30" dT="2022-09-13T14:35:47.65" personId="{00000000-0000-0000-0000-000000000000}" id="{61FF9366-C253-4143-8900-DE7FDB924463}">
    <text>No spaces in this ID!</text>
  </threadedComment>
  <threadedComment ref="F30" dT="2021-04-02T15:18:13.84" personId="{00000000-0000-0000-0000-000000000000}" id="{7C7D377F-2B53-48B7-807A-23CFCBC48B83}">
    <text>For sectors with multiple variants, one variant is considered the "primary" variant -- e.g., as used in when aggregating across sectors.</text>
  </threadedComment>
  <threadedComment ref="G3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F45"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67" dT="2023-12-08T22:41:08.83" personId="{00000000-0000-0000-0000-000000000000}" id="{A0D64BDD-1681-4C8F-9929-C1898D0603B0}">
    <text>Max extrapolation temperature</text>
  </threadedComment>
  <threadedComment ref="J79"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28"/>
  <sheetViews>
    <sheetView workbookViewId="0">
      <selection activeCell="A12" sqref="A12:XFD34"/>
    </sheetView>
  </sheetViews>
  <sheetFormatPr defaultRowHeight="15" outlineLevelRow="1" x14ac:dyDescent="0.25"/>
  <cols>
    <col min="2" max="2" width="15.140625" bestFit="1" customWidth="1"/>
    <col min="3" max="3" width="137.28515625" customWidth="1"/>
  </cols>
  <sheetData>
    <row r="9" spans="2:3" x14ac:dyDescent="0.25">
      <c r="B9" s="50" t="s">
        <v>24</v>
      </c>
      <c r="C9" s="50" t="s">
        <v>164</v>
      </c>
    </row>
    <row r="10" spans="2:3" ht="29.25" customHeight="1" x14ac:dyDescent="0.25">
      <c r="B10" s="60" t="s">
        <v>29</v>
      </c>
      <c r="C10" s="49" t="s">
        <v>166</v>
      </c>
    </row>
    <row r="11" spans="2:3" ht="32.25" customHeight="1" collapsed="1" x14ac:dyDescent="0.25">
      <c r="B11" s="61" t="s">
        <v>118</v>
      </c>
      <c r="C11" s="59" t="s">
        <v>167</v>
      </c>
    </row>
    <row r="12" spans="2:3" hidden="1" outlineLevel="1" collapsed="1" x14ac:dyDescent="0.25">
      <c r="B12" s="48"/>
      <c r="C12" s="51" t="s">
        <v>165</v>
      </c>
    </row>
    <row r="13" spans="2:3" hidden="1" outlineLevel="1" x14ac:dyDescent="0.25">
      <c r="C13" s="48" t="s">
        <v>49</v>
      </c>
    </row>
    <row r="14" spans="2:3" hidden="1" outlineLevel="1" x14ac:dyDescent="0.25">
      <c r="C14" t="s">
        <v>21</v>
      </c>
    </row>
    <row r="15" spans="2:3" hidden="1" outlineLevel="1" x14ac:dyDescent="0.25">
      <c r="C15" s="48" t="s">
        <v>82</v>
      </c>
    </row>
    <row r="16" spans="2:3" hidden="1" outlineLevel="1" x14ac:dyDescent="0.25">
      <c r="C16" t="s">
        <v>91</v>
      </c>
    </row>
    <row r="17" spans="3:3" hidden="1" outlineLevel="1" x14ac:dyDescent="0.25">
      <c r="C17" s="48" t="s">
        <v>119</v>
      </c>
    </row>
    <row r="18" spans="3:3" hidden="1" outlineLevel="1" x14ac:dyDescent="0.25">
      <c r="C18" t="s">
        <v>83</v>
      </c>
    </row>
    <row r="19" spans="3:3" hidden="1" outlineLevel="1" x14ac:dyDescent="0.25">
      <c r="C19" s="52" t="s">
        <v>84</v>
      </c>
    </row>
    <row r="20" spans="3:3" hidden="1" outlineLevel="1" x14ac:dyDescent="0.25">
      <c r="C20" t="s">
        <v>90</v>
      </c>
    </row>
    <row r="21" spans="3:3" hidden="1" outlineLevel="1" x14ac:dyDescent="0.25">
      <c r="C21" s="48" t="s">
        <v>85</v>
      </c>
    </row>
    <row r="22" spans="3:3" hidden="1" outlineLevel="1" x14ac:dyDescent="0.25">
      <c r="C22" t="s">
        <v>0</v>
      </c>
    </row>
    <row r="23" spans="3:3" hidden="1" outlineLevel="1" x14ac:dyDescent="0.25">
      <c r="C23" s="48" t="s">
        <v>1</v>
      </c>
    </row>
    <row r="24" spans="3:3" hidden="1" outlineLevel="1" x14ac:dyDescent="0.25">
      <c r="C24" t="s">
        <v>2</v>
      </c>
    </row>
    <row r="25" spans="3:3" hidden="1" outlineLevel="1" x14ac:dyDescent="0.25">
      <c r="C25" s="48" t="s">
        <v>3</v>
      </c>
    </row>
    <row r="26" spans="3:3" hidden="1" outlineLevel="1" x14ac:dyDescent="0.25">
      <c r="C26" t="s">
        <v>4</v>
      </c>
    </row>
    <row r="27" spans="3:3" hidden="1" outlineLevel="1" x14ac:dyDescent="0.25">
      <c r="C27" s="48" t="s">
        <v>5</v>
      </c>
    </row>
    <row r="28" spans="3:3" hidden="1" outlineLevel="1" x14ac:dyDescent="0.25">
      <c r="C28"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5"/>
  <sheetViews>
    <sheetView topLeftCell="B1" workbookViewId="0">
      <pane xSplit="2" topLeftCell="D1" activePane="topRight" state="frozen"/>
      <selection activeCell="B1" sqref="B1"/>
      <selection pane="topRight" activeCell="B14" sqref="A14:XFD14"/>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29</v>
      </c>
      <c r="B1" s="2" t="s">
        <v>30</v>
      </c>
    </row>
    <row r="2" spans="1:14" x14ac:dyDescent="0.25">
      <c r="B2" s="2"/>
    </row>
    <row r="3" spans="1:14" ht="25.5" x14ac:dyDescent="0.25">
      <c r="B3" s="6" t="s">
        <v>14</v>
      </c>
      <c r="C3" s="6" t="s">
        <v>23</v>
      </c>
      <c r="D3" s="13" t="s">
        <v>32</v>
      </c>
      <c r="E3" s="6" t="s">
        <v>24</v>
      </c>
      <c r="F3" s="13" t="s">
        <v>28</v>
      </c>
      <c r="G3" s="13" t="s">
        <v>38</v>
      </c>
      <c r="H3" s="13" t="s">
        <v>25</v>
      </c>
      <c r="I3" s="13" t="s">
        <v>37</v>
      </c>
      <c r="J3" s="13" t="s">
        <v>86</v>
      </c>
      <c r="K3" s="13" t="s">
        <v>87</v>
      </c>
      <c r="L3" s="13" t="s">
        <v>88</v>
      </c>
      <c r="M3" s="13" t="s">
        <v>95</v>
      </c>
      <c r="N3" s="6" t="s">
        <v>18</v>
      </c>
    </row>
    <row r="4" spans="1:14" ht="22.5" x14ac:dyDescent="0.25">
      <c r="B4" s="4">
        <f xml:space="preserve"> ROW( doc_tablesList[[#This Row],[ID]] ) - ROW(doc_tablesList[[#Headers],[ID]] )</f>
        <v>1</v>
      </c>
      <c r="C4" s="7" t="s">
        <v>27</v>
      </c>
      <c r="D4" s="22">
        <v>1</v>
      </c>
      <c r="E4" s="7" t="s">
        <v>118</v>
      </c>
      <c r="F4" s="22" t="str">
        <f t="shared" ref="F4" si="0" xml:space="preserve"> "row_id"</f>
        <v>row_id</v>
      </c>
      <c r="G4" s="26" cm="1">
        <f t="array" aca="1" ref="G4" ca="1" xml:space="preserve"> INDEX( ROW( INDIRECT( _xlfn.TEXTJOIN( "", , doc_tablesList[[#This Row],[Table Name]], "[[#Headers],[", doc_tablesList[[#This Row],[ID_columnName]], "]]" ) ) ), 1 )</f>
        <v>18</v>
      </c>
      <c r="H4" s="26">
        <f ca="1" xml:space="preserve"> MAX( INDIRECT( _xlfn.TEXTJOIN( "", , doc_tablesList[[#This Row],[Table Name]], "[", doc_tablesList[[#This Row],[ID_columnName]], "]" ) ) )</f>
        <v>1</v>
      </c>
      <c r="I4" s="26">
        <f ca="1" xml:space="preserve"> doc_tablesList[[#This Row],[Number of Data Rows]] + doc_tablesList[[#This Row],[Header Row]]</f>
        <v>19</v>
      </c>
      <c r="J4" s="26" cm="1">
        <f t="array" aca="1" ref="J4" ca="1" xml:space="preserve"> INDEX( COLUMN( INDIRECT( doc_tablesList[[#This Row],[Table Name]] &amp; "[" &amp; doc_tablesList[[#This Row],[ID_columnName]] &amp; "]" ) ), 1 )</f>
        <v>2</v>
      </c>
      <c r="K4" s="26" cm="1">
        <f t="array" aca="1" ref="K4" ca="1" xml:space="preserve"> MAX( COLUMN( INDIRECT( doc_tablesList[[#This Row],[Table Name]] ) ) )</f>
        <v>15</v>
      </c>
      <c r="L4" s="26">
        <f ca="1" xml:space="preserve"> doc_tablesList[[#This Row],[last_colIndex]] - doc_tablesList[[#This Row],[id_colIndex]] + 1</f>
        <v>14</v>
      </c>
      <c r="M4" s="42" t="str" cm="1">
        <f t="array" aca="1" ref="M4" ca="1" xml:space="preserve"> _xlfn.TEXTJOIN( ", ", ,  COLUMN( co_sectors[[#Headers],[hasPhysicalImpacts]:[Number of impact years]] )  - doc_tablesList[[#This Row],[id_colIndex]] + 1 )</f>
        <v>10, 11, 12, 13, 14</v>
      </c>
      <c r="N4" s="41" t="s">
        <v>179</v>
      </c>
    </row>
    <row r="5" spans="1:14" x14ac:dyDescent="0.25">
      <c r="B5" s="4">
        <f xml:space="preserve"> ROW( doc_tablesList[[#This Row],[ID]] ) - ROW(doc_tablesList[[#Headers],[ID]] )</f>
        <v>2</v>
      </c>
      <c r="C5" s="7" t="s">
        <v>177</v>
      </c>
      <c r="D5" s="22">
        <v>1</v>
      </c>
      <c r="E5" s="7" t="s">
        <v>118</v>
      </c>
      <c r="F5" s="22" t="str">
        <f t="shared" ref="F5:F10" si="1" xml:space="preserve"> "row_id"</f>
        <v>row_id</v>
      </c>
      <c r="G5" s="26" cm="1">
        <f t="array" aca="1" ref="G5" ca="1" xml:space="preserve"> INDEX( ROW( INDIRECT( _xlfn.TEXTJOIN( "", , doc_tablesList[[#This Row],[Table Name]], "[[#Headers],[", doc_tablesList[[#This Row],[ID_columnName]], "]]" ) ) ), 1 )</f>
        <v>30</v>
      </c>
      <c r="H5" s="26">
        <f ca="1" xml:space="preserve"> MAX( INDIRECT( _xlfn.TEXTJOIN( "", , doc_tablesList[[#This Row],[Table Name]], "[", doc_tablesList[[#This Row],[ID_columnName]], "]" ) ) )</f>
        <v>1</v>
      </c>
      <c r="I5" s="26">
        <f ca="1" xml:space="preserve"> doc_tablesList[[#This Row],[Number of Data Rows]] + doc_tablesList[[#This Row],[Header Row]]</f>
        <v>31</v>
      </c>
      <c r="J5" s="26" cm="1">
        <f t="array" aca="1" ref="J5" ca="1" xml:space="preserve"> INDEX( COLUMN( INDIRECT( doc_tablesList[[#This Row],[Table Name]] &amp; "[" &amp; doc_tablesList[[#This Row],[ID_columnName]] &amp; "]" ) ), 1 )</f>
        <v>2</v>
      </c>
      <c r="K5" s="26" cm="1">
        <f t="array" aca="1" ref="K5" ca="1" xml:space="preserve"> MAX( COLUMN( INDIRECT( doc_tablesList[[#This Row],[Table Name]] ) ) )</f>
        <v>9</v>
      </c>
      <c r="L5" s="26">
        <f ca="1" xml:space="preserve"> doc_tablesList[[#This Row],[last_colIndex]] - doc_tablesList[[#This Row],[id_colIndex]] + 1</f>
        <v>8</v>
      </c>
      <c r="M5" s="42" t="str">
        <f ca="1" xml:space="preserve"> _xlfn.TEXTJOIN( ", ", ,
COLUMN( co_variants[[#Headers],[hasImpacts]] )  - doc_tablesList[[#This Row],[id_colIndex]] + 1
 )</f>
        <v>8</v>
      </c>
      <c r="N5" s="41" t="s">
        <v>178</v>
      </c>
    </row>
    <row r="6" spans="1:14" x14ac:dyDescent="0.25">
      <c r="B6" s="4">
        <f xml:space="preserve"> ROW( doc_tablesList[[#This Row],[ID]] ) - ROW(doc_tablesList[[#Headers],[ID]] )</f>
        <v>3</v>
      </c>
      <c r="C6" s="7" t="s">
        <v>65</v>
      </c>
      <c r="D6" s="22">
        <v>1</v>
      </c>
      <c r="E6" s="7" t="s">
        <v>118</v>
      </c>
      <c r="F6" s="22" t="str">
        <f t="shared" si="1"/>
        <v>row_id</v>
      </c>
      <c r="G6" s="26" cm="1">
        <f t="array" aca="1" ref="G6" ca="1" xml:space="preserve"> INDEX( ROW( INDIRECT( _xlfn.TEXTJOIN( "", , doc_tablesList[[#This Row],[Table Name]], "[[#Headers],[", doc_tablesList[[#This Row],[ID_columnName]], "]]" ) ) ), 1 )</f>
        <v>23</v>
      </c>
      <c r="H6" s="26">
        <f ca="1" xml:space="preserve"> MAX( INDIRECT( _xlfn.TEXTJOIN( "", , doc_tablesList[[#This Row],[Table Name]], "[", doc_tablesList[[#This Row],[ID_columnName]], "]" ) ) )</f>
        <v>1</v>
      </c>
      <c r="I6" s="26">
        <f ca="1" xml:space="preserve"> doc_tablesList[[#This Row],[Number of Data Rows]] + doc_tablesList[[#This Row],[Header Row]]</f>
        <v>24</v>
      </c>
      <c r="J6" s="26" cm="1">
        <f t="array" aca="1" ref="J6" ca="1" xml:space="preserve"> INDEX( COLUMN( INDIRECT( doc_tablesList[[#This Row],[Table Name]] &amp; "[" &amp; doc_tablesList[[#This Row],[ID_columnName]] &amp; "]" ) ), 1 )</f>
        <v>2</v>
      </c>
      <c r="K6" s="26" cm="1">
        <f t="array" aca="1" ref="K6" ca="1" xml:space="preserve"> MAX( COLUMN( INDIRECT( doc_tablesList[[#This Row],[Table Name]] ) ) )</f>
        <v>6</v>
      </c>
      <c r="L6" s="26">
        <f ca="1" xml:space="preserve"> doc_tablesList[[#This Row],[last_colIndex]] - doc_tablesList[[#This Row],[id_colIndex]] + 1</f>
        <v>5</v>
      </c>
      <c r="M6" s="42"/>
      <c r="N6" s="41" t="s">
        <v>97</v>
      </c>
    </row>
    <row r="7" spans="1:14" x14ac:dyDescent="0.25">
      <c r="B7" s="4">
        <f xml:space="preserve"> ROW( doc_tablesList[[#This Row],[ID]] ) - ROW(doc_tablesList[[#Headers],[ID]] )</f>
        <v>4</v>
      </c>
      <c r="C7" s="7" t="s">
        <v>66</v>
      </c>
      <c r="D7" s="22">
        <v>1</v>
      </c>
      <c r="E7" s="7" t="s">
        <v>118</v>
      </c>
      <c r="F7" s="22" t="str">
        <f t="shared" si="1"/>
        <v>row_id</v>
      </c>
      <c r="G7" s="26" cm="1">
        <f t="array" aca="1" ref="G7" ca="1" xml:space="preserve"> INDEX( ROW( INDIRECT( _xlfn.TEXTJOIN( "", , doc_tablesList[[#This Row],[Table Name]], "[[#Headers],[", doc_tablesList[[#This Row],[ID_columnName]], "]]" ) ) ), 1 )</f>
        <v>35</v>
      </c>
      <c r="H7" s="26">
        <f ca="1" xml:space="preserve"> MAX( INDIRECT( _xlfn.TEXTJOIN( "", , doc_tablesList[[#This Row],[Table Name]], "[", doc_tablesList[[#This Row],[ID_columnName]], "]" ) ) )</f>
        <v>6</v>
      </c>
      <c r="I7" s="26">
        <f ca="1" xml:space="preserve"> doc_tablesList[[#This Row],[Number of Data Rows]] + doc_tablesList[[#This Row],[Header Row]]</f>
        <v>41</v>
      </c>
      <c r="J7" s="26" cm="1">
        <f t="array" aca="1" ref="J7" ca="1" xml:space="preserve"> INDEX( COLUMN( INDIRECT( doc_tablesList[[#This Row],[Table Name]] &amp; "[" &amp; doc_tablesList[[#This Row],[ID_columnName]] &amp; "]" ) ), 1 )</f>
        <v>2</v>
      </c>
      <c r="K7" s="26" cm="1">
        <f t="array" aca="1" ref="K7" ca="1" xml:space="preserve"> MAX( COLUMN( INDIRECT( doc_tablesList[[#This Row],[Table Name]] ) ) )</f>
        <v>16</v>
      </c>
      <c r="L7" s="26">
        <f ca="1" xml:space="preserve"> doc_tablesList[[#This Row],[last_colIndex]] - doc_tablesList[[#This Row],[id_colIndex]] + 1</f>
        <v>15</v>
      </c>
      <c r="M7" s="42"/>
      <c r="N7" s="41" t="s">
        <v>96</v>
      </c>
    </row>
    <row r="8" spans="1:14" x14ac:dyDescent="0.25">
      <c r="B8" s="4">
        <f xml:space="preserve"> ROW( doc_tablesList[[#This Row],[ID]] ) - ROW(doc_tablesList[[#Headers],[ID]] )</f>
        <v>5</v>
      </c>
      <c r="C8" s="7" t="s">
        <v>67</v>
      </c>
      <c r="D8" s="22">
        <v>1</v>
      </c>
      <c r="E8" s="7" t="s">
        <v>118</v>
      </c>
      <c r="F8" s="22" t="str">
        <f t="shared" si="1"/>
        <v>row_id</v>
      </c>
      <c r="G8" s="26" cm="1">
        <f t="array" aca="1" ref="G8" ca="1" xml:space="preserve"> INDEX( ROW( INDIRECT( _xlfn.TEXTJOIN( "", , doc_tablesList[[#This Row],[Table Name]], "[[#Headers],[", doc_tablesList[[#This Row],[ID_columnName]], "]]" ) ) ), 1 )</f>
        <v>45</v>
      </c>
      <c r="H8" s="26">
        <f ca="1" xml:space="preserve"> MAX( INDIRECT( _xlfn.TEXTJOIN( "", , doc_tablesList[[#This Row],[Table Name]], "[", doc_tablesList[[#This Row],[ID_columnName]], "]" ) ) )</f>
        <v>4</v>
      </c>
      <c r="I8" s="26">
        <f ca="1" xml:space="preserve"> doc_tablesList[[#This Row],[Number of Data Rows]] + doc_tablesList[[#This Row],[Header Row]]</f>
        <v>49</v>
      </c>
      <c r="J8" s="26" cm="1">
        <f t="array" aca="1" ref="J8" ca="1" xml:space="preserve"> INDEX( COLUMN( INDIRECT( doc_tablesList[[#This Row],[Table Name]] &amp; "[" &amp; doc_tablesList[[#This Row],[ID_columnName]] &amp; "]" ) ), 1 )</f>
        <v>2</v>
      </c>
      <c r="K8" s="26" cm="1">
        <f t="array" aca="1" ref="K8" ca="1" xml:space="preserve"> MAX( COLUMN( INDIRECT( doc_tablesList[[#This Row],[Table Name]] ) ) )</f>
        <v>10</v>
      </c>
      <c r="L8" s="26">
        <f ca="1" xml:space="preserve"> doc_tablesList[[#This Row],[last_colIndex]] - doc_tablesList[[#This Row],[id_colIndex]] + 1</f>
        <v>9</v>
      </c>
      <c r="M8" s="42"/>
      <c r="N8" s="41" t="s">
        <v>98</v>
      </c>
    </row>
    <row r="9" spans="1:14" x14ac:dyDescent="0.25">
      <c r="B9" s="4">
        <f xml:space="preserve"> ROW( doc_tablesList[[#This Row],[ID]] ) - ROW(doc_tablesList[[#Headers],[ID]] )</f>
        <v>6</v>
      </c>
      <c r="C9" s="7" t="s">
        <v>26</v>
      </c>
      <c r="D9" s="22">
        <v>1</v>
      </c>
      <c r="E9" s="7" t="s">
        <v>118</v>
      </c>
      <c r="F9" s="22" t="str">
        <f t="shared" si="1"/>
        <v>row_id</v>
      </c>
      <c r="G9" s="26" cm="1">
        <f t="array" aca="1" ref="G9" ca="1" xml:space="preserve"> INDEX( ROW( INDIRECT( _xlfn.TEXTJOIN( "", , doc_tablesList[[#This Row],[Table Name]], "[[#Headers],[", doc_tablesList[[#This Row],[ID_columnName]], "]]" ) ) ), 1 )</f>
        <v>86</v>
      </c>
      <c r="H9" s="26">
        <f ca="1" xml:space="preserve"> MAX( INDIRECT( _xlfn.TEXTJOIN( "", , doc_tablesList[[#This Row],[Table Name]], "[", doc_tablesList[[#This Row],[ID_columnName]], "]" ) ) )</f>
        <v>7</v>
      </c>
      <c r="I9" s="26">
        <f ca="1" xml:space="preserve"> doc_tablesList[[#This Row],[Number of Data Rows]] + doc_tablesList[[#This Row],[Header Row]]</f>
        <v>93</v>
      </c>
      <c r="J9" s="26" cm="1">
        <f t="array" aca="1" ref="J9" ca="1" xml:space="preserve"> INDEX( COLUMN( INDIRECT( doc_tablesList[[#This Row],[Table Name]] &amp; "[" &amp; doc_tablesList[[#This Row],[ID_columnName]] &amp; "]" ) ), 1 )</f>
        <v>2</v>
      </c>
      <c r="K9" s="26" cm="1">
        <f t="array" aca="1" ref="K9" ca="1" xml:space="preserve"> MAX( COLUMN( INDIRECT( doc_tablesList[[#This Row],[Table Name]] ) ) )</f>
        <v>4</v>
      </c>
      <c r="L9" s="26">
        <f ca="1" xml:space="preserve"> doc_tablesList[[#This Row],[last_colIndex]] - doc_tablesList[[#This Row],[id_colIndex]] + 1</f>
        <v>3</v>
      </c>
      <c r="M9" s="42"/>
      <c r="N9" s="41" t="s">
        <v>99</v>
      </c>
    </row>
    <row r="10" spans="1:14" x14ac:dyDescent="0.25">
      <c r="B10" s="4">
        <f xml:space="preserve"> ROW( doc_tablesList[[#This Row],[ID]] ) - ROW(doc_tablesList[[#Headers],[ID]] )</f>
        <v>7</v>
      </c>
      <c r="C10" s="7" t="s">
        <v>116</v>
      </c>
      <c r="D10" s="22">
        <v>1</v>
      </c>
      <c r="E10" s="7" t="s">
        <v>118</v>
      </c>
      <c r="F10" s="22" t="str">
        <f t="shared" si="1"/>
        <v>row_id</v>
      </c>
      <c r="G10" s="26" cm="1">
        <f t="array" aca="1" ref="G10" ca="1" xml:space="preserve"> INDEX( ROW( INDIRECT( _xlfn.TEXTJOIN( "", , doc_tablesList[[#This Row],[Table Name]], "[[#Headers],[", doc_tablesList[[#This Row],[ID_columnName]], "]]" ) ) ), 1 )</f>
        <v>67</v>
      </c>
      <c r="H10" s="26">
        <f ca="1" xml:space="preserve"> MAX( INDIRECT( _xlfn.TEXTJOIN( "", , doc_tablesList[[#This Row],[Table Name]], "[", doc_tablesList[[#This Row],[ID_columnName]], "]" ) ) )</f>
        <v>7</v>
      </c>
      <c r="I10" s="26">
        <f ca="1" xml:space="preserve"> doc_tablesList[[#This Row],[Number of Data Rows]] + doc_tablesList[[#This Row],[Header Row]]</f>
        <v>74</v>
      </c>
      <c r="J10" s="26" cm="1">
        <f t="array" aca="1" ref="J10" ca="1" xml:space="preserve"> INDEX( COLUMN( INDIRECT( doc_tablesList[[#This Row],[Table Name]] &amp; "[" &amp; doc_tablesList[[#This Row],[ID_columnName]] &amp; "]" ) ), 1 )</f>
        <v>2</v>
      </c>
      <c r="K10" s="26" cm="1">
        <f t="array" aca="1" ref="K10" ca="1" xml:space="preserve"> MAX( COLUMN( INDIRECT( doc_tablesList[[#This Row],[Table Name]] ) ) )</f>
        <v>6</v>
      </c>
      <c r="L10" s="26">
        <f ca="1" xml:space="preserve"> doc_tablesList[[#This Row],[last_colIndex]] - doc_tablesList[[#This Row],[id_colIndex]] + 1</f>
        <v>5</v>
      </c>
      <c r="M10" s="42"/>
      <c r="N10" s="41" t="s">
        <v>100</v>
      </c>
    </row>
    <row r="11" spans="1:14" x14ac:dyDescent="0.25">
      <c r="B11" s="4">
        <f xml:space="preserve"> ROW( doc_tablesList[[#This Row],[ID]] ) - ROW(doc_tablesList[[#Headers],[ID]] )</f>
        <v>8</v>
      </c>
      <c r="C11" s="7" t="s">
        <v>81</v>
      </c>
      <c r="D11" s="22">
        <v>1</v>
      </c>
      <c r="E11" s="7" t="s">
        <v>118</v>
      </c>
      <c r="F11" s="22" t="str">
        <f t="shared" ref="F11:F14" si="2" xml:space="preserve"> "row_id"</f>
        <v>row_id</v>
      </c>
      <c r="G11" s="26" cm="1">
        <f t="array" aca="1" ref="G11" ca="1" xml:space="preserve"> INDEX( ROW( INDIRECT( _xlfn.TEXTJOIN( "", , doc_tablesList[[#This Row],[Table Name]], "[[#Headers],[", doc_tablesList[[#This Row],[ID_columnName]], "]]" ) ) ), 1 )</f>
        <v>54</v>
      </c>
      <c r="H11" s="26">
        <f ca="1" xml:space="preserve"> MAX( INDIRECT( _xlfn.TEXTJOIN( "", , doc_tablesList[[#This Row],[Table Name]], "[", doc_tablesList[[#This Row],[ID_columnName]], "]" ) ) )</f>
        <v>1</v>
      </c>
      <c r="I11" s="26">
        <f ca="1" xml:space="preserve"> doc_tablesList[[#This Row],[Number of Data Rows]] + doc_tablesList[[#This Row],[Header Row]]</f>
        <v>55</v>
      </c>
      <c r="J11" s="26" cm="1">
        <f t="array" aca="1" ref="J11" ca="1" xml:space="preserve"> INDEX( COLUMN( INDIRECT( doc_tablesList[[#This Row],[Table Name]] &amp; "[" &amp; doc_tablesList[[#This Row],[ID_columnName]] &amp; "]" ) ), 1 )</f>
        <v>2</v>
      </c>
      <c r="K11" s="26" cm="1">
        <f t="array" aca="1" ref="K11" ca="1" xml:space="preserve"> MAX( COLUMN( INDIRECT( doc_tablesList[[#This Row],[Table Name]] ) ) )</f>
        <v>5</v>
      </c>
      <c r="L11" s="26">
        <f ca="1" xml:space="preserve"> doc_tablesList[[#This Row],[last_colIndex]] - doc_tablesList[[#This Row],[id_colIndex]] + 1</f>
        <v>4</v>
      </c>
      <c r="M11" s="42" t="str">
        <f ca="1" xml:space="preserve"> _xlfn.TEXTJOIN( ", ", , COLUMN( co_econMultipliers[[#Headers],[valueYear]] )  - doc_tablesList[[#This Row],[id_colIndex]] + 1 )</f>
        <v>4</v>
      </c>
      <c r="N11" s="41" t="s">
        <v>101</v>
      </c>
    </row>
    <row r="12" spans="1:14" x14ac:dyDescent="0.25">
      <c r="B12" s="4">
        <f xml:space="preserve"> ROW( doc_tablesList[[#This Row],[ID]] ) - ROW(doc_tablesList[[#Headers],[ID]] )</f>
        <v>9</v>
      </c>
      <c r="C12" s="7" t="s">
        <v>117</v>
      </c>
      <c r="D12" s="22">
        <v>1</v>
      </c>
      <c r="E12" s="7" t="s">
        <v>118</v>
      </c>
      <c r="F12" s="22" t="str">
        <f t="shared" si="2"/>
        <v>row_id</v>
      </c>
      <c r="G12" s="26" cm="1">
        <f t="array" aca="1" ref="G12" ca="1" xml:space="preserve"> INDEX( ROW( INDIRECT( _xlfn.TEXTJOIN( "", , doc_tablesList[[#This Row],[Table Name]], "[[#Headers],[", doc_tablesList[[#This Row],[ID_columnName]], "]]" ) ) ), 1 )</f>
        <v>61</v>
      </c>
      <c r="H12" s="26">
        <f ca="1" xml:space="preserve"> MAX( INDIRECT( _xlfn.TEXTJOIN( "", , doc_tablesList[[#This Row],[Table Name]], "[", doc_tablesList[[#This Row],[ID_columnName]], "]" ) ) )</f>
        <v>1</v>
      </c>
      <c r="I12" s="26">
        <f ca="1" xml:space="preserve"> doc_tablesList[[#This Row],[Number of Data Rows]] + doc_tablesList[[#This Row],[Header Row]]</f>
        <v>62</v>
      </c>
      <c r="J12" s="26" cm="1">
        <f t="array" aca="1" ref="J12" ca="1" xml:space="preserve"> INDEX( COLUMN( INDIRECT( doc_tablesList[[#This Row],[Table Name]] &amp; "[" &amp; doc_tablesList[[#This Row],[ID_columnName]] &amp; "]" ) ), 1 )</f>
        <v>2</v>
      </c>
      <c r="K12" s="26" cm="1">
        <f t="array" aca="1" ref="K12" ca="1" xml:space="preserve"> MAX( COLUMN( INDIRECT( doc_tablesList[[#This Row],[Table Name]] ) ) )</f>
        <v>12</v>
      </c>
      <c r="L12" s="26">
        <f ca="1" xml:space="preserve"> doc_tablesList[[#This Row],[last_colIndex]] - doc_tablesList[[#This Row],[id_colIndex]] + 1</f>
        <v>11</v>
      </c>
      <c r="M12" s="42"/>
      <c r="N12" s="41" t="s">
        <v>126</v>
      </c>
    </row>
    <row r="13" spans="1:14" x14ac:dyDescent="0.25">
      <c r="B13" s="4">
        <f xml:space="preserve"> ROW( doc_tablesList[[#This Row],[ID]] ) - ROW(doc_tablesList[[#Headers],[ID]] )</f>
        <v>10</v>
      </c>
      <c r="C13" s="7" t="s">
        <v>324</v>
      </c>
      <c r="D13" s="22">
        <v>1</v>
      </c>
      <c r="E13" s="7" t="s">
        <v>118</v>
      </c>
      <c r="F13" s="22" t="str">
        <f t="shared" si="2"/>
        <v>row_id</v>
      </c>
      <c r="G13" s="26" cm="1">
        <f t="array" aca="1" ref="G13" ca="1" xml:space="preserve"> INDEX( ROW( INDIRECT( _xlfn.TEXTJOIN( "", , doc_tablesList[[#This Row],[Table Name]], "[[#Headers],[", doc_tablesList[[#This Row],[ID_columnName]], "]]" ) ) ), 1 )</f>
        <v>79</v>
      </c>
      <c r="H13" s="26">
        <f ca="1" xml:space="preserve"> MAX( INDIRECT( _xlfn.TEXTJOIN( "", , doc_tablesList[[#This Row],[Table Name]], "[", doc_tablesList[[#This Row],[ID_columnName]], "]" ) ) )</f>
        <v>2</v>
      </c>
      <c r="I13" s="26">
        <f ca="1" xml:space="preserve"> doc_tablesList[[#This Row],[Number of Data Rows]] + doc_tablesList[[#This Row],[Header Row]]</f>
        <v>81</v>
      </c>
      <c r="J13" s="26" cm="1">
        <f t="array" aca="1" ref="J13" ca="1" xml:space="preserve"> INDEX( COLUMN( INDIRECT( doc_tablesList[[#This Row],[Table Name]] &amp; "[" &amp; doc_tablesList[[#This Row],[ID_columnName]] &amp; "]" ) ), 1 )</f>
        <v>2</v>
      </c>
      <c r="K13" s="26" cm="1">
        <f t="array" aca="1" ref="K13" ca="1" xml:space="preserve"> MAX( COLUMN( INDIRECT( doc_tablesList[[#This Row],[Table Name]] ) ) )</f>
        <v>10</v>
      </c>
      <c r="L13" s="26">
        <f ca="1" xml:space="preserve"> doc_tablesList[[#This Row],[last_colIndex]] - doc_tablesList[[#This Row],[id_colIndex]] + 1</f>
        <v>9</v>
      </c>
      <c r="M13" s="42"/>
      <c r="N13" s="41" t="s">
        <v>162</v>
      </c>
    </row>
    <row r="14" spans="1:14" x14ac:dyDescent="0.25">
      <c r="B14" s="4">
        <f xml:space="preserve"> ROW( doc_tablesList[[#This Row],[ID]] ) - ROW(doc_tablesList[[#Headers],[ID]] )</f>
        <v>11</v>
      </c>
      <c r="C14" s="7" t="s">
        <v>214</v>
      </c>
      <c r="D14" s="22">
        <v>1</v>
      </c>
      <c r="E14" s="7" t="s">
        <v>214</v>
      </c>
      <c r="F14" s="22" t="str">
        <f t="shared" si="2"/>
        <v>row_id</v>
      </c>
      <c r="G14" s="26" cm="1">
        <f t="array" aca="1" ref="G14" ca="1" xml:space="preserve"> INDEX( ROW( INDIRECT( _xlfn.TEXTJOIN( "", , doc_tablesList[[#This Row],[Table Name]], "[[#Headers],[", doc_tablesList[[#This Row],[ID_columnName]], "]]" ) ) ), 1 )</f>
        <v>3</v>
      </c>
      <c r="H14" s="26">
        <f ca="1" xml:space="preserve"> MAX( INDIRECT( _xlfn.TEXTJOIN( "", , doc_tablesList[[#This Row],[Table Name]], "[", doc_tablesList[[#This Row],[ID_columnName]], "]" ) ) )</f>
        <v>19</v>
      </c>
      <c r="I14" s="26">
        <f ca="1" xml:space="preserve"> doc_tablesList[[#This Row],[Number of Data Rows]] + doc_tablesList[[#This Row],[Header Row]]</f>
        <v>22</v>
      </c>
      <c r="J14" s="26" cm="1">
        <f t="array" aca="1" ref="J14" ca="1" xml:space="preserve"> INDEX( COLUMN( INDIRECT( doc_tablesList[[#This Row],[Table Name]] &amp; "[" &amp; doc_tablesList[[#This Row],[ID_columnName]] &amp; "]" ) ), 1 )</f>
        <v>2</v>
      </c>
      <c r="K14" s="26" cm="1">
        <f t="array" aca="1" ref="K14" ca="1" xml:space="preserve"> MAX( COLUMN( INDIRECT( doc_tablesList[[#This Row],[Table Name]] ) ) )</f>
        <v>5</v>
      </c>
      <c r="L14" s="26">
        <f ca="1" xml:space="preserve"> doc_tablesList[[#This Row],[last_colIndex]] - doc_tablesList[[#This Row],[id_colIndex]] + 1</f>
        <v>4</v>
      </c>
      <c r="M14" s="42"/>
      <c r="N14" s="41" t="s">
        <v>215</v>
      </c>
    </row>
    <row r="15" spans="1:14" x14ac:dyDescent="0.25">
      <c r="B15" s="4">
        <f xml:space="preserve"> ROW( doc_tablesList[[#This Row],[ID]] ) - ROW(doc_tablesList[[#Headers],[ID]] )</f>
        <v>12</v>
      </c>
      <c r="C15" s="7" t="s">
        <v>318</v>
      </c>
      <c r="D15" s="22">
        <v>1</v>
      </c>
      <c r="E15" s="7" t="s">
        <v>118</v>
      </c>
      <c r="F15" s="22" t="str">
        <f xml:space="preserve"> "row_id"</f>
        <v>row_id</v>
      </c>
      <c r="G15" s="26" cm="1">
        <f t="array" aca="1" ref="G15" ca="1" xml:space="preserve"> INDEX( ROW( INDIRECT( _xlfn.TEXTJOIN( "", , doc_tablesList[[#This Row],[Table Name]], "[[#Headers],[", doc_tablesList[[#This Row],[ID_columnName]], "]]" ) ) ), 1 )</f>
        <v>98</v>
      </c>
      <c r="H15" s="26">
        <f ca="1" xml:space="preserve"> MAX( INDIRECT( _xlfn.TEXTJOIN( "", , doc_tablesList[[#This Row],[Table Name]], "[", doc_tablesList[[#This Row],[ID_columnName]], "]" ) ) )</f>
        <v>49</v>
      </c>
      <c r="I15" s="26">
        <f ca="1" xml:space="preserve"> doc_tablesList[[#This Row],[Number of Data Rows]] + doc_tablesList[[#This Row],[Header Row]]</f>
        <v>147</v>
      </c>
      <c r="J15" s="26" cm="1">
        <f t="array" aca="1" ref="J15" ca="1" xml:space="preserve"> INDEX( COLUMN( INDIRECT( doc_tablesList[[#This Row],[Table Name]] &amp; "[" &amp; doc_tablesList[[#This Row],[ID_columnName]] &amp; "]" ) ), 1 )</f>
        <v>2</v>
      </c>
      <c r="K15" s="26" cm="1">
        <f t="array" aca="1" ref="K15" ca="1" xml:space="preserve"> MAX( COLUMN( INDIRECT( doc_tablesList[[#This Row],[Table Name]] ) ) )</f>
        <v>6</v>
      </c>
      <c r="L15" s="26">
        <f ca="1" xml:space="preserve"> doc_tablesList[[#This Row],[last_colIndex]] - doc_tablesList[[#This Row],[id_colIndex]] + 1</f>
        <v>5</v>
      </c>
      <c r="M15" s="42"/>
      <c r="N15" s="41" t="s">
        <v>319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147"/>
  <sheetViews>
    <sheetView tabSelected="1" zoomScaleNormal="100" workbookViewId="0">
      <pane xSplit="3" topLeftCell="D1" activePane="topRight" state="frozen"/>
      <selection pane="topRight" activeCell="J14" sqref="J14"/>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4"/>
      <c r="B1" s="15" t="s">
        <v>133</v>
      </c>
      <c r="C1" s="15"/>
      <c r="D1" s="15"/>
      <c r="E1" s="15"/>
      <c r="F1" s="15"/>
      <c r="G1" s="15"/>
      <c r="H1" s="15"/>
      <c r="I1" s="15"/>
      <c r="J1" s="15"/>
      <c r="K1" s="15"/>
      <c r="L1" s="15"/>
      <c r="M1" s="15"/>
      <c r="N1" s="15"/>
      <c r="O1" s="15"/>
      <c r="P1" s="15"/>
      <c r="Q1" s="15"/>
      <c r="R1" s="15"/>
      <c r="S1" s="15"/>
      <c r="T1" s="15"/>
      <c r="U1" s="15"/>
    </row>
    <row r="2" spans="1:21" x14ac:dyDescent="0.2">
      <c r="C2" s="43" t="str">
        <f ca="1" xml:space="preserve"> OFFSET( INDIRECT( ADDRESS( ROW( co_sectors[[#Headers],[row_id]] ), COLUMN( co_sectors[[#Headers],[row_id]] ), , , ) ), -2, , 1, 1 )</f>
        <v>Sectors Table</v>
      </c>
      <c r="D2" s="2" t="s">
        <v>141</v>
      </c>
    </row>
    <row r="3" spans="1:21" x14ac:dyDescent="0.2">
      <c r="C3" s="43" t="str">
        <f ca="1" xml:space="preserve"> OFFSET( INDIRECT( ADDRESS( ROW( co_impactYears[[#Headers],[row_id]] ), COLUMN( co_impactYears[[#Headers],[row_id]] ), , , ) ), -2, , 1, 1 )</f>
        <v>Impact Year Estimates</v>
      </c>
      <c r="D3" s="2" t="s">
        <v>142</v>
      </c>
    </row>
    <row r="4" spans="1:21" x14ac:dyDescent="0.2">
      <c r="C4" s="43" t="str">
        <f ca="1" xml:space="preserve"> OFFSET( INDIRECT( ADDRESS( ROW( co_variants[[#Headers],[row_id]] ), COLUMN( co_variants[[#Headers],[row_id]] ), , , ) ), -4, , 1, 1 )</f>
        <v>Variants Table</v>
      </c>
      <c r="D4" s="2" t="s">
        <v>143</v>
      </c>
    </row>
    <row r="5" spans="1:21" x14ac:dyDescent="0.2">
      <c r="C5" s="43" t="str">
        <f ca="1" xml:space="preserve"> OFFSET( INDIRECT( ADDRESS( ROW( co_impactTypes[[#Headers],[row_id]] ), COLUMN( co_impactTypes[[#Headers],[row_id]] ), , , ) ), -2, , 1, 1 )</f>
        <v>Impact Types</v>
      </c>
      <c r="D5" s="2" t="s">
        <v>144</v>
      </c>
    </row>
    <row r="6" spans="1:21" x14ac:dyDescent="0.2">
      <c r="C6" s="43" t="str">
        <f ca="1" xml:space="preserve"> OFFSET( INDIRECT( ADDRESS( ROW( co_scalarInfo[[#Headers],[row_id]] ), COLUMN( co_scalarInfo[[#Headers],[row_id]] ), , , ) ), -2, , 1, 1 )</f>
        <v>Scalar Information</v>
      </c>
      <c r="D6" s="2" t="s">
        <v>145</v>
      </c>
    </row>
    <row r="7" spans="1:21" x14ac:dyDescent="0.2">
      <c r="C7" s="43" t="str">
        <f ca="1" xml:space="preserve"> OFFSET( INDIRECT( ADDRESS( ROW( co_econMultipliers[[#Headers],[row_id]] ), COLUMN( co_econMultipliers[[#Headers],[row_id]] ), , , ) ), -2, , 1, 1 )</f>
        <v>Economic Multipliers</v>
      </c>
      <c r="D7" s="2" t="s">
        <v>146</v>
      </c>
    </row>
    <row r="8" spans="1:21" x14ac:dyDescent="0.2">
      <c r="C8" s="43" t="str">
        <f ca="1" xml:space="preserve"> OFFSET( INDIRECT( ADDRESS( ROW( co_modelTypes[[#Headers],[row_id]] ), COLUMN( co_modelTypes[[#Headers],[row_id]] ), , , ) ), -2, , 1, 1 )</f>
        <v>Model Types</v>
      </c>
      <c r="D8" s="2" t="s">
        <v>138</v>
      </c>
    </row>
    <row r="9" spans="1:21" x14ac:dyDescent="0.2">
      <c r="C9" s="43" t="str">
        <f ca="1" xml:space="preserve"> OFFSET( INDIRECT( ADDRESS( ROW( co_models[[#Headers],[row_id]] ), COLUMN( co_models[[#Headers],[row_id]] ), , , ) ), -2, , 1, 1 )</f>
        <v>GCM Models &amp; SLR Scenarios</v>
      </c>
      <c r="D9" s="2" t="s">
        <v>139</v>
      </c>
    </row>
    <row r="10" spans="1:21" x14ac:dyDescent="0.2">
      <c r="C10" s="43" t="str">
        <f ca="1" xml:space="preserve"> OFFSET( INDIRECT( ADDRESS( ROW( co_regions[[#Headers],[row_id]] ), COLUMN( co_regions[[#Headers],[row_id]] ), , , ) ), -2, , 1, 1 )</f>
        <v>Regions</v>
      </c>
      <c r="D10" s="2" t="s">
        <v>147</v>
      </c>
    </row>
    <row r="11" spans="1:21" x14ac:dyDescent="0.2">
      <c r="C11" s="43" t="str">
        <f ca="1" xml:space="preserve"> OFFSET( INDIRECT( ADDRESS( ROW( co_inputInfo[[#Headers],[row_id]] ), COLUMN( co_inputInfo[[#Headers],[row_id]] ), , , ) ), -2, , 1, 1 )</f>
        <v>Input Scenario Information</v>
      </c>
      <c r="D11" s="2" t="s">
        <v>163</v>
      </c>
    </row>
    <row r="12" spans="1:21" x14ac:dyDescent="0.2">
      <c r="C12" s="43" t="str">
        <f ca="1" xml:space="preserve"> OFFSET( INDIRECT( ADDRESS( ROW( co_states[[#Headers],[row_id]] ), COLUMN( co_states[[#Headers],[row_id]] ), , , ) ), -2, , 1, 1 )</f>
        <v>States</v>
      </c>
      <c r="D12" s="2" t="s">
        <v>317</v>
      </c>
    </row>
    <row r="14" spans="1:21" ht="22.5" x14ac:dyDescent="0.2">
      <c r="C14" s="47" t="s">
        <v>132</v>
      </c>
      <c r="D14" s="44" t="s">
        <v>137</v>
      </c>
      <c r="E14" s="45" t="s">
        <v>127</v>
      </c>
      <c r="F14" s="46" t="s">
        <v>131</v>
      </c>
    </row>
    <row r="16" spans="1:21" ht="15" x14ac:dyDescent="0.25">
      <c r="A16" s="14"/>
      <c r="B16" s="15" t="s">
        <v>22</v>
      </c>
      <c r="C16" s="15"/>
      <c r="D16" s="15"/>
      <c r="E16" s="15"/>
      <c r="F16" s="15"/>
      <c r="G16" s="15"/>
      <c r="H16" s="15"/>
      <c r="I16" s="15"/>
      <c r="J16" s="15"/>
      <c r="K16" s="15"/>
      <c r="L16" s="15"/>
      <c r="M16" s="15"/>
      <c r="N16" s="15"/>
      <c r="O16" s="15"/>
      <c r="P16" s="15"/>
      <c r="Q16" s="15"/>
      <c r="R16" s="15"/>
      <c r="S16" s="15"/>
      <c r="T16" s="15"/>
      <c r="U16" s="15"/>
    </row>
    <row r="18" spans="1:21" ht="25.5" x14ac:dyDescent="0.2">
      <c r="B18" s="16" t="s">
        <v>49</v>
      </c>
      <c r="C18" s="17" t="s">
        <v>16</v>
      </c>
      <c r="D18" s="16" t="s">
        <v>31</v>
      </c>
      <c r="E18" s="18" t="s">
        <v>39</v>
      </c>
      <c r="F18" s="18" t="s">
        <v>68</v>
      </c>
      <c r="G18" s="18" t="s">
        <v>186</v>
      </c>
      <c r="H18" s="18" t="s">
        <v>61</v>
      </c>
      <c r="I18" s="18" t="s">
        <v>62</v>
      </c>
      <c r="J18" s="18" t="s">
        <v>140</v>
      </c>
      <c r="K18" s="18" t="s">
        <v>325</v>
      </c>
      <c r="L18" s="18" t="s">
        <v>326</v>
      </c>
      <c r="M18" s="18" t="s">
        <v>187</v>
      </c>
      <c r="N18" s="18" t="s">
        <v>122</v>
      </c>
      <c r="O18" s="18" t="s">
        <v>123</v>
      </c>
    </row>
    <row r="19" spans="1:21" ht="67.5" customHeight="1" x14ac:dyDescent="0.2">
      <c r="B19" s="57">
        <f xml:space="preserve"> ROW( co_sectors[[#This Row],[row_id]] ) - ROW( co_sectors[[#Headers],[row_id]] )</f>
        <v>1</v>
      </c>
      <c r="C19" s="58" t="s">
        <v>327</v>
      </c>
      <c r="D19" s="20" t="s">
        <v>328</v>
      </c>
      <c r="E19" s="11">
        <v>1</v>
      </c>
      <c r="F19" s="12" t="s">
        <v>60</v>
      </c>
      <c r="G19" s="66" t="str" cm="1">
        <f t="array" aca="1" ref="G19" ca="1" xml:space="preserve"> _xlfn.TEXTJOIN( ", ", 1,
  IF( OFFSET( INDIRECT( ADDRESS( ROW( co_variants[[#Headers],[row_id]] ),  COLUMN( co_variants[[#Headers],[sector_id]] ), , , "controlTables" ) ), 1, 0, MAX( co_variants[row_id] ), 1 ) = co_sectors[[#This Row],[sector_id]], co_variants[variant_label], "" )
)</f>
        <v>N/A</v>
      </c>
      <c r="H19" s="66" t="str">
        <f ca="1" xml:space="preserve"> _xlfn.TEXTJOIN( ", ", 1,
  OFFSET( INDIRECT( ADDRESS( ROW( INDEX( co_impactYears[sector_id], MATCH( co_sectors[[#This Row],[sector_id]], co_impactYears[sector_id], 0 ) ) ),  COLUMN( co_impactYears[[#Headers],[sector_id]] ), , , "controlTables" ) ), 0, 1, 1, 4 )
)</f>
        <v>NA</v>
      </c>
      <c r="I19" s="66" t="str" cm="1">
        <f t="array" aca="1" ref="I19" ca="1" xml:space="preserve">  _xlfn.TEXTJOIN( ", ", 1,
  IF( OFFSET( INDIRECT( ADDRESS( ROW( co_impactTypes[[#Headers],[row_id]] ),  COLUMN( co_impactTypes[[#Headers],[sector_id]] ), , , "controlTables" ) ), 1, 0, MAX( co_impactTypes[row_id] ), 1 ) = co_sectors[[#This Row],[sector_id]], co_impactTypes[impactType_label], "" )
)</f>
        <v>Tropical Storms, Category 1 Hurricane, Category 2 Hurricane, Category 3 Hurricane, Category 4 Hurricane, Category 5 Hurricane</v>
      </c>
      <c r="J19" s="19">
        <f ca="1" xml:space="preserve"> IF( co_sectors[[#This Row],[impactYears]] = "NA", 0, 1)</f>
        <v>0</v>
      </c>
      <c r="K19" s="68" t="b" cm="1">
        <f t="array" ref="K19" xml:space="preserve"> SUMPRODUCT( --( co_sectors[[#This Row],[sector_id]] = co_impactTypes[sector_id] ), --IF( co_impactTypes[physicalmeasure] = "N/A", 0, 1) ) &gt;= 1</f>
        <v>1</v>
      </c>
      <c r="L19" s="68" t="b" cm="1">
        <f t="array" ref="L19" xml:space="preserve"> OR( SUMPRODUCT( --( co_sectors[[#This Row],[sector_id]] = co_impactTypes[sector_id] ), --IF( co_impactTypes[c0] &lt;&gt; 0, 1, 0) ) &gt;= 1,
      SUMPRODUCT( --( co_sectors[[#This Row],[sector_id]] = co_impactTypes[sector_id] ), --IF( co_impactTypes[c1] &lt;&gt; 0, 1, 0) ) &gt;= 1 )</f>
        <v>1</v>
      </c>
      <c r="M19" s="68" cm="1">
        <f t="array" ref="M19" xml:space="preserve"> SUMPRODUCT( --( co_sectors[[#This Row],[sector_id]] = co_variants[sector_id] ) )</f>
        <v>1</v>
      </c>
      <c r="N19" s="68" cm="1">
        <f t="array" ref="N19" xml:space="preserve"> SUMPRODUCT( --( co_sectors[[#This Row],[sector_id]] = co_impactTypes[sector_id] ) )</f>
        <v>6</v>
      </c>
      <c r="O19" s="68" t="e" cm="1">
        <f t="array" ref="O19" xml:space="preserve"> IF( INDEX( co_impactYears[NA], MATCH( 1, --( co_sectors[[#This Row],[sector_id]] = co_impactYears[sector_id] ), 0 ) ) = "NA", 1, 2 )</f>
        <v>#N/A</v>
      </c>
    </row>
    <row r="21" spans="1:21" ht="15" x14ac:dyDescent="0.25">
      <c r="A21" s="14"/>
      <c r="B21" s="15" t="s">
        <v>135</v>
      </c>
      <c r="C21" s="15"/>
      <c r="D21" s="15"/>
      <c r="E21" s="15"/>
      <c r="F21" s="15"/>
      <c r="G21" s="15"/>
      <c r="H21" s="15"/>
      <c r="I21" s="15"/>
      <c r="J21" s="15"/>
      <c r="K21" s="15"/>
      <c r="L21" s="15"/>
      <c r="M21" s="15"/>
      <c r="N21" s="15"/>
      <c r="O21" s="15"/>
      <c r="P21" s="15"/>
      <c r="Q21" s="15"/>
      <c r="R21" s="15"/>
      <c r="S21" s="15"/>
      <c r="T21" s="15"/>
      <c r="U21" s="15"/>
    </row>
    <row r="23" spans="1:21" x14ac:dyDescent="0.2">
      <c r="B23" s="24" t="s">
        <v>49</v>
      </c>
      <c r="C23" s="24" t="s">
        <v>16</v>
      </c>
      <c r="D23" s="26" t="s">
        <v>89</v>
      </c>
      <c r="E23" s="13" t="s">
        <v>72</v>
      </c>
      <c r="F23" s="26" t="s">
        <v>73</v>
      </c>
    </row>
    <row r="24" spans="1:21" x14ac:dyDescent="0.2">
      <c r="B24" s="4">
        <f xml:space="preserve"> ROW( co_impactYears[[#This Row],[row_id]] ) - ROW(co_impactYears[[#Headers],[row_id]] )</f>
        <v>1</v>
      </c>
      <c r="C24" s="7" t="s">
        <v>327</v>
      </c>
      <c r="D24" s="22" t="s">
        <v>89</v>
      </c>
      <c r="E24" s="62" t="s">
        <v>7</v>
      </c>
      <c r="F24" s="22" t="s">
        <v>7</v>
      </c>
    </row>
    <row r="26" spans="1:21" ht="15" x14ac:dyDescent="0.25">
      <c r="A26" s="14"/>
      <c r="B26" s="15" t="s">
        <v>180</v>
      </c>
      <c r="C26" s="15"/>
      <c r="D26" s="15"/>
      <c r="E26" s="15"/>
      <c r="F26" s="15"/>
      <c r="G26" s="15"/>
      <c r="H26" s="15"/>
      <c r="I26" s="15"/>
      <c r="J26" s="15"/>
      <c r="K26" s="15"/>
      <c r="L26" s="15"/>
      <c r="M26" s="15"/>
      <c r="N26" s="15"/>
      <c r="O26" s="15"/>
      <c r="P26" s="15"/>
      <c r="Q26" s="15"/>
      <c r="R26" s="15"/>
      <c r="S26" s="15"/>
      <c r="T26" s="15"/>
      <c r="U26" s="15"/>
    </row>
    <row r="27" spans="1:21" x14ac:dyDescent="0.2">
      <c r="B27" s="3" t="s">
        <v>181</v>
      </c>
      <c r="C27" s="3"/>
      <c r="D27" s="3"/>
      <c r="E27" s="10"/>
      <c r="F27" s="3"/>
      <c r="G27" s="3"/>
      <c r="H27" s="3"/>
      <c r="I27" s="3"/>
      <c r="J27" s="3"/>
      <c r="K27" s="3"/>
    </row>
    <row r="28" spans="1:21" x14ac:dyDescent="0.2">
      <c r="B28" s="3" t="s">
        <v>182</v>
      </c>
      <c r="C28" s="3"/>
      <c r="D28" s="3"/>
      <c r="E28" s="10"/>
      <c r="F28" s="3"/>
      <c r="G28" s="3"/>
      <c r="H28" s="3"/>
      <c r="I28" s="3"/>
      <c r="J28" s="3"/>
      <c r="K28" s="3"/>
    </row>
    <row r="29" spans="1:21" x14ac:dyDescent="0.2">
      <c r="B29" s="3" t="s">
        <v>183</v>
      </c>
      <c r="C29" s="3"/>
      <c r="D29" s="3"/>
      <c r="E29" s="10"/>
      <c r="F29" s="3"/>
      <c r="G29" s="3"/>
      <c r="H29" s="3"/>
      <c r="I29" s="3"/>
      <c r="J29" s="3"/>
      <c r="K29" s="3"/>
    </row>
    <row r="30" spans="1:21" ht="15" x14ac:dyDescent="0.25">
      <c r="B30" s="37" t="s">
        <v>49</v>
      </c>
      <c r="C30" s="37" t="s">
        <v>16</v>
      </c>
      <c r="D30" s="37" t="s">
        <v>184</v>
      </c>
      <c r="E30" s="37" t="s">
        <v>185</v>
      </c>
      <c r="F30" s="26" t="s">
        <v>128</v>
      </c>
      <c r="G30" s="26" t="s">
        <v>129</v>
      </c>
      <c r="H30" s="24" t="s">
        <v>53</v>
      </c>
      <c r="I30" s="24" t="s">
        <v>322</v>
      </c>
      <c r="J30" s="5"/>
      <c r="K30" s="5"/>
      <c r="L30" s="5"/>
      <c r="M30" s="5"/>
      <c r="N30" s="5"/>
      <c r="O30" s="5"/>
    </row>
    <row r="31" spans="1:21" ht="15" x14ac:dyDescent="0.25">
      <c r="B31" s="4">
        <f xml:space="preserve"> ROW( co_variants[[#This Row],[row_id]] ) - ROW( co_variants[[#Headers],[row_id]] )</f>
        <v>1</v>
      </c>
      <c r="C31" s="7" t="s">
        <v>327</v>
      </c>
      <c r="D31" s="21" t="s">
        <v>12</v>
      </c>
      <c r="E31" s="41" t="s">
        <v>89</v>
      </c>
      <c r="F31" s="22">
        <v>1</v>
      </c>
      <c r="G31" s="22">
        <v>1</v>
      </c>
      <c r="H31" s="40" t="str">
        <f xml:space="preserve"> INDEX( co_impactTypes[damageAdjName], MATCH( co_variants[[#This Row],[sector_id]], co_impactTypes[sector_id], 0 ) ) &amp;
   IF( OR(co_variants[[#This Row],[sector_id]] = "Roads", co_variants[[#This Row],[sector_id]] = "ForestryLoss"),"_" &amp; co_variants[[#This Row],[variant_id]], "" )</f>
        <v>none</v>
      </c>
      <c r="I31" s="29" cm="1">
        <f t="array" ref="I31" xml:space="preserve"> --( SUMPRODUCT( --( co_impactTypes[sector_id] = co_variants[[#This Row],[sector_id]] ) ) &gt;= 1 )</f>
        <v>1</v>
      </c>
      <c r="J31"/>
      <c r="K31"/>
      <c r="L31"/>
      <c r="M31"/>
    </row>
    <row r="33" spans="1:21" ht="15" x14ac:dyDescent="0.25">
      <c r="A33" s="14"/>
      <c r="B33" s="15" t="s">
        <v>11</v>
      </c>
      <c r="C33" s="15"/>
      <c r="D33" s="15"/>
      <c r="E33" s="15"/>
      <c r="F33" s="15"/>
      <c r="G33" s="15"/>
      <c r="H33" s="15"/>
      <c r="I33" s="15"/>
      <c r="J33" s="15"/>
      <c r="K33" s="15"/>
      <c r="L33" s="15"/>
      <c r="M33" s="15"/>
      <c r="N33" s="15"/>
      <c r="O33" s="15"/>
      <c r="P33" s="15"/>
      <c r="Q33" s="15"/>
      <c r="R33" s="15"/>
      <c r="S33" s="15"/>
      <c r="T33" s="15"/>
      <c r="U33" s="15"/>
    </row>
    <row r="34" spans="1:21" x14ac:dyDescent="0.2">
      <c r="B34" s="3" t="s">
        <v>176</v>
      </c>
    </row>
    <row r="35" spans="1:21" x14ac:dyDescent="0.2">
      <c r="B35" s="24" t="s">
        <v>49</v>
      </c>
      <c r="C35" s="24" t="s">
        <v>16</v>
      </c>
      <c r="D35" s="24" t="s">
        <v>92</v>
      </c>
      <c r="E35" s="25" t="s">
        <v>93</v>
      </c>
      <c r="F35" s="24" t="s">
        <v>94</v>
      </c>
      <c r="G35" s="24" t="s">
        <v>130</v>
      </c>
      <c r="H35" s="24" t="s">
        <v>51</v>
      </c>
      <c r="I35" s="24" t="s">
        <v>52</v>
      </c>
      <c r="J35" s="24" t="s">
        <v>53</v>
      </c>
      <c r="K35" s="24" t="s">
        <v>36</v>
      </c>
      <c r="L35" s="24" t="s">
        <v>80</v>
      </c>
      <c r="M35" s="26" t="s">
        <v>40</v>
      </c>
      <c r="N35" s="26" t="s">
        <v>41</v>
      </c>
      <c r="O35" s="26" t="s">
        <v>42</v>
      </c>
      <c r="P35" s="26" t="s">
        <v>43</v>
      </c>
    </row>
    <row r="36" spans="1:21" x14ac:dyDescent="0.2">
      <c r="B36" s="4">
        <f xml:space="preserve"> ROW( co_impactTypes[[#This Row],[row_id]] ) - ROW(co_impactTypes[[#Headers],[row_id]] )</f>
        <v>1</v>
      </c>
      <c r="C36" s="7" t="s">
        <v>327</v>
      </c>
      <c r="D36" s="23" t="s">
        <v>330</v>
      </c>
      <c r="E36" s="41" t="s">
        <v>329</v>
      </c>
      <c r="F36" s="27" t="s">
        <v>346</v>
      </c>
      <c r="G36" s="27" t="s">
        <v>330</v>
      </c>
      <c r="H36" s="23" t="s">
        <v>35</v>
      </c>
      <c r="I36" s="23" t="s">
        <v>35</v>
      </c>
      <c r="J36" s="23" t="s">
        <v>35</v>
      </c>
      <c r="K36" s="23" t="s">
        <v>35</v>
      </c>
      <c r="L36" s="23" t="s">
        <v>35</v>
      </c>
      <c r="M36" s="22">
        <v>0</v>
      </c>
      <c r="N36" s="22">
        <v>1</v>
      </c>
      <c r="O36" s="22">
        <v>1</v>
      </c>
      <c r="P36" s="28" t="str">
        <f xml:space="preserve"> IF(co_impactTypes[[#This Row],[econMultiplierName]]="None", "N/A", 2010)</f>
        <v>N/A</v>
      </c>
    </row>
    <row r="37" spans="1:21" x14ac:dyDescent="0.2">
      <c r="B37" s="4">
        <f xml:space="preserve"> ROW( co_impactTypes[[#This Row],[row_id]] ) - ROW(co_impactTypes[[#Headers],[row_id]] )</f>
        <v>2</v>
      </c>
      <c r="C37" s="7" t="s">
        <v>327</v>
      </c>
      <c r="D37" s="23" t="s">
        <v>332</v>
      </c>
      <c r="E37" s="41" t="s">
        <v>331</v>
      </c>
      <c r="F37" s="23" t="s">
        <v>347</v>
      </c>
      <c r="G37" s="23" t="s">
        <v>333</v>
      </c>
      <c r="H37" s="23" t="s">
        <v>35</v>
      </c>
      <c r="I37" s="23" t="s">
        <v>35</v>
      </c>
      <c r="J37" s="23" t="s">
        <v>35</v>
      </c>
      <c r="K37" s="23" t="s">
        <v>35</v>
      </c>
      <c r="L37" s="23" t="s">
        <v>35</v>
      </c>
      <c r="M37" s="22">
        <v>0</v>
      </c>
      <c r="N37" s="22">
        <v>1</v>
      </c>
      <c r="O37" s="22">
        <v>1</v>
      </c>
      <c r="P37" s="28" t="str">
        <f xml:space="preserve"> IF(co_impactTypes[[#This Row],[econMultiplierName]]="None", "N/A", 2010)</f>
        <v>N/A</v>
      </c>
    </row>
    <row r="38" spans="1:21" x14ac:dyDescent="0.2">
      <c r="B38" s="69">
        <f xml:space="preserve"> ROW( co_impactTypes[[#This Row],[row_id]] ) - ROW(co_impactTypes[[#Headers],[row_id]] )</f>
        <v>3</v>
      </c>
      <c r="C38" s="7" t="s">
        <v>327</v>
      </c>
      <c r="D38" s="23" t="s">
        <v>334</v>
      </c>
      <c r="E38" s="41" t="s">
        <v>337</v>
      </c>
      <c r="F38" s="23" t="s">
        <v>348</v>
      </c>
      <c r="G38" s="23" t="s">
        <v>335</v>
      </c>
      <c r="H38" s="23" t="s">
        <v>35</v>
      </c>
      <c r="I38" s="23" t="s">
        <v>35</v>
      </c>
      <c r="J38" s="23" t="s">
        <v>35</v>
      </c>
      <c r="K38" s="23" t="s">
        <v>35</v>
      </c>
      <c r="L38" s="23" t="s">
        <v>35</v>
      </c>
      <c r="M38" s="22">
        <v>0</v>
      </c>
      <c r="N38" s="22">
        <v>1</v>
      </c>
      <c r="O38" s="22">
        <v>1</v>
      </c>
      <c r="P38" s="72" t="str">
        <f xml:space="preserve"> IF(co_impactTypes[[#This Row],[econMultiplierName]]="None", "N/A", 2010)</f>
        <v>N/A</v>
      </c>
    </row>
    <row r="39" spans="1:21" ht="22.5" x14ac:dyDescent="0.2">
      <c r="B39" s="69">
        <f xml:space="preserve"> ROW( co_impactTypes[[#This Row],[row_id]] ) - ROW(co_impactTypes[[#Headers],[row_id]] )</f>
        <v>4</v>
      </c>
      <c r="C39" s="70" t="s">
        <v>327</v>
      </c>
      <c r="D39" s="23" t="s">
        <v>336</v>
      </c>
      <c r="E39" s="41" t="s">
        <v>338</v>
      </c>
      <c r="F39" s="27" t="s">
        <v>349</v>
      </c>
      <c r="G39" s="27" t="s">
        <v>341</v>
      </c>
      <c r="H39" s="23" t="s">
        <v>35</v>
      </c>
      <c r="I39" s="23" t="s">
        <v>35</v>
      </c>
      <c r="J39" s="23" t="s">
        <v>35</v>
      </c>
      <c r="K39" s="23" t="s">
        <v>35</v>
      </c>
      <c r="L39" s="71" t="s">
        <v>35</v>
      </c>
      <c r="M39" s="22">
        <v>0</v>
      </c>
      <c r="N39" s="22">
        <v>1</v>
      </c>
      <c r="O39" s="22">
        <v>1</v>
      </c>
      <c r="P39" s="72" t="str">
        <f xml:space="preserve"> IF(co_impactTypes[[#This Row],[econMultiplierName]]="None", "N/A", 2010)</f>
        <v>N/A</v>
      </c>
    </row>
    <row r="40" spans="1:21" ht="22.5" x14ac:dyDescent="0.2">
      <c r="B40" s="69">
        <f xml:space="preserve"> ROW( co_impactTypes[[#This Row],[row_id]] ) - ROW(co_impactTypes[[#Headers],[row_id]] )</f>
        <v>5</v>
      </c>
      <c r="C40" s="70" t="s">
        <v>327</v>
      </c>
      <c r="D40" s="23" t="s">
        <v>344</v>
      </c>
      <c r="E40" s="41" t="s">
        <v>339</v>
      </c>
      <c r="F40" s="27" t="s">
        <v>350</v>
      </c>
      <c r="G40" s="27" t="s">
        <v>342</v>
      </c>
      <c r="H40" s="23" t="s">
        <v>35</v>
      </c>
      <c r="I40" s="23" t="s">
        <v>35</v>
      </c>
      <c r="J40" s="23" t="s">
        <v>35</v>
      </c>
      <c r="K40" s="23" t="s">
        <v>35</v>
      </c>
      <c r="L40" s="71" t="s">
        <v>35</v>
      </c>
      <c r="M40" s="22">
        <v>0</v>
      </c>
      <c r="N40" s="22">
        <v>1</v>
      </c>
      <c r="O40" s="22">
        <v>1</v>
      </c>
      <c r="P40" s="72" t="str">
        <f xml:space="preserve"> IF(co_impactTypes[[#This Row],[econMultiplierName]]="None", "N/A", 2010)</f>
        <v>N/A</v>
      </c>
    </row>
    <row r="41" spans="1:21" ht="22.5" x14ac:dyDescent="0.2">
      <c r="B41" s="69">
        <f xml:space="preserve"> ROW( co_impactTypes[[#This Row],[row_id]] ) - ROW(co_impactTypes[[#Headers],[row_id]] )</f>
        <v>6</v>
      </c>
      <c r="C41" s="70" t="s">
        <v>327</v>
      </c>
      <c r="D41" s="23" t="s">
        <v>345</v>
      </c>
      <c r="E41" s="41" t="s">
        <v>340</v>
      </c>
      <c r="F41" s="27" t="s">
        <v>351</v>
      </c>
      <c r="G41" s="27" t="s">
        <v>343</v>
      </c>
      <c r="H41" s="23" t="s">
        <v>35</v>
      </c>
      <c r="I41" s="23" t="s">
        <v>35</v>
      </c>
      <c r="J41" s="23" t="s">
        <v>35</v>
      </c>
      <c r="K41" s="23" t="s">
        <v>35</v>
      </c>
      <c r="L41" s="71" t="s">
        <v>35</v>
      </c>
      <c r="M41" s="22">
        <v>0</v>
      </c>
      <c r="N41" s="22">
        <v>1</v>
      </c>
      <c r="O41" s="22">
        <v>1</v>
      </c>
      <c r="P41" s="72" t="str">
        <f xml:space="preserve"> IF(co_impactTypes[[#This Row],[econMultiplierName]]="None", "N/A", 2010)</f>
        <v>N/A</v>
      </c>
    </row>
    <row r="43" spans="1:21" ht="15" x14ac:dyDescent="0.25">
      <c r="A43" s="14"/>
      <c r="B43" s="15" t="s">
        <v>175</v>
      </c>
      <c r="C43" s="15"/>
      <c r="D43" s="15"/>
      <c r="E43" s="15"/>
      <c r="F43" s="15"/>
      <c r="G43" s="15"/>
      <c r="H43" s="15"/>
      <c r="I43" s="15"/>
      <c r="J43" s="15"/>
      <c r="K43" s="15"/>
      <c r="L43" s="15"/>
      <c r="M43" s="15"/>
      <c r="N43" s="15"/>
      <c r="O43" s="15"/>
      <c r="P43" s="15"/>
      <c r="Q43" s="15"/>
      <c r="R43" s="15"/>
      <c r="S43" s="15"/>
      <c r="T43" s="15"/>
      <c r="U43" s="15"/>
    </row>
    <row r="45" spans="1:21" ht="15" x14ac:dyDescent="0.25">
      <c r="B45" s="24" t="s">
        <v>49</v>
      </c>
      <c r="C45" s="24" t="s">
        <v>34</v>
      </c>
      <c r="D45" s="24" t="s">
        <v>33</v>
      </c>
      <c r="E45" s="26" t="s">
        <v>54</v>
      </c>
      <c r="F45" s="26" t="s">
        <v>69</v>
      </c>
      <c r="G45" s="26" t="s">
        <v>70</v>
      </c>
      <c r="H45" s="26" t="s">
        <v>58</v>
      </c>
      <c r="I45" s="26" t="s">
        <v>76</v>
      </c>
      <c r="J45" s="24" t="s">
        <v>63</v>
      </c>
      <c r="Q45" s="5"/>
      <c r="R45" s="5"/>
      <c r="S45" s="5"/>
    </row>
    <row r="46" spans="1:21" ht="15" x14ac:dyDescent="0.25">
      <c r="B46" s="6">
        <f xml:space="preserve"> ROW( co_scalarInfo[[#This Row],[row_id]] ) - ROW( co_scalarInfo[[#Headers],[row_id]] )</f>
        <v>1</v>
      </c>
      <c r="C46" s="27" t="s">
        <v>35</v>
      </c>
      <c r="D46" s="21" t="s">
        <v>78</v>
      </c>
      <c r="E46" s="62" t="s">
        <v>56</v>
      </c>
      <c r="F46" s="62" t="s">
        <v>50</v>
      </c>
      <c r="G46" s="62" t="s">
        <v>71</v>
      </c>
      <c r="H46" s="62" t="s">
        <v>12</v>
      </c>
      <c r="I46" s="42" t="s">
        <v>77</v>
      </c>
      <c r="J46" s="56" t="s">
        <v>79</v>
      </c>
      <c r="Q46"/>
      <c r="R46"/>
      <c r="S46"/>
    </row>
    <row r="47" spans="1:21" x14ac:dyDescent="0.2">
      <c r="B47" s="6">
        <f xml:space="preserve"> ROW( co_scalarInfo[[#This Row],[row_id]] ) - ROW( co_scalarInfo[[#Headers],[row_id]] )</f>
        <v>2</v>
      </c>
      <c r="C47" s="27" t="s">
        <v>35</v>
      </c>
      <c r="D47" s="21" t="s">
        <v>78</v>
      </c>
      <c r="E47" s="62" t="s">
        <v>55</v>
      </c>
      <c r="F47" s="62" t="s">
        <v>50</v>
      </c>
      <c r="G47" s="62" t="s">
        <v>71</v>
      </c>
      <c r="H47" s="62" t="s">
        <v>12</v>
      </c>
      <c r="I47" s="42" t="s">
        <v>77</v>
      </c>
      <c r="J47" s="56" t="s">
        <v>79</v>
      </c>
    </row>
    <row r="48" spans="1:21" x14ac:dyDescent="0.2">
      <c r="B48" s="6">
        <f xml:space="preserve"> ROW( co_scalarInfo[[#This Row],[row_id]] ) - ROW( co_scalarInfo[[#Headers],[row_id]] )</f>
        <v>3</v>
      </c>
      <c r="C48" s="27" t="s">
        <v>35</v>
      </c>
      <c r="D48" s="21" t="s">
        <v>78</v>
      </c>
      <c r="E48" s="62" t="s">
        <v>64</v>
      </c>
      <c r="F48" s="62" t="s">
        <v>50</v>
      </c>
      <c r="G48" s="62" t="s">
        <v>71</v>
      </c>
      <c r="H48" s="62" t="s">
        <v>12</v>
      </c>
      <c r="I48" s="42" t="s">
        <v>77</v>
      </c>
      <c r="J48" s="56" t="s">
        <v>79</v>
      </c>
    </row>
    <row r="49" spans="1:21" x14ac:dyDescent="0.2">
      <c r="B49" s="6">
        <f xml:space="preserve"> ROW( co_scalarInfo[[#This Row],[row_id]] ) - ROW( co_scalarInfo[[#Headers],[row_id]] )</f>
        <v>4</v>
      </c>
      <c r="C49" s="27" t="s">
        <v>35</v>
      </c>
      <c r="D49" s="21" t="s">
        <v>78</v>
      </c>
      <c r="E49" s="62" t="s">
        <v>57</v>
      </c>
      <c r="F49" s="62" t="s">
        <v>50</v>
      </c>
      <c r="G49" s="62" t="s">
        <v>71</v>
      </c>
      <c r="H49" s="62" t="s">
        <v>12</v>
      </c>
      <c r="I49" s="42" t="s">
        <v>77</v>
      </c>
      <c r="J49" s="56" t="s">
        <v>79</v>
      </c>
    </row>
    <row r="52" spans="1:21" ht="15" x14ac:dyDescent="0.25">
      <c r="A52" s="14"/>
      <c r="B52" s="15" t="s">
        <v>136</v>
      </c>
      <c r="C52" s="15"/>
      <c r="D52" s="15"/>
      <c r="E52" s="15"/>
      <c r="F52" s="15"/>
      <c r="G52" s="15"/>
      <c r="H52" s="15"/>
      <c r="I52" s="15"/>
      <c r="J52" s="15"/>
      <c r="K52" s="15"/>
      <c r="L52" s="15"/>
      <c r="M52" s="15"/>
      <c r="N52" s="15"/>
      <c r="O52" s="15"/>
      <c r="P52" s="15"/>
      <c r="Q52" s="15"/>
      <c r="R52" s="15"/>
      <c r="S52" s="15"/>
      <c r="T52" s="15"/>
      <c r="U52" s="15"/>
    </row>
    <row r="54" spans="1:21" x14ac:dyDescent="0.2">
      <c r="B54" s="24" t="s">
        <v>49</v>
      </c>
      <c r="C54" s="24" t="s">
        <v>80</v>
      </c>
      <c r="D54" s="24" t="s">
        <v>102</v>
      </c>
      <c r="E54" s="25" t="s">
        <v>58</v>
      </c>
    </row>
    <row r="55" spans="1:21" x14ac:dyDescent="0.2">
      <c r="B55" s="4">
        <f xml:space="preserve"> ROW( co_econMultipliers[[#This Row],[row_id]] ) - ROW( co_econMultipliers[[#Headers],[row_id]] )</f>
        <v>1</v>
      </c>
      <c r="C55" s="7" t="s">
        <v>35</v>
      </c>
      <c r="D55" s="38" t="s">
        <v>78</v>
      </c>
      <c r="E55" s="39" t="s">
        <v>12</v>
      </c>
    </row>
    <row r="59" spans="1:21" ht="15" x14ac:dyDescent="0.25">
      <c r="A59" s="14"/>
      <c r="B59" s="15" t="s">
        <v>134</v>
      </c>
      <c r="C59" s="15"/>
      <c r="D59" s="15"/>
      <c r="E59" s="15"/>
      <c r="F59" s="15"/>
      <c r="G59" s="15"/>
      <c r="H59" s="15"/>
      <c r="I59" s="15"/>
      <c r="J59" s="15"/>
      <c r="K59" s="15"/>
      <c r="L59" s="15"/>
      <c r="M59" s="15"/>
      <c r="N59" s="15"/>
      <c r="O59" s="15"/>
      <c r="P59" s="15"/>
      <c r="Q59" s="15"/>
      <c r="R59" s="15"/>
      <c r="S59" s="15"/>
      <c r="T59" s="15"/>
      <c r="U59" s="15"/>
    </row>
    <row r="61" spans="1:21" x14ac:dyDescent="0.2">
      <c r="B61" s="31" t="s">
        <v>49</v>
      </c>
      <c r="C61" s="31" t="s">
        <v>107</v>
      </c>
      <c r="D61" s="31" t="s">
        <v>108</v>
      </c>
      <c r="E61" s="33" t="s">
        <v>149</v>
      </c>
      <c r="F61" s="33" t="s">
        <v>112</v>
      </c>
      <c r="G61" s="32" t="s">
        <v>113</v>
      </c>
      <c r="H61" s="32" t="s">
        <v>115</v>
      </c>
      <c r="I61" s="30" t="s">
        <v>121</v>
      </c>
      <c r="J61" s="30" t="s">
        <v>120</v>
      </c>
      <c r="K61" s="30" t="s">
        <v>124</v>
      </c>
      <c r="L61" s="30" t="s">
        <v>125</v>
      </c>
    </row>
    <row r="62" spans="1:21" x14ac:dyDescent="0.2">
      <c r="B62" s="4">
        <f xml:space="preserve"> ROW( co_modelTypes[[#This Row],[row_id]] ) - ROW( co_modelTypes[[#Headers],[row_id]] )</f>
        <v>1</v>
      </c>
      <c r="C62" s="7" t="s">
        <v>60</v>
      </c>
      <c r="D62" s="7" t="s">
        <v>106</v>
      </c>
      <c r="E62" s="35" t="s">
        <v>150</v>
      </c>
      <c r="F62" s="35" t="s">
        <v>105</v>
      </c>
      <c r="G62" s="34" t="s">
        <v>114</v>
      </c>
      <c r="H62" s="34" t="s">
        <v>110</v>
      </c>
      <c r="I62" s="36">
        <v>1</v>
      </c>
      <c r="J62" s="36">
        <v>2000</v>
      </c>
      <c r="K62" s="36">
        <v>8</v>
      </c>
      <c r="L62" s="36">
        <v>8</v>
      </c>
    </row>
    <row r="65" spans="1:21" ht="15" x14ac:dyDescent="0.25">
      <c r="A65" s="14"/>
      <c r="B65" s="15" t="s">
        <v>321</v>
      </c>
      <c r="C65" s="15"/>
      <c r="D65" s="15"/>
      <c r="E65" s="15"/>
      <c r="F65" s="15"/>
      <c r="G65" s="15"/>
      <c r="H65" s="15"/>
      <c r="I65" s="15"/>
      <c r="J65" s="15"/>
      <c r="K65" s="15"/>
      <c r="L65" s="15"/>
      <c r="M65" s="15"/>
      <c r="N65" s="15"/>
      <c r="O65" s="15"/>
      <c r="P65" s="15"/>
      <c r="Q65" s="15"/>
      <c r="R65" s="15"/>
      <c r="S65" s="15"/>
      <c r="T65" s="15"/>
      <c r="U65" s="15"/>
    </row>
    <row r="67" spans="1:21" x14ac:dyDescent="0.2">
      <c r="B67" s="37" t="s">
        <v>49</v>
      </c>
      <c r="C67" s="24" t="s">
        <v>74</v>
      </c>
      <c r="D67" s="24" t="s">
        <v>320</v>
      </c>
      <c r="E67" s="24" t="s">
        <v>68</v>
      </c>
      <c r="F67" s="25" t="s">
        <v>103</v>
      </c>
    </row>
    <row r="68" spans="1:21" x14ac:dyDescent="0.2">
      <c r="B68" s="4">
        <f xml:space="preserve"> ROW( co_models[[#This Row],[row_id]] ) - ROW( co_models[[#Headers],[row_id]] )</f>
        <v>1</v>
      </c>
      <c r="C68" s="67" t="str">
        <f xml:space="preserve"> SUBSTITUTE( SUBSTITUTE( co_models[[#This Row],[model_label]], " ", "" ), "-", "" )</f>
        <v>CESM2</v>
      </c>
      <c r="D68" s="38">
        <v>6</v>
      </c>
      <c r="E68" s="38" t="s">
        <v>60</v>
      </c>
      <c r="F68" s="65" t="s">
        <v>352</v>
      </c>
    </row>
    <row r="69" spans="1:21" x14ac:dyDescent="0.2">
      <c r="B69" s="4">
        <f xml:space="preserve"> ROW( co_models[[#This Row],[row_id]] ) - ROW( co_models[[#Headers],[row_id]] )</f>
        <v>2</v>
      </c>
      <c r="C69" s="67" t="str">
        <f xml:space="preserve"> SUBSTITUTE( SUBSTITUTE( co_models[[#This Row],[model_label]], " ", "" ), "-", "" )</f>
        <v>CNRMCM61</v>
      </c>
      <c r="D69" s="38">
        <v>6</v>
      </c>
      <c r="E69" s="38" t="s">
        <v>60</v>
      </c>
      <c r="F69" s="65" t="s">
        <v>353</v>
      </c>
    </row>
    <row r="70" spans="1:21" x14ac:dyDescent="0.2">
      <c r="B70" s="4">
        <f xml:space="preserve"> ROW( co_models[[#This Row],[row_id]] ) - ROW( co_models[[#Headers],[row_id]] )</f>
        <v>3</v>
      </c>
      <c r="C70" s="67" t="str">
        <f xml:space="preserve"> SUBSTITUTE( SUBSTITUTE( co_models[[#This Row],[model_label]], " ", "" ), "-", "" )</f>
        <v>ECEarth3</v>
      </c>
      <c r="D70" s="38">
        <v>6</v>
      </c>
      <c r="E70" s="38" t="s">
        <v>60</v>
      </c>
      <c r="F70" s="65" t="s">
        <v>354</v>
      </c>
    </row>
    <row r="71" spans="1:21" x14ac:dyDescent="0.2">
      <c r="B71" s="4">
        <f xml:space="preserve"> ROW( co_models[[#This Row],[row_id]] ) - ROW( co_models[[#Headers],[row_id]] )</f>
        <v>4</v>
      </c>
      <c r="C71" s="67" t="str">
        <f xml:space="preserve"> SUBSTITUTE( SUBSTITUTE( co_models[[#This Row],[model_label]], " ", "" ), "-", "" )</f>
        <v>MIROC6</v>
      </c>
      <c r="D71" s="38">
        <v>5</v>
      </c>
      <c r="E71" s="38" t="s">
        <v>60</v>
      </c>
      <c r="F71" s="65" t="s">
        <v>355</v>
      </c>
    </row>
    <row r="72" spans="1:21" x14ac:dyDescent="0.2">
      <c r="B72" s="4">
        <f xml:space="preserve"> ROW( co_models[[#This Row],[row_id]] ) - ROW( co_models[[#Headers],[row_id]] )</f>
        <v>5</v>
      </c>
      <c r="C72" s="67" t="str">
        <f xml:space="preserve"> SUBSTITUTE( SUBSTITUTE( co_models[[#This Row],[model_label]], " ", "" ), "-", "" )</f>
        <v>MPIESM12HR</v>
      </c>
      <c r="D72" s="38">
        <v>4</v>
      </c>
      <c r="E72" s="38" t="s">
        <v>60</v>
      </c>
      <c r="F72" s="65" t="s">
        <v>356</v>
      </c>
    </row>
    <row r="73" spans="1:21" x14ac:dyDescent="0.2">
      <c r="B73" s="4">
        <f xml:space="preserve"> ROW( co_models[[#This Row],[row_id]] ) - ROW( co_models[[#Headers],[row_id]] )</f>
        <v>6</v>
      </c>
      <c r="C73" s="67" t="str">
        <f xml:space="preserve"> SUBSTITUTE( SUBSTITUTE( co_models[[#This Row],[model_label]], " ", "" ), "-", "" )</f>
        <v>MRIESM20</v>
      </c>
      <c r="D73" s="38">
        <v>5</v>
      </c>
      <c r="E73" s="38" t="s">
        <v>60</v>
      </c>
      <c r="F73" s="65" t="s">
        <v>357</v>
      </c>
    </row>
    <row r="74" spans="1:21" x14ac:dyDescent="0.2">
      <c r="B74" s="4">
        <f xml:space="preserve"> ROW( co_models[[#This Row],[row_id]] ) - ROW( co_models[[#Headers],[row_id]] )</f>
        <v>7</v>
      </c>
      <c r="C74" s="67" t="str">
        <f xml:space="preserve"> SUBSTITUTE( SUBSTITUTE( co_models[[#This Row],[model_label]], " ", "" ), "-", "" )</f>
        <v>UKESM10LL</v>
      </c>
      <c r="D74" s="38">
        <v>8</v>
      </c>
      <c r="E74" s="38" t="s">
        <v>60</v>
      </c>
      <c r="F74" s="65" t="s">
        <v>358</v>
      </c>
    </row>
    <row r="77" spans="1:21" ht="15" x14ac:dyDescent="0.25">
      <c r="A77" s="14"/>
      <c r="B77" s="15" t="s">
        <v>148</v>
      </c>
      <c r="C77" s="15"/>
      <c r="D77" s="15"/>
      <c r="E77" s="15"/>
      <c r="F77" s="15"/>
      <c r="G77" s="15"/>
      <c r="H77" s="15"/>
      <c r="I77" s="15"/>
      <c r="J77" s="15"/>
      <c r="K77" s="15"/>
      <c r="L77" s="15"/>
      <c r="M77" s="15"/>
      <c r="N77" s="15"/>
      <c r="O77" s="15"/>
      <c r="P77" s="15"/>
      <c r="Q77" s="15"/>
      <c r="R77" s="15"/>
      <c r="S77" s="15"/>
      <c r="T77" s="15"/>
      <c r="U77" s="15"/>
    </row>
    <row r="79" spans="1:21" x14ac:dyDescent="0.2">
      <c r="B79" s="24" t="s">
        <v>49</v>
      </c>
      <c r="C79" s="24" t="s">
        <v>149</v>
      </c>
      <c r="D79" s="24" t="s">
        <v>151</v>
      </c>
      <c r="E79" s="24" t="s">
        <v>153</v>
      </c>
      <c r="F79" s="26" t="s">
        <v>152</v>
      </c>
      <c r="G79" s="26" t="s">
        <v>156</v>
      </c>
      <c r="H79" s="26" t="s">
        <v>157</v>
      </c>
      <c r="I79" s="26" t="s">
        <v>158</v>
      </c>
      <c r="J79" s="26" t="s">
        <v>15</v>
      </c>
    </row>
    <row r="80" spans="1:21" x14ac:dyDescent="0.2">
      <c r="B80" s="4">
        <f xml:space="preserve"> ROW( co_inputInfo[[#This Row],[row_id]] ) - ROW( co_inputInfo[[#Headers],[row_id]] )</f>
        <v>1</v>
      </c>
      <c r="C80" s="7" t="s">
        <v>150</v>
      </c>
      <c r="D80" s="38" t="s">
        <v>104</v>
      </c>
      <c r="E80" s="38" t="s">
        <v>154</v>
      </c>
      <c r="F80" s="22" t="s">
        <v>110</v>
      </c>
      <c r="G80" s="22">
        <v>0</v>
      </c>
      <c r="H80" s="22"/>
      <c r="I80" s="22" t="s">
        <v>159</v>
      </c>
      <c r="J80" s="22">
        <v>0</v>
      </c>
    </row>
    <row r="81" spans="1:21" x14ac:dyDescent="0.2">
      <c r="B81" s="4">
        <f xml:space="preserve"> ROW( co_inputInfo[[#This Row],[row_id]] ) - ROW( co_inputInfo[[#Headers],[row_id]] )</f>
        <v>2</v>
      </c>
      <c r="C81" s="7" t="s">
        <v>59</v>
      </c>
      <c r="D81" s="38" t="s">
        <v>109</v>
      </c>
      <c r="E81" s="38" t="s">
        <v>155</v>
      </c>
      <c r="F81" s="22" t="s">
        <v>111</v>
      </c>
      <c r="G81" s="22">
        <v>0</v>
      </c>
      <c r="H81" s="22"/>
      <c r="I81" s="22" t="s">
        <v>160</v>
      </c>
      <c r="J81" s="22">
        <v>0</v>
      </c>
    </row>
    <row r="84" spans="1:21" ht="15" x14ac:dyDescent="0.25">
      <c r="A84" s="14"/>
      <c r="B84" s="15" t="s">
        <v>19</v>
      </c>
      <c r="C84" s="15"/>
      <c r="D84" s="15"/>
      <c r="E84" s="15"/>
      <c r="F84" s="15"/>
      <c r="G84" s="15"/>
      <c r="H84" s="15"/>
      <c r="I84" s="15"/>
      <c r="J84" s="15"/>
      <c r="K84" s="15"/>
      <c r="L84" s="15"/>
      <c r="M84" s="15"/>
      <c r="N84" s="15"/>
      <c r="O84" s="15"/>
      <c r="P84" s="15"/>
      <c r="Q84" s="15"/>
      <c r="R84" s="15"/>
      <c r="S84" s="15"/>
      <c r="T84" s="15"/>
      <c r="U84" s="15"/>
    </row>
    <row r="86" spans="1:21" x14ac:dyDescent="0.2">
      <c r="B86" s="37" t="s">
        <v>49</v>
      </c>
      <c r="C86" s="24" t="s">
        <v>20</v>
      </c>
      <c r="D86" s="25" t="s">
        <v>323</v>
      </c>
      <c r="E86" s="2"/>
    </row>
    <row r="87" spans="1:21" x14ac:dyDescent="0.2">
      <c r="B87" s="4">
        <f xml:space="preserve"> ROW( co_regions[[#This Row],[row_id]] ) - ROW( co_regions[[#Headers],[row_id]] )</f>
        <v>1</v>
      </c>
      <c r="C87" s="38" t="s">
        <v>0</v>
      </c>
      <c r="D87" s="25" t="str">
        <f xml:space="preserve"> SUBSTITUTE( co_regions[[#This Row],[region_label]], " ", "" )</f>
        <v>Midwest</v>
      </c>
      <c r="E87" s="2"/>
    </row>
    <row r="88" spans="1:21" x14ac:dyDescent="0.2">
      <c r="B88" s="4">
        <f xml:space="preserve"> ROW( co_regions[[#This Row],[row_id]] ) - ROW( co_regions[[#Headers],[row_id]] )</f>
        <v>2</v>
      </c>
      <c r="C88" s="38" t="s">
        <v>1</v>
      </c>
      <c r="D88" s="25" t="str">
        <f xml:space="preserve"> SUBSTITUTE( co_regions[[#This Row],[region_label]], " ", "" )</f>
        <v>Northeast</v>
      </c>
      <c r="E88" s="2"/>
    </row>
    <row r="89" spans="1:21" x14ac:dyDescent="0.2">
      <c r="B89" s="4">
        <f xml:space="preserve"> ROW( co_regions[[#This Row],[row_id]] ) - ROW( co_regions[[#Headers],[row_id]] )</f>
        <v>3</v>
      </c>
      <c r="C89" s="38" t="s">
        <v>2</v>
      </c>
      <c r="D89" s="25" t="str">
        <f xml:space="preserve"> SUBSTITUTE( co_regions[[#This Row],[region_label]], " ", "" )</f>
        <v>NorthernPlains</v>
      </c>
      <c r="E89" s="2"/>
    </row>
    <row r="90" spans="1:21" x14ac:dyDescent="0.2">
      <c r="B90" s="4">
        <f xml:space="preserve"> ROW( co_regions[[#This Row],[row_id]] ) - ROW( co_regions[[#Headers],[row_id]] )</f>
        <v>4</v>
      </c>
      <c r="C90" s="38" t="s">
        <v>3</v>
      </c>
      <c r="D90" s="25" t="str">
        <f xml:space="preserve"> SUBSTITUTE( co_regions[[#This Row],[region_label]], " ", "" )</f>
        <v>Northwest</v>
      </c>
      <c r="E90" s="2"/>
    </row>
    <row r="91" spans="1:21" x14ac:dyDescent="0.2">
      <c r="B91" s="4">
        <f xml:space="preserve"> ROW( co_regions[[#This Row],[row_id]] ) - ROW( co_regions[[#Headers],[row_id]] )</f>
        <v>5</v>
      </c>
      <c r="C91" s="38" t="s">
        <v>4</v>
      </c>
      <c r="D91" s="25" t="str">
        <f xml:space="preserve"> SUBSTITUTE( co_regions[[#This Row],[region_label]], " ", "" )</f>
        <v>Southeast</v>
      </c>
      <c r="E91" s="2"/>
    </row>
    <row r="92" spans="1:21" x14ac:dyDescent="0.2">
      <c r="B92" s="4">
        <f xml:space="preserve"> ROW( co_regions[[#This Row],[row_id]] ) - ROW( co_regions[[#Headers],[row_id]] )</f>
        <v>6</v>
      </c>
      <c r="C92" s="38" t="s">
        <v>5</v>
      </c>
      <c r="D92" s="25" t="str">
        <f xml:space="preserve"> SUBSTITUTE( co_regions[[#This Row],[region_label]], " ", "" )</f>
        <v>SouthernPlains</v>
      </c>
      <c r="E92" s="2"/>
    </row>
    <row r="93" spans="1:21" x14ac:dyDescent="0.2">
      <c r="B93" s="4">
        <f xml:space="preserve"> ROW( co_regions[[#This Row],[row_id]] ) - ROW( co_regions[[#Headers],[row_id]] )</f>
        <v>7</v>
      </c>
      <c r="C93" s="38" t="s">
        <v>6</v>
      </c>
      <c r="D93" s="25" t="str">
        <f xml:space="preserve"> SUBSTITUTE( co_regions[[#This Row],[region_label]], " ", "" )</f>
        <v>Southwest</v>
      </c>
      <c r="E93" s="2"/>
    </row>
    <row r="96" spans="1:21" ht="15" x14ac:dyDescent="0.25">
      <c r="A96" s="14"/>
      <c r="B96" s="15" t="s">
        <v>216</v>
      </c>
      <c r="C96" s="15"/>
      <c r="D96" s="15"/>
      <c r="E96" s="15"/>
      <c r="F96" s="15"/>
      <c r="G96" s="15"/>
      <c r="H96" s="15"/>
      <c r="I96" s="15"/>
      <c r="J96" s="15"/>
      <c r="K96" s="15"/>
      <c r="L96" s="15"/>
      <c r="M96" s="15"/>
      <c r="N96" s="15"/>
      <c r="O96" s="15"/>
      <c r="P96" s="15"/>
      <c r="Q96" s="15"/>
      <c r="R96" s="15"/>
      <c r="S96" s="15"/>
      <c r="T96" s="15"/>
      <c r="U96" s="15"/>
    </row>
    <row r="98" spans="2:6" x14ac:dyDescent="0.2">
      <c r="B98" s="2" t="s">
        <v>49</v>
      </c>
      <c r="C98" s="2" t="s">
        <v>217</v>
      </c>
      <c r="D98" s="2" t="s">
        <v>218</v>
      </c>
      <c r="E98" s="2" t="s">
        <v>15</v>
      </c>
      <c r="F98" s="9" t="s">
        <v>219</v>
      </c>
    </row>
    <row r="99" spans="2:6" x14ac:dyDescent="0.2">
      <c r="B99" s="2">
        <f xml:space="preserve"> ROW( co_states[[#This Row],[row_id]] ) - ROW( co_states[[#Headers],[row_id]] )</f>
        <v>1</v>
      </c>
      <c r="C99" s="63" t="s">
        <v>220</v>
      </c>
      <c r="D99" s="63" t="s">
        <v>221</v>
      </c>
      <c r="E99" s="63" t="s">
        <v>4</v>
      </c>
      <c r="F99" s="64">
        <v>1</v>
      </c>
    </row>
    <row r="100" spans="2:6" x14ac:dyDescent="0.2">
      <c r="B100" s="2">
        <f xml:space="preserve"> ROW( co_states[[#This Row],[row_id]] ) - ROW( co_states[[#Headers],[row_id]] )</f>
        <v>2</v>
      </c>
      <c r="C100" s="63" t="s">
        <v>222</v>
      </c>
      <c r="D100" s="63" t="s">
        <v>223</v>
      </c>
      <c r="E100" s="63" t="s">
        <v>6</v>
      </c>
      <c r="F100" s="64">
        <v>4</v>
      </c>
    </row>
    <row r="101" spans="2:6" x14ac:dyDescent="0.2">
      <c r="B101" s="2">
        <f xml:space="preserve"> ROW( co_states[[#This Row],[row_id]] ) - ROW( co_states[[#Headers],[row_id]] )</f>
        <v>3</v>
      </c>
      <c r="C101" s="63" t="s">
        <v>224</v>
      </c>
      <c r="D101" s="63" t="s">
        <v>225</v>
      </c>
      <c r="E101" s="63" t="s">
        <v>4</v>
      </c>
      <c r="F101" s="64">
        <v>5</v>
      </c>
    </row>
    <row r="102" spans="2:6" x14ac:dyDescent="0.2">
      <c r="B102" s="2">
        <f xml:space="preserve"> ROW( co_states[[#This Row],[row_id]] ) - ROW( co_states[[#Headers],[row_id]] )</f>
        <v>4</v>
      </c>
      <c r="C102" s="63" t="s">
        <v>226</v>
      </c>
      <c r="D102" s="63" t="s">
        <v>227</v>
      </c>
      <c r="E102" s="63" t="s">
        <v>6</v>
      </c>
      <c r="F102" s="64">
        <v>6</v>
      </c>
    </row>
    <row r="103" spans="2:6" x14ac:dyDescent="0.2">
      <c r="B103" s="2">
        <f xml:space="preserve"> ROW( co_states[[#This Row],[row_id]] ) - ROW( co_states[[#Headers],[row_id]] )</f>
        <v>5</v>
      </c>
      <c r="C103" s="63" t="s">
        <v>228</v>
      </c>
      <c r="D103" s="63" t="s">
        <v>229</v>
      </c>
      <c r="E103" s="63" t="s">
        <v>6</v>
      </c>
      <c r="F103" s="64">
        <v>8</v>
      </c>
    </row>
    <row r="104" spans="2:6" x14ac:dyDescent="0.2">
      <c r="B104" s="2">
        <f xml:space="preserve"> ROW( co_states[[#This Row],[row_id]] ) - ROW( co_states[[#Headers],[row_id]] )</f>
        <v>6</v>
      </c>
      <c r="C104" s="63" t="s">
        <v>230</v>
      </c>
      <c r="D104" s="63" t="s">
        <v>231</v>
      </c>
      <c r="E104" s="63" t="s">
        <v>1</v>
      </c>
      <c r="F104" s="64">
        <v>9</v>
      </c>
    </row>
    <row r="105" spans="2:6" x14ac:dyDescent="0.2">
      <c r="B105" s="2">
        <f xml:space="preserve"> ROW( co_states[[#This Row],[row_id]] ) - ROW( co_states[[#Headers],[row_id]] )</f>
        <v>7</v>
      </c>
      <c r="C105" s="63" t="s">
        <v>232</v>
      </c>
      <c r="D105" s="63" t="s">
        <v>233</v>
      </c>
      <c r="E105" s="63" t="s">
        <v>1</v>
      </c>
      <c r="F105" s="64">
        <v>10</v>
      </c>
    </row>
    <row r="106" spans="2:6" x14ac:dyDescent="0.2">
      <c r="B106" s="2">
        <f xml:space="preserve"> ROW( co_states[[#This Row],[row_id]] ) - ROW( co_states[[#Headers],[row_id]] )</f>
        <v>8</v>
      </c>
      <c r="C106" s="63" t="s">
        <v>234</v>
      </c>
      <c r="D106" s="63" t="s">
        <v>235</v>
      </c>
      <c r="E106" s="63" t="s">
        <v>1</v>
      </c>
      <c r="F106" s="64">
        <v>11</v>
      </c>
    </row>
    <row r="107" spans="2:6" x14ac:dyDescent="0.2">
      <c r="B107" s="2">
        <f xml:space="preserve"> ROW( co_states[[#This Row],[row_id]] ) - ROW( co_states[[#Headers],[row_id]] )</f>
        <v>9</v>
      </c>
      <c r="C107" s="63" t="s">
        <v>236</v>
      </c>
      <c r="D107" s="63" t="s">
        <v>237</v>
      </c>
      <c r="E107" s="63" t="s">
        <v>4</v>
      </c>
      <c r="F107" s="64">
        <v>12</v>
      </c>
    </row>
    <row r="108" spans="2:6" x14ac:dyDescent="0.2">
      <c r="B108" s="2">
        <f xml:space="preserve"> ROW( co_states[[#This Row],[row_id]] ) - ROW( co_states[[#Headers],[row_id]] )</f>
        <v>10</v>
      </c>
      <c r="C108" s="63" t="s">
        <v>238</v>
      </c>
      <c r="D108" s="63" t="s">
        <v>239</v>
      </c>
      <c r="E108" s="63" t="s">
        <v>4</v>
      </c>
      <c r="F108" s="64">
        <v>13</v>
      </c>
    </row>
    <row r="109" spans="2:6" x14ac:dyDescent="0.2">
      <c r="B109" s="2">
        <f xml:space="preserve"> ROW( co_states[[#This Row],[row_id]] ) - ROW( co_states[[#Headers],[row_id]] )</f>
        <v>11</v>
      </c>
      <c r="C109" s="63" t="s">
        <v>240</v>
      </c>
      <c r="D109" s="63" t="s">
        <v>14</v>
      </c>
      <c r="E109" s="63" t="s">
        <v>3</v>
      </c>
      <c r="F109" s="64">
        <v>16</v>
      </c>
    </row>
    <row r="110" spans="2:6" x14ac:dyDescent="0.2">
      <c r="B110" s="2">
        <f xml:space="preserve"> ROW( co_states[[#This Row],[row_id]] ) - ROW( co_states[[#Headers],[row_id]] )</f>
        <v>12</v>
      </c>
      <c r="C110" s="63" t="s">
        <v>241</v>
      </c>
      <c r="D110" s="63" t="s">
        <v>242</v>
      </c>
      <c r="E110" s="63" t="s">
        <v>0</v>
      </c>
      <c r="F110" s="64">
        <v>17</v>
      </c>
    </row>
    <row r="111" spans="2:6" x14ac:dyDescent="0.2">
      <c r="B111" s="2">
        <f xml:space="preserve"> ROW( co_states[[#This Row],[row_id]] ) - ROW( co_states[[#Headers],[row_id]] )</f>
        <v>13</v>
      </c>
      <c r="C111" s="63" t="s">
        <v>243</v>
      </c>
      <c r="D111" s="63" t="s">
        <v>244</v>
      </c>
      <c r="E111" s="63" t="s">
        <v>0</v>
      </c>
      <c r="F111" s="64">
        <v>18</v>
      </c>
    </row>
    <row r="112" spans="2:6" x14ac:dyDescent="0.2">
      <c r="B112" s="2">
        <f xml:space="preserve"> ROW( co_states[[#This Row],[row_id]] ) - ROW( co_states[[#Headers],[row_id]] )</f>
        <v>14</v>
      </c>
      <c r="C112" s="63" t="s">
        <v>245</v>
      </c>
      <c r="D112" s="63" t="s">
        <v>246</v>
      </c>
      <c r="E112" s="63" t="s">
        <v>0</v>
      </c>
      <c r="F112" s="64">
        <v>19</v>
      </c>
    </row>
    <row r="113" spans="2:6" x14ac:dyDescent="0.2">
      <c r="B113" s="2">
        <f xml:space="preserve"> ROW( co_states[[#This Row],[row_id]] ) - ROW( co_states[[#Headers],[row_id]] )</f>
        <v>15</v>
      </c>
      <c r="C113" s="63" t="s">
        <v>247</v>
      </c>
      <c r="D113" s="63" t="s">
        <v>248</v>
      </c>
      <c r="E113" s="63" t="s">
        <v>5</v>
      </c>
      <c r="F113" s="64">
        <v>20</v>
      </c>
    </row>
    <row r="114" spans="2:6" x14ac:dyDescent="0.2">
      <c r="B114" s="2">
        <f xml:space="preserve"> ROW( co_states[[#This Row],[row_id]] ) - ROW( co_states[[#Headers],[row_id]] )</f>
        <v>16</v>
      </c>
      <c r="C114" s="63" t="s">
        <v>249</v>
      </c>
      <c r="D114" s="63" t="s">
        <v>250</v>
      </c>
      <c r="E114" s="63" t="s">
        <v>4</v>
      </c>
      <c r="F114" s="64">
        <v>21</v>
      </c>
    </row>
    <row r="115" spans="2:6" x14ac:dyDescent="0.2">
      <c r="B115" s="2">
        <f xml:space="preserve"> ROW( co_states[[#This Row],[row_id]] ) - ROW( co_states[[#Headers],[row_id]] )</f>
        <v>17</v>
      </c>
      <c r="C115" s="63" t="s">
        <v>251</v>
      </c>
      <c r="D115" s="63" t="s">
        <v>252</v>
      </c>
      <c r="E115" s="63" t="s">
        <v>4</v>
      </c>
      <c r="F115" s="64">
        <v>22</v>
      </c>
    </row>
    <row r="116" spans="2:6" x14ac:dyDescent="0.2">
      <c r="B116" s="2">
        <f xml:space="preserve"> ROW( co_states[[#This Row],[row_id]] ) - ROW( co_states[[#Headers],[row_id]] )</f>
        <v>18</v>
      </c>
      <c r="C116" s="63" t="s">
        <v>253</v>
      </c>
      <c r="D116" s="63" t="s">
        <v>254</v>
      </c>
      <c r="E116" s="63" t="s">
        <v>1</v>
      </c>
      <c r="F116" s="64">
        <v>23</v>
      </c>
    </row>
    <row r="117" spans="2:6" x14ac:dyDescent="0.2">
      <c r="B117" s="2">
        <f xml:space="preserve"> ROW( co_states[[#This Row],[row_id]] ) - ROW( co_states[[#Headers],[row_id]] )</f>
        <v>19</v>
      </c>
      <c r="C117" s="63" t="s">
        <v>255</v>
      </c>
      <c r="D117" s="63" t="s">
        <v>256</v>
      </c>
      <c r="E117" s="63" t="s">
        <v>1</v>
      </c>
      <c r="F117" s="64">
        <v>24</v>
      </c>
    </row>
    <row r="118" spans="2:6" x14ac:dyDescent="0.2">
      <c r="B118" s="2">
        <f xml:space="preserve"> ROW( co_states[[#This Row],[row_id]] ) - ROW( co_states[[#Headers],[row_id]] )</f>
        <v>20</v>
      </c>
      <c r="C118" s="63" t="s">
        <v>257</v>
      </c>
      <c r="D118" s="63" t="s">
        <v>258</v>
      </c>
      <c r="E118" s="63" t="s">
        <v>1</v>
      </c>
      <c r="F118" s="64">
        <v>25</v>
      </c>
    </row>
    <row r="119" spans="2:6" x14ac:dyDescent="0.2">
      <c r="B119" s="2">
        <f xml:space="preserve"> ROW( co_states[[#This Row],[row_id]] ) - ROW( co_states[[#Headers],[row_id]] )</f>
        <v>21</v>
      </c>
      <c r="C119" s="63" t="s">
        <v>259</v>
      </c>
      <c r="D119" s="63" t="s">
        <v>260</v>
      </c>
      <c r="E119" s="63" t="s">
        <v>0</v>
      </c>
      <c r="F119" s="64">
        <v>26</v>
      </c>
    </row>
    <row r="120" spans="2:6" x14ac:dyDescent="0.2">
      <c r="B120" s="2">
        <f xml:space="preserve"> ROW( co_states[[#This Row],[row_id]] ) - ROW( co_states[[#Headers],[row_id]] )</f>
        <v>22</v>
      </c>
      <c r="C120" s="63" t="s">
        <v>261</v>
      </c>
      <c r="D120" s="63" t="s">
        <v>262</v>
      </c>
      <c r="E120" s="63" t="s">
        <v>0</v>
      </c>
      <c r="F120" s="64">
        <v>27</v>
      </c>
    </row>
    <row r="121" spans="2:6" x14ac:dyDescent="0.2">
      <c r="B121" s="2">
        <f xml:space="preserve"> ROW( co_states[[#This Row],[row_id]] ) - ROW( co_states[[#Headers],[row_id]] )</f>
        <v>23</v>
      </c>
      <c r="C121" s="63" t="s">
        <v>263</v>
      </c>
      <c r="D121" s="63" t="s">
        <v>264</v>
      </c>
      <c r="E121" s="63" t="s">
        <v>4</v>
      </c>
      <c r="F121" s="64">
        <v>28</v>
      </c>
    </row>
    <row r="122" spans="2:6" x14ac:dyDescent="0.2">
      <c r="B122" s="2">
        <f xml:space="preserve"> ROW( co_states[[#This Row],[row_id]] ) - ROW( co_states[[#Headers],[row_id]] )</f>
        <v>24</v>
      </c>
      <c r="C122" s="63" t="s">
        <v>265</v>
      </c>
      <c r="D122" s="63" t="s">
        <v>266</v>
      </c>
      <c r="E122" s="63" t="s">
        <v>0</v>
      </c>
      <c r="F122" s="64">
        <v>29</v>
      </c>
    </row>
    <row r="123" spans="2:6" x14ac:dyDescent="0.2">
      <c r="B123" s="2">
        <f xml:space="preserve"> ROW( co_states[[#This Row],[row_id]] ) - ROW( co_states[[#Headers],[row_id]] )</f>
        <v>25</v>
      </c>
      <c r="C123" s="63" t="s">
        <v>267</v>
      </c>
      <c r="D123" s="63" t="s">
        <v>268</v>
      </c>
      <c r="E123" s="63" t="s">
        <v>2</v>
      </c>
      <c r="F123" s="64">
        <v>30</v>
      </c>
    </row>
    <row r="124" spans="2:6" x14ac:dyDescent="0.2">
      <c r="B124" s="2">
        <f xml:space="preserve"> ROW( co_states[[#This Row],[row_id]] ) - ROW( co_states[[#Headers],[row_id]] )</f>
        <v>26</v>
      </c>
      <c r="C124" s="63" t="s">
        <v>269</v>
      </c>
      <c r="D124" s="63" t="s">
        <v>270</v>
      </c>
      <c r="E124" s="63" t="s">
        <v>2</v>
      </c>
      <c r="F124" s="64">
        <v>31</v>
      </c>
    </row>
    <row r="125" spans="2:6" x14ac:dyDescent="0.2">
      <c r="B125" s="2">
        <f xml:space="preserve"> ROW( co_states[[#This Row],[row_id]] ) - ROW( co_states[[#Headers],[row_id]] )</f>
        <v>27</v>
      </c>
      <c r="C125" s="63" t="s">
        <v>271</v>
      </c>
      <c r="D125" s="63" t="s">
        <v>272</v>
      </c>
      <c r="E125" s="63" t="s">
        <v>6</v>
      </c>
      <c r="F125" s="64">
        <v>32</v>
      </c>
    </row>
    <row r="126" spans="2:6" x14ac:dyDescent="0.2">
      <c r="B126" s="2">
        <f xml:space="preserve"> ROW( co_states[[#This Row],[row_id]] ) - ROW( co_states[[#Headers],[row_id]] )</f>
        <v>28</v>
      </c>
      <c r="C126" s="63" t="s">
        <v>273</v>
      </c>
      <c r="D126" s="63" t="s">
        <v>274</v>
      </c>
      <c r="E126" s="63" t="s">
        <v>1</v>
      </c>
      <c r="F126" s="64">
        <v>33</v>
      </c>
    </row>
    <row r="127" spans="2:6" x14ac:dyDescent="0.2">
      <c r="B127" s="2">
        <f xml:space="preserve"> ROW( co_states[[#This Row],[row_id]] ) - ROW( co_states[[#Headers],[row_id]] )</f>
        <v>29</v>
      </c>
      <c r="C127" s="63" t="s">
        <v>275</v>
      </c>
      <c r="D127" s="63" t="s">
        <v>276</v>
      </c>
      <c r="E127" s="63" t="s">
        <v>1</v>
      </c>
      <c r="F127" s="64">
        <v>34</v>
      </c>
    </row>
    <row r="128" spans="2:6" x14ac:dyDescent="0.2">
      <c r="B128" s="2">
        <f xml:space="preserve"> ROW( co_states[[#This Row],[row_id]] ) - ROW( co_states[[#Headers],[row_id]] )</f>
        <v>30</v>
      </c>
      <c r="C128" s="63" t="s">
        <v>277</v>
      </c>
      <c r="D128" s="63" t="s">
        <v>278</v>
      </c>
      <c r="E128" s="63" t="s">
        <v>6</v>
      </c>
      <c r="F128" s="64">
        <v>35</v>
      </c>
    </row>
    <row r="129" spans="2:6" x14ac:dyDescent="0.2">
      <c r="B129" s="2">
        <f xml:space="preserve"> ROW( co_states[[#This Row],[row_id]] ) - ROW( co_states[[#Headers],[row_id]] )</f>
        <v>31</v>
      </c>
      <c r="C129" s="63" t="s">
        <v>279</v>
      </c>
      <c r="D129" s="63" t="s">
        <v>280</v>
      </c>
      <c r="E129" s="63" t="s">
        <v>1</v>
      </c>
      <c r="F129" s="64">
        <v>36</v>
      </c>
    </row>
    <row r="130" spans="2:6" x14ac:dyDescent="0.2">
      <c r="B130" s="2">
        <f xml:space="preserve"> ROW( co_states[[#This Row],[row_id]] ) - ROW( co_states[[#Headers],[row_id]] )</f>
        <v>32</v>
      </c>
      <c r="C130" s="63" t="s">
        <v>281</v>
      </c>
      <c r="D130" s="63" t="s">
        <v>282</v>
      </c>
      <c r="E130" s="63" t="s">
        <v>4</v>
      </c>
      <c r="F130" s="64">
        <v>37</v>
      </c>
    </row>
    <row r="131" spans="2:6" x14ac:dyDescent="0.2">
      <c r="B131" s="2">
        <f xml:space="preserve"> ROW( co_states[[#This Row],[row_id]] ) - ROW( co_states[[#Headers],[row_id]] )</f>
        <v>33</v>
      </c>
      <c r="C131" s="63" t="s">
        <v>283</v>
      </c>
      <c r="D131" s="63" t="s">
        <v>284</v>
      </c>
      <c r="E131" s="63" t="s">
        <v>2</v>
      </c>
      <c r="F131" s="64">
        <v>38</v>
      </c>
    </row>
    <row r="132" spans="2:6" x14ac:dyDescent="0.2">
      <c r="B132" s="2">
        <f xml:space="preserve"> ROW( co_states[[#This Row],[row_id]] ) - ROW( co_states[[#Headers],[row_id]] )</f>
        <v>34</v>
      </c>
      <c r="C132" s="63" t="s">
        <v>285</v>
      </c>
      <c r="D132" s="63" t="s">
        <v>286</v>
      </c>
      <c r="E132" s="63" t="s">
        <v>0</v>
      </c>
      <c r="F132" s="64">
        <v>39</v>
      </c>
    </row>
    <row r="133" spans="2:6" x14ac:dyDescent="0.2">
      <c r="B133" s="2">
        <f xml:space="preserve"> ROW( co_states[[#This Row],[row_id]] ) - ROW( co_states[[#Headers],[row_id]] )</f>
        <v>35</v>
      </c>
      <c r="C133" s="63" t="s">
        <v>287</v>
      </c>
      <c r="D133" s="63" t="s">
        <v>288</v>
      </c>
      <c r="E133" s="63" t="s">
        <v>5</v>
      </c>
      <c r="F133" s="64">
        <v>40</v>
      </c>
    </row>
    <row r="134" spans="2:6" x14ac:dyDescent="0.2">
      <c r="B134" s="2">
        <f xml:space="preserve"> ROW( co_states[[#This Row],[row_id]] ) - ROW( co_states[[#Headers],[row_id]] )</f>
        <v>36</v>
      </c>
      <c r="C134" s="63" t="s">
        <v>289</v>
      </c>
      <c r="D134" s="63" t="s">
        <v>290</v>
      </c>
      <c r="E134" s="63" t="s">
        <v>3</v>
      </c>
      <c r="F134" s="64">
        <v>41</v>
      </c>
    </row>
    <row r="135" spans="2:6" x14ac:dyDescent="0.2">
      <c r="B135" s="2">
        <f xml:space="preserve"> ROW( co_states[[#This Row],[row_id]] ) - ROW( co_states[[#Headers],[row_id]] )</f>
        <v>37</v>
      </c>
      <c r="C135" s="63" t="s">
        <v>291</v>
      </c>
      <c r="D135" s="63" t="s">
        <v>292</v>
      </c>
      <c r="E135" s="63" t="s">
        <v>1</v>
      </c>
      <c r="F135" s="64">
        <v>42</v>
      </c>
    </row>
    <row r="136" spans="2:6" x14ac:dyDescent="0.2">
      <c r="B136" s="2">
        <f xml:space="preserve"> ROW( co_states[[#This Row],[row_id]] ) - ROW( co_states[[#Headers],[row_id]] )</f>
        <v>38</v>
      </c>
      <c r="C136" s="63" t="s">
        <v>293</v>
      </c>
      <c r="D136" s="63" t="s">
        <v>294</v>
      </c>
      <c r="E136" s="63" t="s">
        <v>1</v>
      </c>
      <c r="F136" s="64">
        <v>44</v>
      </c>
    </row>
    <row r="137" spans="2:6" x14ac:dyDescent="0.2">
      <c r="B137" s="2">
        <f xml:space="preserve"> ROW( co_states[[#This Row],[row_id]] ) - ROW( co_states[[#Headers],[row_id]] )</f>
        <v>39</v>
      </c>
      <c r="C137" s="63" t="s">
        <v>295</v>
      </c>
      <c r="D137" s="63" t="s">
        <v>296</v>
      </c>
      <c r="E137" s="63" t="s">
        <v>4</v>
      </c>
      <c r="F137" s="64">
        <v>45</v>
      </c>
    </row>
    <row r="138" spans="2:6" x14ac:dyDescent="0.2">
      <c r="B138" s="2">
        <f xml:space="preserve"> ROW( co_states[[#This Row],[row_id]] ) - ROW( co_states[[#Headers],[row_id]] )</f>
        <v>40</v>
      </c>
      <c r="C138" s="63" t="s">
        <v>297</v>
      </c>
      <c r="D138" s="63" t="s">
        <v>298</v>
      </c>
      <c r="E138" s="63" t="s">
        <v>2</v>
      </c>
      <c r="F138" s="64">
        <v>46</v>
      </c>
    </row>
    <row r="139" spans="2:6" x14ac:dyDescent="0.2">
      <c r="B139" s="2">
        <f xml:space="preserve"> ROW( co_states[[#This Row],[row_id]] ) - ROW( co_states[[#Headers],[row_id]] )</f>
        <v>41</v>
      </c>
      <c r="C139" s="63" t="s">
        <v>299</v>
      </c>
      <c r="D139" s="63" t="s">
        <v>300</v>
      </c>
      <c r="E139" s="63" t="s">
        <v>4</v>
      </c>
      <c r="F139" s="64">
        <v>47</v>
      </c>
    </row>
    <row r="140" spans="2:6" x14ac:dyDescent="0.2">
      <c r="B140" s="2">
        <f xml:space="preserve"> ROW( co_states[[#This Row],[row_id]] ) - ROW( co_states[[#Headers],[row_id]] )</f>
        <v>42</v>
      </c>
      <c r="C140" s="63" t="s">
        <v>301</v>
      </c>
      <c r="D140" s="63" t="s">
        <v>302</v>
      </c>
      <c r="E140" s="63" t="s">
        <v>5</v>
      </c>
      <c r="F140" s="64">
        <v>48</v>
      </c>
    </row>
    <row r="141" spans="2:6" x14ac:dyDescent="0.2">
      <c r="B141" s="2">
        <f xml:space="preserve"> ROW( co_states[[#This Row],[row_id]] ) - ROW( co_states[[#Headers],[row_id]] )</f>
        <v>43</v>
      </c>
      <c r="C141" s="63" t="s">
        <v>303</v>
      </c>
      <c r="D141" s="63" t="s">
        <v>304</v>
      </c>
      <c r="E141" s="63" t="s">
        <v>6</v>
      </c>
      <c r="F141" s="64">
        <v>49</v>
      </c>
    </row>
    <row r="142" spans="2:6" x14ac:dyDescent="0.2">
      <c r="B142" s="2">
        <f xml:space="preserve"> ROW( co_states[[#This Row],[row_id]] ) - ROW( co_states[[#Headers],[row_id]] )</f>
        <v>44</v>
      </c>
      <c r="C142" s="63" t="s">
        <v>305</v>
      </c>
      <c r="D142" s="63" t="s">
        <v>306</v>
      </c>
      <c r="E142" s="63" t="s">
        <v>1</v>
      </c>
      <c r="F142" s="64">
        <v>50</v>
      </c>
    </row>
    <row r="143" spans="2:6" x14ac:dyDescent="0.2">
      <c r="B143" s="2">
        <f xml:space="preserve"> ROW( co_states[[#This Row],[row_id]] ) - ROW( co_states[[#Headers],[row_id]] )</f>
        <v>45</v>
      </c>
      <c r="C143" s="63" t="s">
        <v>307</v>
      </c>
      <c r="D143" s="63" t="s">
        <v>308</v>
      </c>
      <c r="E143" s="63" t="s">
        <v>4</v>
      </c>
      <c r="F143" s="64">
        <v>51</v>
      </c>
    </row>
    <row r="144" spans="2:6" x14ac:dyDescent="0.2">
      <c r="B144" s="2">
        <f xml:space="preserve"> ROW( co_states[[#This Row],[row_id]] ) - ROW( co_states[[#Headers],[row_id]] )</f>
        <v>46</v>
      </c>
      <c r="C144" s="63" t="s">
        <v>309</v>
      </c>
      <c r="D144" s="63" t="s">
        <v>310</v>
      </c>
      <c r="E144" s="63" t="s">
        <v>3</v>
      </c>
      <c r="F144" s="64">
        <v>53</v>
      </c>
    </row>
    <row r="145" spans="2:6" x14ac:dyDescent="0.2">
      <c r="B145" s="2">
        <f xml:space="preserve"> ROW( co_states[[#This Row],[row_id]] ) - ROW( co_states[[#Headers],[row_id]] )</f>
        <v>47</v>
      </c>
      <c r="C145" s="63" t="s">
        <v>311</v>
      </c>
      <c r="D145" s="63" t="s">
        <v>312</v>
      </c>
      <c r="E145" s="63" t="s">
        <v>1</v>
      </c>
      <c r="F145" s="64">
        <v>54</v>
      </c>
    </row>
    <row r="146" spans="2:6" x14ac:dyDescent="0.2">
      <c r="B146" s="2">
        <f xml:space="preserve"> ROW( co_states[[#This Row],[row_id]] ) - ROW( co_states[[#Headers],[row_id]] )</f>
        <v>48</v>
      </c>
      <c r="C146" s="63" t="s">
        <v>313</v>
      </c>
      <c r="D146" s="63" t="s">
        <v>314</v>
      </c>
      <c r="E146" s="63" t="s">
        <v>0</v>
      </c>
      <c r="F146" s="64">
        <v>55</v>
      </c>
    </row>
    <row r="147" spans="2:6" x14ac:dyDescent="0.2">
      <c r="B147" s="2">
        <f xml:space="preserve"> ROW( co_states[[#This Row],[row_id]] ) - ROW( co_states[[#Headers],[row_id]] )</f>
        <v>49</v>
      </c>
      <c r="C147" s="63" t="s">
        <v>315</v>
      </c>
      <c r="D147" s="63" t="s">
        <v>316</v>
      </c>
      <c r="E147" s="63" t="s">
        <v>2</v>
      </c>
      <c r="F147" s="64">
        <v>56</v>
      </c>
    </row>
  </sheetData>
  <phoneticPr fontId="8" type="noConversion"/>
  <conditionalFormatting sqref="B19:F19">
    <cfRule type="expression" dxfId="1" priority="7">
      <formula xml:space="preserve"> IF( $E19 = 1, 1, 0)</formula>
    </cfRule>
  </conditionalFormatting>
  <hyperlinks>
    <hyperlink ref="C9" location="loc_coModels" display="loc_coModels" xr:uid="{1AB1FA05-ED11-4F07-8B38-FA24CC6D4F4F}"/>
    <hyperlink ref="C8"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0"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1" location="loc_coInputScenarioInfo" display="loc_coInputScenarioInfo" xr:uid="{DA18E986-20B5-4E54-BA62-B58518D13EF3}"/>
    <hyperlink ref="C12" location="loc_coStates" display="loc_coStates" xr:uid="{8BF3847D-2A5D-4A55-BC5A-0B347ED52535}"/>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168</v>
      </c>
    </row>
    <row r="3" spans="2:6" x14ac:dyDescent="0.25">
      <c r="B3" s="53" t="s">
        <v>49</v>
      </c>
      <c r="C3" s="53" t="s">
        <v>16</v>
      </c>
      <c r="D3" s="53" t="s">
        <v>169</v>
      </c>
      <c r="E3" s="53" t="s">
        <v>170</v>
      </c>
      <c r="F3" s="53" t="s">
        <v>164</v>
      </c>
    </row>
    <row r="4" spans="2:6" ht="75" x14ac:dyDescent="0.25">
      <c r="B4" s="54">
        <f xml:space="preserve"> ROW( Readme_sectors[[#This Row],[row_id]] ) - ROW( Readme_sectors[[#Headers],[row_id]] )</f>
        <v>1</v>
      </c>
      <c r="C4" s="53" t="s">
        <v>8</v>
      </c>
      <c r="D4" s="53" t="s">
        <v>9</v>
      </c>
      <c r="E4" s="53" t="s">
        <v>45</v>
      </c>
      <c r="F4" s="55" t="s">
        <v>171</v>
      </c>
    </row>
    <row r="5" spans="2:6" ht="45" x14ac:dyDescent="0.25">
      <c r="B5" s="54">
        <f xml:space="preserve"> ROW( Readme_sectors[[#This Row],[row_id]] ) - ROW( Readme_sectors[[#Headers],[row_id]] )</f>
        <v>2</v>
      </c>
      <c r="C5" s="54" t="s">
        <v>17</v>
      </c>
      <c r="D5" s="53" t="s">
        <v>9</v>
      </c>
      <c r="E5" s="53" t="s">
        <v>45</v>
      </c>
      <c r="F5" s="55" t="s">
        <v>172</v>
      </c>
    </row>
    <row r="8" spans="2:6" x14ac:dyDescent="0.25">
      <c r="B8" t="s">
        <v>173</v>
      </c>
    </row>
    <row r="9" spans="2:6" x14ac:dyDescent="0.25">
      <c r="B9" t="s">
        <v>49</v>
      </c>
      <c r="C9" t="s">
        <v>16</v>
      </c>
      <c r="D9" t="s">
        <v>169</v>
      </c>
      <c r="E9" t="s">
        <v>170</v>
      </c>
    </row>
    <row r="10" spans="2:6" x14ac:dyDescent="0.25">
      <c r="B10" s="1">
        <f xml:space="preserve"> ROW( Readme_adaptations[[#This Row],[row_id]] ) - ROW( Readme_adaptations[[#Headers],[row_id]] )</f>
        <v>1</v>
      </c>
      <c r="C10" t="s">
        <v>8</v>
      </c>
      <c r="D10" t="s">
        <v>9</v>
      </c>
      <c r="E10" t="s">
        <v>45</v>
      </c>
    </row>
    <row r="11" spans="2:6" x14ac:dyDescent="0.25">
      <c r="B11" s="1">
        <f xml:space="preserve"> ROW( Readme_adaptations[[#This Row],[row_id]] ) - ROW( Readme_adaptations[[#Headers],[row_id]] )</f>
        <v>2</v>
      </c>
      <c r="C11" t="s">
        <v>8</v>
      </c>
      <c r="D11" t="s">
        <v>10</v>
      </c>
      <c r="E11" t="s">
        <v>47</v>
      </c>
    </row>
    <row r="12" spans="2:6" x14ac:dyDescent="0.25">
      <c r="B12" s="1">
        <f xml:space="preserve"> ROW( Readme_adaptations[[#This Row],[row_id]] ) - ROW( Readme_adaptations[[#Headers],[row_id]] )</f>
        <v>3</v>
      </c>
      <c r="C12" t="s">
        <v>8</v>
      </c>
      <c r="D12" t="s">
        <v>13</v>
      </c>
      <c r="E12" t="s">
        <v>46</v>
      </c>
    </row>
    <row r="13" spans="2:6" x14ac:dyDescent="0.25">
      <c r="B13" s="1">
        <f xml:space="preserve"> ROW( Readme_adaptations[[#This Row],[row_id]] ) - ROW( Readme_adaptations[[#Headers],[row_id]] )</f>
        <v>4</v>
      </c>
      <c r="C13" s="1" t="s">
        <v>17</v>
      </c>
      <c r="D13" t="s">
        <v>9</v>
      </c>
      <c r="E13" t="s">
        <v>45</v>
      </c>
    </row>
    <row r="14" spans="2:6" x14ac:dyDescent="0.25">
      <c r="B14" s="1">
        <f xml:space="preserve"> ROW( Readme_adaptations[[#This Row],[row_id]] ) - ROW( Readme_adaptations[[#Headers],[row_id]] )</f>
        <v>5</v>
      </c>
      <c r="C14" s="1" t="s">
        <v>17</v>
      </c>
      <c r="D14" t="s">
        <v>10</v>
      </c>
      <c r="E14" t="s">
        <v>48</v>
      </c>
    </row>
    <row r="15" spans="2:6" x14ac:dyDescent="0.25">
      <c r="B15" s="1">
        <f xml:space="preserve"> ROW( Readme_adaptations[[#This Row],[row_id]] ) - ROW( Readme_adaptations[[#Headers],[row_id]] )</f>
        <v>6</v>
      </c>
      <c r="C15" s="1" t="s">
        <v>17</v>
      </c>
      <c r="D15" t="s">
        <v>13</v>
      </c>
      <c r="E15" t="s">
        <v>44</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2"/>
  <sheetViews>
    <sheetView workbookViewId="0">
      <selection activeCell="A22" sqref="A22:XFD22"/>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29</v>
      </c>
      <c r="B1" s="2" t="s">
        <v>30</v>
      </c>
    </row>
    <row r="2" spans="1:5" x14ac:dyDescent="0.25">
      <c r="B2" s="2"/>
    </row>
    <row r="3" spans="1:5" ht="25.5" x14ac:dyDescent="0.25">
      <c r="B3" s="6" t="s">
        <v>49</v>
      </c>
      <c r="C3" s="6" t="s">
        <v>23</v>
      </c>
      <c r="D3" s="13" t="s">
        <v>188</v>
      </c>
      <c r="E3" s="6" t="s">
        <v>189</v>
      </c>
    </row>
    <row r="4" spans="1:5" x14ac:dyDescent="0.25">
      <c r="B4" s="4">
        <f xml:space="preserve"> ROW( testDev[[#This Row],[row_id]] ) - ROW(testDev[[#Headers],[row_id]] )</f>
        <v>1</v>
      </c>
      <c r="C4" s="7" t="s">
        <v>27</v>
      </c>
      <c r="D4" s="22" t="s">
        <v>190</v>
      </c>
      <c r="E4" s="41" t="s">
        <v>191</v>
      </c>
    </row>
    <row r="5" spans="1:5" ht="45" x14ac:dyDescent="0.25">
      <c r="B5" s="4">
        <f xml:space="preserve"> ROW( testDev[[#This Row],[row_id]] ) - ROW(testDev[[#Headers],[row_id]] )</f>
        <v>2</v>
      </c>
      <c r="C5" s="7" t="s">
        <v>75</v>
      </c>
      <c r="D5" s="22" t="s">
        <v>190</v>
      </c>
      <c r="E5" s="41" t="s">
        <v>193</v>
      </c>
    </row>
    <row r="6" spans="1:5" x14ac:dyDescent="0.25">
      <c r="B6" s="4">
        <f xml:space="preserve"> ROW( testDev[[#This Row],[row_id]] ) - ROW(testDev[[#Headers],[row_id]] )</f>
        <v>3</v>
      </c>
      <c r="C6" s="7" t="s">
        <v>174</v>
      </c>
      <c r="D6" s="22" t="s">
        <v>194</v>
      </c>
      <c r="E6" s="41" t="s">
        <v>195</v>
      </c>
    </row>
    <row r="7" spans="1:5" ht="22.5" x14ac:dyDescent="0.25">
      <c r="B7" s="4">
        <f xml:space="preserve"> ROW( testDev[[#This Row],[row_id]] ) - ROW(testDev[[#Headers],[row_id]] )</f>
        <v>4</v>
      </c>
      <c r="C7" s="7" t="s">
        <v>177</v>
      </c>
      <c r="D7" s="22" t="s">
        <v>190</v>
      </c>
      <c r="E7" s="41" t="s">
        <v>196</v>
      </c>
    </row>
    <row r="8" spans="1:5" x14ac:dyDescent="0.25">
      <c r="B8" s="4">
        <f xml:space="preserve"> ROW( testDev[[#This Row],[row_id]] ) - ROW(testDev[[#Headers],[row_id]] )</f>
        <v>5</v>
      </c>
      <c r="C8" s="7" t="s">
        <v>65</v>
      </c>
      <c r="D8" s="22" t="s">
        <v>190</v>
      </c>
      <c r="E8" s="41" t="s">
        <v>197</v>
      </c>
    </row>
    <row r="9" spans="1:5" ht="22.5" x14ac:dyDescent="0.25">
      <c r="B9" s="4">
        <f xml:space="preserve"> ROW( testDev[[#This Row],[row_id]] ) - ROW(testDev[[#Headers],[row_id]] )</f>
        <v>6</v>
      </c>
      <c r="C9" s="7" t="s">
        <v>66</v>
      </c>
      <c r="D9" s="22" t="s">
        <v>190</v>
      </c>
      <c r="E9" s="41" t="s">
        <v>198</v>
      </c>
    </row>
    <row r="10" spans="1:5" ht="33.75" x14ac:dyDescent="0.25">
      <c r="B10" s="4">
        <f xml:space="preserve"> ROW( testDev[[#This Row],[row_id]] ) - ROW(testDev[[#Headers],[row_id]] )</f>
        <v>7</v>
      </c>
      <c r="C10" s="7" t="s">
        <v>67</v>
      </c>
      <c r="D10" s="22" t="s">
        <v>192</v>
      </c>
      <c r="E10" s="41" t="s">
        <v>199</v>
      </c>
    </row>
    <row r="11" spans="1:5" x14ac:dyDescent="0.25">
      <c r="B11" s="4">
        <f xml:space="preserve"> ROW( testDev[[#This Row],[row_id]] ) - ROW(testDev[[#Headers],[row_id]] )</f>
        <v>8</v>
      </c>
      <c r="C11" s="7" t="s">
        <v>26</v>
      </c>
      <c r="D11" s="22" t="s">
        <v>194</v>
      </c>
      <c r="E11" s="41" t="s">
        <v>195</v>
      </c>
    </row>
    <row r="12" spans="1:5" x14ac:dyDescent="0.25">
      <c r="B12" s="4">
        <f xml:space="preserve"> ROW( testDev[[#This Row],[row_id]] ) - ROW(testDev[[#Headers],[row_id]] )</f>
        <v>9</v>
      </c>
      <c r="C12" s="7" t="s">
        <v>116</v>
      </c>
      <c r="D12" s="22" t="s">
        <v>192</v>
      </c>
      <c r="E12" s="41" t="s">
        <v>200</v>
      </c>
    </row>
    <row r="13" spans="1:5" ht="22.5" x14ac:dyDescent="0.25">
      <c r="B13" s="4">
        <f xml:space="preserve"> ROW( testDev[[#This Row],[row_id]] ) - ROW(testDev[[#Headers],[row_id]] )</f>
        <v>10</v>
      </c>
      <c r="C13" s="7" t="s">
        <v>81</v>
      </c>
      <c r="D13" s="22" t="s">
        <v>194</v>
      </c>
      <c r="E13" s="41" t="s">
        <v>201</v>
      </c>
    </row>
    <row r="14" spans="1:5" x14ac:dyDescent="0.25">
      <c r="B14" s="4">
        <f xml:space="preserve"> ROW( testDev[[#This Row],[row_id]] ) - ROW(testDev[[#Headers],[row_id]] )</f>
        <v>11</v>
      </c>
      <c r="C14" s="7" t="s">
        <v>117</v>
      </c>
      <c r="D14" s="22" t="s">
        <v>194</v>
      </c>
      <c r="E14" s="41" t="s">
        <v>202</v>
      </c>
    </row>
    <row r="15" spans="1:5" x14ac:dyDescent="0.25">
      <c r="B15" s="4">
        <f xml:space="preserve"> ROW( testDev[[#This Row],[row_id]] ) - ROW(testDev[[#Headers],[row_id]] )</f>
        <v>12</v>
      </c>
      <c r="C15" s="7" t="s">
        <v>161</v>
      </c>
      <c r="D15" s="22" t="s">
        <v>194</v>
      </c>
      <c r="E15" s="41" t="s">
        <v>195</v>
      </c>
    </row>
    <row r="16" spans="1:5" x14ac:dyDescent="0.25">
      <c r="B16" s="4">
        <f xml:space="preserve"> ROW( testDev[[#This Row],[row_id]] ) - ROW(testDev[[#Headers],[row_id]] )</f>
        <v>13</v>
      </c>
      <c r="C16" s="7" t="s">
        <v>203</v>
      </c>
      <c r="D16" s="22" t="s">
        <v>190</v>
      </c>
      <c r="E16" s="41" t="s">
        <v>204</v>
      </c>
    </row>
    <row r="17" spans="2:5" ht="22.5" x14ac:dyDescent="0.25">
      <c r="B17" s="4">
        <f xml:space="preserve"> ROW( testDev[[#This Row],[row_id]] ) - ROW(testDev[[#Headers],[row_id]] )</f>
        <v>14</v>
      </c>
      <c r="C17" s="7" t="s">
        <v>205</v>
      </c>
      <c r="D17" s="22" t="s">
        <v>194</v>
      </c>
      <c r="E17" s="41" t="s">
        <v>206</v>
      </c>
    </row>
    <row r="18" spans="2:5" x14ac:dyDescent="0.25">
      <c r="B18" s="4">
        <f xml:space="preserve"> ROW( testDev[[#This Row],[row_id]] ) - ROW(testDev[[#Headers],[row_id]] )</f>
        <v>15</v>
      </c>
      <c r="C18" s="7" t="s">
        <v>207</v>
      </c>
      <c r="D18" s="22" t="s">
        <v>190</v>
      </c>
      <c r="E18" s="41" t="s">
        <v>208</v>
      </c>
    </row>
    <row r="19" spans="2:5" x14ac:dyDescent="0.25">
      <c r="B19" s="4">
        <f xml:space="preserve"> ROW( testDev[[#This Row],[row_id]] ) - ROW(testDev[[#Headers],[row_id]] )</f>
        <v>16</v>
      </c>
      <c r="C19" s="7" t="s">
        <v>209</v>
      </c>
      <c r="D19" s="22" t="s">
        <v>194</v>
      </c>
      <c r="E19" s="41" t="s">
        <v>195</v>
      </c>
    </row>
    <row r="20" spans="2:5" x14ac:dyDescent="0.25">
      <c r="B20" s="4">
        <f xml:space="preserve"> ROW( testDev[[#This Row],[row_id]] ) - ROW(testDev[[#Headers],[row_id]] )</f>
        <v>17</v>
      </c>
      <c r="C20" s="7" t="s">
        <v>210</v>
      </c>
      <c r="D20" s="22" t="s">
        <v>194</v>
      </c>
      <c r="E20" s="41" t="s">
        <v>195</v>
      </c>
    </row>
    <row r="21" spans="2:5" x14ac:dyDescent="0.25">
      <c r="B21" s="4">
        <f xml:space="preserve"> ROW( testDev[[#This Row],[row_id]] ) - ROW(testDev[[#Headers],[row_id]] )</f>
        <v>18</v>
      </c>
      <c r="C21" s="7" t="s">
        <v>211</v>
      </c>
      <c r="D21" s="22" t="s">
        <v>194</v>
      </c>
      <c r="E21" s="41" t="s">
        <v>195</v>
      </c>
    </row>
    <row r="22" spans="2:5" ht="22.5" x14ac:dyDescent="0.25">
      <c r="B22" s="4">
        <f xml:space="preserve"> ROW( testDev[[#This Row],[row_id]] ) - ROW(testDev[[#Headers],[row_id]] )</f>
        <v>19</v>
      </c>
      <c r="C22" s="7" t="s">
        <v>212</v>
      </c>
      <c r="D22" s="22" t="s">
        <v>190</v>
      </c>
      <c r="E22" s="41" t="s">
        <v>213</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ReadMe</vt:lpstr>
      <vt:lpstr>tableNames</vt:lpstr>
      <vt:lpstr>controlTables</vt:lpstr>
      <vt:lpstr>slrReadMe</vt:lpstr>
      <vt:lpstr>testDev</vt:lpstr>
      <vt:lpstr>list_co_gcms</vt:lpstr>
      <vt:lpstr>loc_coAdaptations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2025-03-06T17:11:53Z</dcterms:modified>
</cp:coreProperties>
</file>