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updateLinks="never" codeName="ThisWorkbook" defaultThemeVersion="166925"/>
  <xr:revisionPtr revIDLastSave="0" documentId="13_ncr:1_{9A7CC248-197D-4C31-B2FF-876480A13D6F}" xr6:coauthVersionLast="47" xr6:coauthVersionMax="47" xr10:uidLastSave="{00000000-0000-0000-0000-000000000000}"/>
  <bookViews>
    <workbookView xWindow="-1380" yWindow="-29220" windowWidth="27450" windowHeight="15480" tabRatio="764" activeTab="1" xr2:uid="{00000000-000D-0000-FFFF-FFFF00000000}"/>
  </bookViews>
  <sheets>
    <sheet name="ReadMe" sheetId="48" r:id="rId1"/>
    <sheet name="tableNames" sheetId="43" r:id="rId2"/>
    <sheet name="controlTables" sheetId="24" r:id="rId3"/>
    <sheet name="slrReadMe" sheetId="50" state="hidden" r:id="rId4"/>
  </sheets>
  <definedNames>
    <definedName name="k_coBillions">controlTables!#REF!</definedName>
    <definedName name="k_coMillions">controlTables!#REF!</definedName>
    <definedName name="k_coThousands">controlTables!#REF!</definedName>
    <definedName name="list_co_gcms">co_models[model_id]</definedName>
    <definedName name="list_coimpactYearOptions" xml:space="preserve"> OFFSET( INDIRECT( ADDRESS( ROW( #REF! ), COLUMN(#REF!), , , "DropDownMenus" ) ), 1, 0, mv_coNum_impactYears, 1 )</definedName>
    <definedName name="loc_coAdaptations">#REF!</definedName>
    <definedName name="loc_coConstants">#REF!</definedName>
    <definedName name="loc_coImpactTypes">co_impactTypes[[#Headers],[row_id]]</definedName>
    <definedName name="loc_coImpactYears">#REF!</definedName>
    <definedName name="loc_coInputScenarioInfo">co_inputInfo[[#Headers],[row_id]]</definedName>
    <definedName name="loc_colorLegend">controlTables!$C$13</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#REF!</definedName>
    <definedName name="loc_econMultipliers">co_econMultipliers[[#Headers],[row_id]]</definedName>
    <definedName name="num_gcms">MAX(co_models[row_id])</definedName>
    <definedName name="SectorDropDown">controlTables!$D$18:$D$20</definedName>
    <definedName name="SectorDropDown_1">controlTables!$D$18:$D$20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5" i="24" l="1"/>
  <c r="H75" i="24"/>
  <c r="B74" i="24"/>
  <c r="H74" i="24"/>
  <c r="B73" i="24"/>
  <c r="H73" i="24"/>
  <c r="B30" i="24"/>
  <c r="P30" i="24"/>
  <c r="B28" i="24"/>
  <c r="P28" i="24"/>
  <c r="B29" i="24"/>
  <c r="P29" i="24"/>
  <c r="B20" i="24"/>
  <c r="K20" i="24" a="1"/>
  <c r="K20" i="24" s="1"/>
  <c r="L20" i="24" a="1"/>
  <c r="L20" i="24" s="1"/>
  <c r="M20" i="24" a="1"/>
  <c r="M20" i="24" s="1"/>
  <c r="N20" i="24" a="1"/>
  <c r="N20" i="24" s="1"/>
  <c r="O20" i="24" a="1"/>
  <c r="O20" i="24" s="1"/>
  <c r="B19" i="24"/>
  <c r="K19" i="24" a="1"/>
  <c r="K19" i="24" s="1"/>
  <c r="L19" i="24" a="1"/>
  <c r="L19" i="24" s="1"/>
  <c r="M19" i="24" a="1"/>
  <c r="M19" i="24" s="1"/>
  <c r="N19" i="24" a="1"/>
  <c r="N19" i="24" s="1"/>
  <c r="O19" i="24" a="1"/>
  <c r="O19" i="24" s="1"/>
  <c r="F152" i="24"/>
  <c r="G152" i="24" s="1"/>
  <c r="B152"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B82" i="24"/>
  <c r="D82" i="24"/>
  <c r="B81" i="24"/>
  <c r="D81" i="24"/>
  <c r="B106" i="24"/>
  <c r="B96" i="24"/>
  <c r="K18" i="24" a="1"/>
  <c r="K18" i="24" s="1"/>
  <c r="O18" i="24" a="1"/>
  <c r="O18" i="24" s="1"/>
  <c r="C11" i="24"/>
  <c r="H20" i="24"/>
  <c r="H19" i="24"/>
  <c r="J20" i="24" l="1"/>
  <c r="J19" i="24"/>
  <c r="C59" i="24"/>
  <c r="C60" i="24"/>
  <c r="C61" i="24"/>
  <c r="C62" i="24"/>
  <c r="C63" i="24"/>
  <c r="C64" i="24"/>
  <c r="C65" i="24"/>
  <c r="D83" i="24"/>
  <c r="D84" i="24"/>
  <c r="D85" i="24"/>
  <c r="D86" i="24"/>
  <c r="D87" i="24"/>
  <c r="D88" i="24"/>
  <c r="D89" i="24"/>
  <c r="F13" i="43" l="1"/>
  <c r="B13" i="43"/>
  <c r="B95" i="24"/>
  <c r="B97" i="24"/>
  <c r="B98" i="24"/>
  <c r="B99" i="24"/>
  <c r="B100" i="24"/>
  <c r="B101" i="24"/>
  <c r="B102" i="24"/>
  <c r="B103" i="24"/>
  <c r="B104" i="24"/>
  <c r="B105"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H13" i="43"/>
  <c r="C10" i="24"/>
  <c r="K13" i="43" a="1"/>
  <c r="K13" i="43" l="1"/>
  <c r="G13" i="43" a="1"/>
  <c r="J13" i="43" a="1"/>
  <c r="G13" i="43" l="1"/>
  <c r="I13" i="43" s="1"/>
  <c r="J13" i="43"/>
  <c r="L13" i="43" s="1"/>
  <c r="B12" i="43" l="1"/>
  <c r="F12" i="43"/>
  <c r="G12" i="43" a="1"/>
  <c r="K12" i="43" a="1"/>
  <c r="G12" i="43" l="1"/>
  <c r="K12" i="43"/>
  <c r="B18" i="24"/>
  <c r="J12" i="43" a="1"/>
  <c r="H12" i="43"/>
  <c r="I12" i="43" l="1"/>
  <c r="J12" i="43"/>
  <c r="L12" i="43" s="1"/>
  <c r="B15" i="50" l="1"/>
  <c r="B14" i="50"/>
  <c r="B13" i="50"/>
  <c r="B12" i="50"/>
  <c r="B11" i="50"/>
  <c r="B10" i="50"/>
  <c r="B5" i="50"/>
  <c r="B4" i="50"/>
  <c r="B65" i="24" l="1"/>
  <c r="B11" i="43" l="1"/>
  <c r="F11" i="43"/>
  <c r="B72" i="24"/>
  <c r="B71" i="24"/>
  <c r="C9" i="24"/>
  <c r="K11" i="43" a="1"/>
  <c r="C7" i="24"/>
  <c r="C8" i="24"/>
  <c r="C6" i="24"/>
  <c r="G11" i="43" a="1"/>
  <c r="C4" i="24"/>
  <c r="C5" i="24"/>
  <c r="K11" i="43" l="1"/>
  <c r="G11" i="43"/>
  <c r="C2" i="24"/>
  <c r="H11" i="43"/>
  <c r="J11" i="43" a="1"/>
  <c r="I11" i="43" l="1"/>
  <c r="J11" i="43"/>
  <c r="L11" i="43" s="1"/>
  <c r="N18" i="24" l="1" a="1"/>
  <c r="N18" i="24" s="1"/>
  <c r="M18" i="24" a="1"/>
  <c r="M18" i="24" s="1"/>
  <c r="B10" i="43" l="1"/>
  <c r="F10" i="43"/>
  <c r="K10" i="43" a="1"/>
  <c r="J10" i="43" a="1"/>
  <c r="J10" i="43" l="1"/>
  <c r="K10" i="43"/>
  <c r="G10" i="43" a="1"/>
  <c r="G10" i="43" l="1"/>
  <c r="L10" i="43"/>
  <c r="B9" i="43" l="1"/>
  <c r="F9" i="43"/>
  <c r="B46" i="24"/>
  <c r="J9" i="43" a="1"/>
  <c r="K9" i="43" a="1"/>
  <c r="J9" i="43" l="1"/>
  <c r="M9" i="43" s="1"/>
  <c r="K9" i="43"/>
  <c r="B37" i="24"/>
  <c r="B39" i="24"/>
  <c r="B40" i="24"/>
  <c r="B38" i="24"/>
  <c r="G9" i="43" a="1"/>
  <c r="H9" i="43"/>
  <c r="G9" i="43" l="1"/>
  <c r="I9" i="43" s="1"/>
  <c r="L9" i="43"/>
  <c r="B8" i="43"/>
  <c r="F8" i="43"/>
  <c r="B7" i="43"/>
  <c r="F7" i="43"/>
  <c r="H18" i="24"/>
  <c r="K7" i="43" a="1"/>
  <c r="C3" i="24"/>
  <c r="G8" i="43" a="1"/>
  <c r="K8" i="43" a="1"/>
  <c r="J7" i="43" a="1"/>
  <c r="J18" i="24" l="1"/>
  <c r="K8" i="43"/>
  <c r="G8" i="43"/>
  <c r="K7" i="43"/>
  <c r="J7" i="43"/>
  <c r="G7" i="43" a="1"/>
  <c r="J8" i="43" a="1"/>
  <c r="G7" i="43" l="1"/>
  <c r="L7" i="43"/>
  <c r="J8" i="43"/>
  <c r="L8" i="43" s="1"/>
  <c r="G19" i="24" a="1"/>
  <c r="G20" i="24" a="1"/>
  <c r="G18" i="24" a="1"/>
  <c r="G20" i="24" l="1"/>
  <c r="G19" i="24"/>
  <c r="G18" i="24"/>
  <c r="B6" i="43"/>
  <c r="F6" i="43"/>
  <c r="B5" i="43"/>
  <c r="F5" i="43"/>
  <c r="F4" i="43"/>
  <c r="G6" i="43" a="1"/>
  <c r="K5" i="43" a="1"/>
  <c r="K6" i="43" a="1"/>
  <c r="G4" i="43" a="1"/>
  <c r="G5" i="43" a="1"/>
  <c r="G6" i="43" l="1"/>
  <c r="K6" i="43"/>
  <c r="G5" i="43"/>
  <c r="K5" i="43"/>
  <c r="G4" i="43"/>
  <c r="J5" i="43" a="1"/>
  <c r="J4" i="43" a="1"/>
  <c r="J6" i="43" a="1"/>
  <c r="J4" i="43" l="1"/>
  <c r="M4" i="43" s="1" a="1"/>
  <c r="M4" i="43" s="1"/>
  <c r="J6" i="43"/>
  <c r="J5" i="43"/>
  <c r="L6" i="43" l="1"/>
  <c r="L5" i="43"/>
  <c r="L18" i="24" l="1" a="1"/>
  <c r="L18" i="24" s="1"/>
  <c r="I19" i="24" a="1"/>
  <c r="I20" i="24" a="1"/>
  <c r="I20" i="24" l="1"/>
  <c r="I19" i="24"/>
  <c r="H6" i="43"/>
  <c r="I6" i="43" l="1"/>
  <c r="H5" i="43"/>
  <c r="I18" i="24" a="1"/>
  <c r="I18" i="24" l="1"/>
  <c r="I5" i="43"/>
  <c r="B4" i="43" l="1"/>
  <c r="K4" i="43" a="1"/>
  <c r="K4" i="43" l="1"/>
  <c r="L4" i="43" s="1"/>
  <c r="B53" i="24"/>
  <c r="B59" i="24"/>
  <c r="B60" i="24"/>
  <c r="B61" i="24"/>
  <c r="B62" i="24"/>
  <c r="B63" i="24"/>
  <c r="B64" i="24"/>
  <c r="B83" i="24"/>
  <c r="B84" i="24"/>
  <c r="B85" i="24"/>
  <c r="B86" i="24"/>
  <c r="B87" i="24"/>
  <c r="B88" i="24"/>
  <c r="B89" i="24"/>
  <c r="H7" i="43"/>
  <c r="H8" i="43"/>
  <c r="H4" i="43"/>
  <c r="H10" i="43"/>
  <c r="I10" i="43" l="1"/>
  <c r="I7" i="43"/>
  <c r="I8"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tc={EF83C059-A623-47AC-AFC4-40246F6AF9B2}</author>
    <author>tc={74E8C379-DF77-4FAE-8C13-4D0000C68271}</author>
    <author>tc={A0D64BDD-1681-4C8F-9929-C1898D0603B0}</author>
    <author>tc={A5816E78-F7FA-40E3-ACC3-4CDB677E4DA9}</author>
  </authors>
  <commentList>
    <comment ref="E17"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17"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F36" authorId="2"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52" authorId="3"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D58" authorId="4"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70" authorId="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<sst xmlns="http://schemas.openxmlformats.org/spreadsheetml/2006/main" count="493" uniqueCount="318">
  <si>
    <t>CanESM2</t>
  </si>
  <si>
    <t>CCSM4</t>
  </si>
  <si>
    <t>GISS-E2-R</t>
  </si>
  <si>
    <t>HadGEM2-ES</t>
  </si>
  <si>
    <t>MIROC5</t>
  </si>
  <si>
    <t>GFDL-CM3</t>
  </si>
  <si>
    <t>Midwest</t>
  </si>
  <si>
    <t>Northeast</t>
  </si>
  <si>
    <t>Northern Plains</t>
  </si>
  <si>
    <t>Northwest</t>
  </si>
  <si>
    <t>Southeast</t>
  </si>
  <si>
    <t>Southern Plains</t>
  </si>
  <si>
    <t>Southwest</t>
  </si>
  <si>
    <t>CoastalProperties</t>
  </si>
  <si>
    <t>NoAdapt</t>
  </si>
  <si>
    <t>Reactive</t>
  </si>
  <si>
    <t>Impact Types</t>
  </si>
  <si>
    <t>N/A</t>
  </si>
  <si>
    <t>Proactive</t>
  </si>
  <si>
    <t>ID</t>
  </si>
  <si>
    <t>region</t>
  </si>
  <si>
    <t>sector_id</t>
  </si>
  <si>
    <t>HTF</t>
  </si>
  <si>
    <t>Notes</t>
  </si>
  <si>
    <t>Regions</t>
  </si>
  <si>
    <t>region_label</t>
  </si>
  <si>
    <t>output_lookupID</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</si>
  <si>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</si>
  <si>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</si>
  <si>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</si>
  <si>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</si>
  <si>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</si>
  <si>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</si>
  <si>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</si>
  <si>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</si>
  <si>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</si>
  <si>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</si>
  <si>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</si>
  <si>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scalarLabel</t>
  </si>
  <si>
    <t>scalarName</t>
  </si>
  <si>
    <t>none</t>
  </si>
  <si>
    <t>econScalarName</t>
  </si>
  <si>
    <t>Last Row</t>
  </si>
  <si>
    <t>Header Row</t>
  </si>
  <si>
    <t>AirQuality</t>
  </si>
  <si>
    <t>O3</t>
  </si>
  <si>
    <t>PM</t>
  </si>
  <si>
    <t>include</t>
  </si>
  <si>
    <t>c0</t>
  </si>
  <si>
    <t>c1</t>
  </si>
  <si>
    <t>exp0</t>
  </si>
  <si>
    <t>year0</t>
  </si>
  <si>
    <t>Direct Adaptation</t>
  </si>
  <si>
    <t>No Adaptation</t>
  </si>
  <si>
    <t>Proactive Adaptation</t>
  </si>
  <si>
    <t>Reactive Adaptation</t>
  </si>
  <si>
    <t>Reasonably Anticipated Adaptation</t>
  </si>
  <si>
    <t>row_id</t>
  </si>
  <si>
    <t>constant</t>
  </si>
  <si>
    <t>physScalarName</t>
  </si>
  <si>
    <t>physAdjName</t>
  </si>
  <si>
    <t>damageAdjName</t>
  </si>
  <si>
    <t>Ozone</t>
  </si>
  <si>
    <t>PM2.5</t>
  </si>
  <si>
    <t>scalarType</t>
  </si>
  <si>
    <t>econScalar</t>
  </si>
  <si>
    <t>damageAdj</t>
  </si>
  <si>
    <t>physScalar</t>
  </si>
  <si>
    <t>valueYear</t>
  </si>
  <si>
    <t>gcm</t>
  </si>
  <si>
    <t>impactYears</t>
  </si>
  <si>
    <t>impactTypes</t>
  </si>
  <si>
    <t>notes</t>
  </si>
  <si>
    <t>physAdj</t>
  </si>
  <si>
    <t>co_impactTypes</t>
  </si>
  <si>
    <t>co_scalarInfo</t>
  </si>
  <si>
    <t>modelType</t>
  </si>
  <si>
    <t>constant_or_dynamic</t>
  </si>
  <si>
    <t>national_or_regional</t>
  </si>
  <si>
    <t>national</t>
  </si>
  <si>
    <t>model_id</t>
  </si>
  <si>
    <t>dataType</t>
  </si>
  <si>
    <t>Calculated</t>
  </si>
  <si>
    <t>None</t>
  </si>
  <si>
    <t>Has value of 1</t>
  </si>
  <si>
    <t>econMultiplierName</t>
  </si>
  <si>
    <t>co_econMultipliers</t>
  </si>
  <si>
    <t>sector</t>
  </si>
  <si>
    <t>impactYear</t>
  </si>
  <si>
    <t>adaptation</t>
  </si>
  <si>
    <t>outputRowID</t>
  </si>
  <si>
    <t>id_colIndex</t>
  </si>
  <si>
    <t>last_colIndex</t>
  </si>
  <si>
    <t>num_tableCols</t>
  </si>
  <si>
    <t>impactType</t>
  </si>
  <si>
    <t>model</t>
  </si>
  <si>
    <t>impactType_label</t>
  </si>
  <si>
    <t>impactType_id</t>
  </si>
  <si>
    <t>impactType_description</t>
  </si>
  <si>
    <t>excludeCol_ids</t>
  </si>
  <si>
    <t>Table with impact type information</t>
  </si>
  <si>
    <t>Table with information about scalars</t>
  </si>
  <si>
    <t>Table with information about regions</t>
  </si>
  <si>
    <t>Table with information about GCMs</t>
  </si>
  <si>
    <t>Table with information about economic multipliers</t>
  </si>
  <si>
    <t>econMultiplierDescription</t>
  </si>
  <si>
    <t>model_label</t>
  </si>
  <si>
    <t>GCM</t>
  </si>
  <si>
    <t>modelType_id</t>
  </si>
  <si>
    <t>modelType_label</t>
  </si>
  <si>
    <t>modelUnitDesc</t>
  </si>
  <si>
    <t>modelUnit_id</t>
  </si>
  <si>
    <t>modelUnit_label</t>
  </si>
  <si>
    <t>co_models</t>
  </si>
  <si>
    <t>co_modelTypes</t>
  </si>
  <si>
    <t>controlTables</t>
  </si>
  <si>
    <t>modelUnitValue</t>
  </si>
  <si>
    <t>modelRefYear</t>
  </si>
  <si>
    <t>Number of impact types</t>
  </si>
  <si>
    <t>Number of impact years</t>
  </si>
  <si>
    <t>Table with information about model types (GCM vs SLR)</t>
  </si>
  <si>
    <t>Calculated value</t>
  </si>
  <si>
    <t>physicalmeasure</t>
  </si>
  <si>
    <t>Premature Mortality</t>
  </si>
  <si>
    <t>Column used for record-keeping of data checks</t>
  </si>
  <si>
    <t>Color Legend</t>
  </si>
  <si>
    <t>Table of Contents</t>
  </si>
  <si>
    <t>Model Types</t>
  </si>
  <si>
    <t>Economic Multipliers</t>
  </si>
  <si>
    <t>Hard-coded value/included in model</t>
  </si>
  <si>
    <t>Temperature and SLR-binning model types</t>
  </si>
  <si>
    <t>Temperature and SLR-binning models (GCMs and SLR scenarios)</t>
  </si>
  <si>
    <t>interpolateEstimateYears</t>
  </si>
  <si>
    <t>Overview of sectors included in the model</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</si>
  <si>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</si>
  <si>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</si>
  <si>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</si>
  <si>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</si>
  <si>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</si>
  <si>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</si>
  <si>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inputType</t>
  </si>
  <si>
    <t>inputUnit</t>
  </si>
  <si>
    <t>inputDesc</t>
  </si>
  <si>
    <t>inputMin</t>
  </si>
  <si>
    <t>inputMax</t>
  </si>
  <si>
    <t>valueCol</t>
  </si>
  <si>
    <t>Table with information about input scenarios</t>
  </si>
  <si>
    <t>Information about input scenarios</t>
  </si>
  <si>
    <t>Description</t>
  </si>
  <si>
    <t>Field</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</si>
  <si>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</si>
  <si>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</si>
  <si>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MRI-CGCM3</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</si>
  <si>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</si>
  <si>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</si>
  <si>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</si>
  <si>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</si>
  <si>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</si>
  <si>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</si>
  <si>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Scalar Information</t>
  </si>
  <si>
    <t>"impactType_id" should have no spaces</t>
  </si>
  <si>
    <t>Table of sector names and labels. Added variants impact years, and impact types list (columns 7-9), which the R Tool filters out.</t>
  </si>
  <si>
    <t>variants</t>
  </si>
  <si>
    <t>Number of variants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</si>
  <si>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</si>
  <si>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</si>
  <si>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</si>
  <si>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</si>
  <si>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</si>
  <si>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</si>
  <si>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</si>
  <si>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</si>
  <si>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</si>
  <si>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</si>
  <si>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</si>
  <si>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</si>
  <si>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</si>
  <si>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</si>
  <si>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</si>
  <si>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</si>
  <si>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</si>
  <si>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</si>
  <si>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</si>
  <si>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</si>
  <si>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</si>
  <si>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</si>
  <si>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</si>
  <si>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</si>
  <si>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</si>
  <si>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</si>
  <si>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</si>
  <si>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</si>
  <si>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</si>
  <si>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</si>
  <si>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</si>
  <si>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</si>
  <si>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</si>
  <si>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</si>
  <si>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</si>
  <si>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</si>
  <si>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</si>
  <si>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</si>
  <si>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</si>
  <si>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</si>
  <si>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</si>
  <si>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</si>
  <si>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</si>
  <si>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</si>
  <si>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</si>
  <si>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</si>
  <si>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</si>
  <si>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</si>
  <si>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</si>
  <si>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</si>
  <si>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</si>
  <si>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</si>
  <si>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</si>
  <si>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</si>
  <si>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</si>
  <si>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</si>
  <si>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</si>
  <si>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</si>
  <si>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</si>
  <si>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</si>
  <si>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</si>
  <si>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</si>
  <si>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</si>
  <si>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</si>
  <si>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</si>
  <si>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</si>
  <si>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</si>
  <si>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</si>
  <si>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</si>
  <si>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</si>
  <si>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</si>
  <si>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</si>
  <si>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</si>
  <si>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</si>
  <si>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</si>
  <si>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</si>
  <si>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</si>
  <si>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</si>
  <si>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</si>
  <si>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</si>
  <si>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</si>
  <si>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</si>
  <si>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</si>
  <si>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</si>
  <si>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</si>
  <si>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</si>
  <si>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</si>
  <si>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</si>
  <si>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</si>
  <si>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</si>
  <si>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</si>
  <si>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</si>
  <si>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</si>
  <si>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</si>
  <si>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</si>
  <si>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</si>
  <si>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</si>
  <si>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</si>
  <si>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</si>
  <si>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</si>
  <si>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</si>
  <si>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</si>
  <si>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</si>
  <si>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</si>
  <si>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</si>
  <si>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GCM Models &amp; SLR Scenarios</t>
  </si>
  <si>
    <t>region_id</t>
  </si>
  <si>
    <t>co_inputInfo</t>
  </si>
  <si>
    <t>hasPhysicalImpacts</t>
  </si>
  <si>
    <t>hasEconomicImpacts</t>
  </si>
  <si>
    <t>Alaska</t>
  </si>
  <si>
    <t>AK</t>
  </si>
  <si>
    <t>Hawaii</t>
  </si>
  <si>
    <t>HI</t>
  </si>
  <si>
    <t>CONUS</t>
  </si>
  <si>
    <t>minModelYear</t>
  </si>
  <si>
    <t>maxModelYear</t>
  </si>
  <si>
    <t>nox</t>
  </si>
  <si>
    <t>slope</t>
  </si>
  <si>
    <t>intercept</t>
  </si>
  <si>
    <t>base</t>
  </si>
  <si>
    <t>adj</t>
  </si>
  <si>
    <t>noxFactor0</t>
  </si>
  <si>
    <t>NOx Factor Function Coefficients</t>
  </si>
  <si>
    <t>Air Quality</t>
  </si>
  <si>
    <t>Agriculture</t>
  </si>
  <si>
    <t>PMort</t>
  </si>
  <si>
    <t>ch4</t>
  </si>
  <si>
    <t>o3</t>
  </si>
  <si>
    <t>gdp</t>
  </si>
  <si>
    <t>methane</t>
  </si>
  <si>
    <t>ozone</t>
  </si>
  <si>
    <t>Methane</t>
  </si>
  <si>
    <t>NOx</t>
  </si>
  <si>
    <t>ppbv</t>
  </si>
  <si>
    <t>Mt</t>
  </si>
  <si>
    <t>pptv</t>
  </si>
  <si>
    <t>USD 2015$</t>
  </si>
  <si>
    <t>U.S. GDP</t>
  </si>
  <si>
    <t>CH4_ppbv</t>
  </si>
  <si>
    <t>O3_pptv</t>
  </si>
  <si>
    <t>NOx_Mt</t>
  </si>
  <si>
    <t>gdp_usd</t>
  </si>
  <si>
    <t>pop</t>
  </si>
  <si>
    <t>population</t>
  </si>
  <si>
    <t>Population</t>
  </si>
  <si>
    <t>capita</t>
  </si>
  <si>
    <t>Ozone Response</t>
  </si>
  <si>
    <t>pptv/pptb</t>
  </si>
  <si>
    <t>us_area</t>
  </si>
  <si>
    <t>Coefficients for NOx factor function</t>
  </si>
  <si>
    <t>NOX Coefficients</t>
  </si>
  <si>
    <t>co_noxFactor</t>
  </si>
  <si>
    <t>Table with information about coefficients for the NOx factor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</si>
</sst>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theme="1" tint="0.499984740745262"/>
      </left>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2" applyNumberFormat="0" applyAlignment="0" applyProtection="0"/>
    <xf numFmtId="0" fontId="28" fillId="18" borderId="13" applyNumberFormat="0" applyAlignment="0" applyProtection="0"/>
    <xf numFmtId="0" fontId="29" fillId="18" borderId="12" applyNumberFormat="0" applyAlignment="0" applyProtection="0"/>
    <xf numFmtId="0" fontId="30" fillId="0" borderId="14" applyNumberFormat="0" applyFill="0" applyAlignment="0" applyProtection="0"/>
    <xf numFmtId="0" fontId="14" fillId="19" borderId="15"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6"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8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1" fillId="0" borderId="3"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17" fillId="0" borderId="3" xfId="0" applyFont="1" applyBorder="1" applyAlignment="1">
      <alignment vertical="center" wrapText="1"/>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7"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5" fillId="8" borderId="7"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0" fillId="11" borderId="8"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5" fillId="6" borderId="0" xfId="0" applyFont="1" applyFill="1" applyAlignment="1">
      <alignment vertical="center" wrapText="1"/>
    </xf>
    <xf numFmtId="0" fontId="11" fillId="0" borderId="6" xfId="0" applyFont="1" applyBorder="1"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9" fillId="6" borderId="0" xfId="0" applyFont="1" applyFill="1" applyAlignment="1">
      <alignment vertical="center" wrapText="1"/>
    </xf>
    <xf numFmtId="0" fontId="17" fillId="0" borderId="0" xfId="0" applyFont="1" applyAlignment="1">
      <alignment horizontal="center" vertical="center" wrapText="1"/>
    </xf>
    <xf numFmtId="0" fontId="9" fillId="2" borderId="0" xfId="0" applyFont="1" applyFill="1" applyAlignment="1">
      <alignment vertical="center"/>
    </xf>
    <xf numFmtId="0" fontId="17" fillId="45" borderId="0" xfId="0" applyFont="1" applyFill="1" applyAlignment="1">
      <alignment horizontal="center" vertical="center" wrapText="1"/>
    </xf>
    <xf numFmtId="0" fontId="9" fillId="0" borderId="0" xfId="0" applyNumberFormat="1" applyFont="1"/>
    <xf numFmtId="0" fontId="10" fillId="0" borderId="0" xfId="0" applyNumberFormat="1" applyFont="1" applyAlignment="1">
      <alignment horizontal="left" vertical="center"/>
    </xf>
    <xf numFmtId="0" fontId="9" fillId="0" borderId="0" xfId="0" applyNumberFormat="1" applyFont="1" applyAlignment="1">
      <alignment vertical="center" wrapText="1"/>
    </xf>
    <xf numFmtId="0" fontId="11" fillId="0" borderId="17" xfId="0" applyNumberFormat="1" applyFont="1" applyFill="1" applyBorder="1" applyAlignment="1" applyProtection="1">
      <alignment horizontal="center" vertical="center" wrapText="1"/>
    </xf>
    <xf numFmtId="0" fontId="11" fillId="0" borderId="18" xfId="0" applyNumberFormat="1" applyFont="1" applyFill="1" applyBorder="1" applyAlignment="1" applyProtection="1">
      <alignment vertical="center" wrapText="1"/>
    </xf>
    <xf numFmtId="0" fontId="17" fillId="0" borderId="18" xfId="0" applyNumberFormat="1" applyFont="1" applyFill="1" applyBorder="1" applyAlignment="1" applyProtection="1">
      <alignment vertical="center" wrapText="1"/>
    </xf>
    <xf numFmtId="0" fontId="9" fillId="0" borderId="0" xfId="0" applyFont="1" applyFill="1" applyBorder="1" applyAlignment="1">
      <alignment horizontal="center" vertical="center" wrapText="1"/>
    </xf>
    <xf numFmtId="0" fontId="17" fillId="0" borderId="0" xfId="0" applyNumberFormat="1" applyFont="1" applyFill="1" applyBorder="1" applyAlignment="1" applyProtection="1">
      <alignment horizontal="center" vertical="center" wrapText="1"/>
    </xf>
    <xf numFmtId="0" fontId="11" fillId="8" borderId="0" xfId="0" applyNumberFormat="1" applyFont="1" applyFill="1" applyBorder="1" applyAlignment="1" applyProtection="1">
      <alignment horizontal="center" vertical="center" wrapText="1"/>
    </xf>
    <xf numFmtId="0" fontId="17" fillId="45" borderId="0" xfId="0" applyNumberFormat="1"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0" borderId="18" xfId="0" applyNumberFormat="1" applyFont="1" applyFill="1" applyBorder="1" applyAlignment="1" applyProtection="1">
      <alignment horizontal="left" vertical="center" wrapText="1"/>
    </xf>
    <xf numFmtId="0" fontId="9" fillId="0" borderId="0" xfId="0" applyNumberFormat="1" applyFont="1" applyAlignment="1">
      <alignment horizontal="left" vertical="center"/>
    </xf>
    <xf numFmtId="0" fontId="9" fillId="6" borderId="0" xfId="0" applyNumberFormat="1" applyFont="1" applyFill="1" applyAlignment="1">
      <alignment horizontal="center" vertical="center"/>
    </xf>
    <xf numFmtId="0" fontId="9" fillId="6" borderId="0" xfId="0" applyNumberFormat="1" applyFont="1" applyFill="1" applyAlignment="1">
      <alignment horizontal="left" vertical="center"/>
    </xf>
    <xf numFmtId="0" fontId="17" fillId="6" borderId="0" xfId="0" applyNumberFormat="1" applyFont="1" applyFill="1" applyAlignment="1">
      <alignment horizontal="left" vertical="center"/>
    </xf>
    <xf numFmtId="0" fontId="9" fillId="7" borderId="0" xfId="0" applyNumberFormat="1" applyFont="1" applyFill="1" applyAlignment="1">
      <alignment horizontal="center" vertical="center"/>
    </xf>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48">
    <dxf>
      <fill>
        <patternFill>
          <bgColor theme="8" tint="0.79998168889431442"/>
        </patternFill>
      </fill>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theme="1"/>
        <name val="Calibri"/>
        <family val="2"/>
        <scheme val="minor"/>
      </font>
      <numFmt numFmtId="0" formatCode="Genera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47"/>
    </tableStyle>
    <tableStyle name="Table Style 2" pivot="0" count="2" xr9:uid="{5906E8DD-1157-4888-9A27-3B2DB57DF7A2}">
      <tableStyleElement type="wholeTable" dxfId="146"/>
      <tableStyleElement type="headerRow" dxfId="145"/>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14</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11" totalsRowShown="0" headerRowDxfId="144">
  <autoFilter ref="B9:C11" xr:uid="{DBDF25E7-D35C-4344-9B72-491345FCBF34}"/>
  <tableColumns count="2">
    <tableColumn id="1" xr3:uid="{306AD3FA-EE0B-4D9C-828A-C0B76198AE0B}" name="Worksheet" dataDxfId="143"/>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3" totalsRowShown="0" headerRowDxfId="142" dataDxfId="141">
  <autoFilter ref="B3:N13"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40">
      <calculatedColumnFormula xml:space="preserve"> ROW( doc_tablesList[[#This Row],[ID]] ) - ROW(doc_tablesList[[#Headers],[ID]] )</calculatedColumnFormula>
    </tableColumn>
    <tableColumn id="2" xr3:uid="{238E4D6F-DBDF-41A4-8350-E77587A7D4B3}" name="Table Name" dataDxfId="139"/>
    <tableColumn id="8" xr3:uid="{D46F7497-B3FD-485E-91E8-C8117D6673FA}" name="Import" dataDxfId="138"/>
    <tableColumn id="3" xr3:uid="{39F2BFBD-30E6-473D-B9E5-9F407D5928C3}" name="Worksheet" dataDxfId="137"/>
    <tableColumn id="9" xr3:uid="{507E67A6-0C2B-4342-A04B-6A8E615993E3}" name="ID_columnName" dataDxfId="136">
      <calculatedColumnFormula xml:space="preserve"> "row_id"</calculatedColumnFormula>
    </tableColumn>
    <tableColumn id="4" xr3:uid="{961C935C-163D-4860-BA16-6CB492916203}" name="Header Row" dataDxfId="13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34">
      <calculatedColumnFormula xml:space="preserve"> MAX( INDIRECT( _xlfn.TEXTJOIN( "", , doc_tablesList[[#This Row],[Table Name]], "[", doc_tablesList[[#This Row],[ID_columnName]], "]" ) ) )</calculatedColumnFormula>
    </tableColumn>
    <tableColumn id="13" xr3:uid="{F53E64F1-7445-4927-A376-2FB765265648}" name="Last Row" dataDxfId="133">
      <calculatedColumnFormula xml:space="preserve"> doc_tablesList[[#This Row],[Number of Data Rows]] + doc_tablesList[[#This Row],[Header Row]]</calculatedColumnFormula>
    </tableColumn>
    <tableColumn id="6" xr3:uid="{86A51CF5-A3BA-4019-9C90-7A94C7FBA534}" name="id_colIndex" dataDxfId="132">
      <calculatedColumnFormula array="1" xml:space="preserve"> INDEX( COLUMN( INDIRECT( doc_tablesList[[#This Row],[Table Name]] &amp; "[" &amp; doc_tablesList[[#This Row],[ID_columnName]] &amp; "]" ) ), 1 )</calculatedColumnFormula>
    </tableColumn>
    <tableColumn id="7" xr3:uid="{DD29767F-0B22-4C97-9012-467EF6380323}" name="last_colIndex" dataDxfId="131">
      <calculatedColumnFormula array="1" xml:space="preserve"> MAX( COLUMN( INDIRECT( doc_tablesList[[#This Row],[Table Name]] ) ) )</calculatedColumnFormula>
    </tableColumn>
    <tableColumn id="12" xr3:uid="{7F09C7E5-85E6-4334-8C65-926F0EE13A13}" name="num_tableCols" dataDxfId="130">
      <calculatedColumnFormula xml:space="preserve"> doc_tablesList[[#This Row],[last_colIndex]] - doc_tablesList[[#This Row],[id_colIndex]] + 1</calculatedColumnFormula>
    </tableColumn>
    <tableColumn id="11" xr3:uid="{C4016964-772D-4CB1-A4CA-7E815387BA94}" name="excludeCol_ids" dataDxfId="129"/>
    <tableColumn id="10" xr3:uid="{1AD286DF-FF1E-4EA7-92C2-04966DE58B94}" name="Notes" dataDxfId="128"/>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7:O20" totalsRowShown="0" headerRowDxfId="127" dataDxfId="125" headerRowBorderDxfId="126" tableBorderDxfId="124" totalsRowBorderDxfId="123">
  <autoFilter ref="B17:O20" xr:uid="{4FB08D13-3C4C-4BB6-9ED3-E44A55D938B0}"/>
  <sortState xmlns:xlrd2="http://schemas.microsoft.com/office/spreadsheetml/2017/richdata2" ref="B18:O18">
    <sortCondition ref="D18"/>
  </sortState>
  <tableColumns count="14">
    <tableColumn id="14" xr3:uid="{60C3EA8F-72E0-495B-8B73-6D682443C60B}" name="row_id" dataDxfId="1" totalsRowDxfId="122">
      <calculatedColumnFormula xml:space="preserve"> ROW( co_sectors[[#This Row],[row_id]] ) - ROW( co_sectors[[#Headers],[row_id]] )</calculatedColumnFormula>
    </tableColumn>
    <tableColumn id="1" xr3:uid="{05E901B8-39C9-4448-8C69-F1824616C5B3}" name="sector_id" dataDxfId="121" totalsRowDxfId="120"/>
    <tableColumn id="2" xr3:uid="{8435BE36-75E6-4124-BCAF-A700C82839D8}" name="sector_label" dataDxfId="119" totalsRowDxfId="118"/>
    <tableColumn id="6" xr3:uid="{2BB914B0-56FF-4336-B8AD-DDDF5E8FE532}" name="include" dataDxfId="117" totalsRowDxfId="116"/>
    <tableColumn id="8" xr3:uid="{18B4827C-060D-4556-903A-BB8A82781CB7}" name="modelType" dataDxfId="115" totalsRowDxfId="114"/>
    <tableColumn id="4" xr3:uid="{60EA29EE-87DF-48ED-AC00-5DE87371BD83}" name="variants" dataDxfId="113" totalsRowDxfId="112">
      <calculatedColumnFormula array="1" xml:space="preserve"> _xlfn.TEXTJOIN( ", ", 1,
  IF( OFFSET( INDIRECT( ADDRESS( ROW( #REF! ),  COLUMN( #REF! ), , , "controlTables" ) ), 1, 0, MAX( #REF! ), 1 ) = co_sectors[[#This Row],[sector_id]], #REF!, "" )
)</calculatedColumnFormula>
    </tableColumn>
    <tableColumn id="5" xr3:uid="{037FAF60-CB1C-4C29-A873-6D3C321F2480}" name="impactYears" dataDxfId="111" totalsRowDxfId="110">
      <calculatedColumnFormula xml:space="preserve"> _xlfn.TEXTJOIN( ", ", 1,
  OFFSET( INDIRECT( ADDRESS( ROW( INDEX( #REF!, MATCH( co_sectors[[#This Row],[sector_id]], #REF!, 0 ) ) ),  COLUMN( #REF! ), , , "controlTables" ) ), 0, 1, 1, 4 )
)</calculatedColumnFormula>
    </tableColumn>
    <tableColumn id="7" xr3:uid="{28F0B34D-48CC-469A-9D3C-5A943883A167}" name="impactTypes" dataDxfId="109" totalsRowDxfId="108">
      <calculatedColumnFormula array="1" xml:space="preserve">  _xlfn.TEXTJOIN( ", ", 1,
  IF( OFFSET( INDIRECT( ADDRESS( ROW( #REF! ),  COLUMN( #REF! ), , , "controlTables" ) ), 1, 0, MAX( #REF! ), 1 ) = co_sectors[[#This Row],[sector_id]], #REF!, "" )
)</calculatedColumnFormula>
    </tableColumn>
    <tableColumn id="9" xr3:uid="{031B452A-F7AD-42C2-B528-CC3050A26AA0}" name="interpolateEstimateYears" dataDxfId="107" totalsRowDxfId="106">
      <calculatedColumnFormula xml:space="preserve"> IF( co_sectors[[#This Row],[impactYears]] = "NA", 0, 1)</calculatedColumnFormula>
    </tableColumn>
    <tableColumn id="3" xr3:uid="{131F4380-0D81-4321-BEC8-8F7D57B7E216}" name="hasPhysicalImpacts" dataDxfId="105" totalsRowDxfId="104">
      <calculatedColumnFormula array="1" xml:space="preserve"> SUMPRODUCT( --( co_sectors[[#This Row],[sector_id]] = #REF! ), --IF( #REF! = "N/A", 0, 1) ) &gt;= 1</calculatedColumnFormula>
    </tableColumn>
    <tableColumn id="12" xr3:uid="{B7C2D68F-C2A9-4F34-BC0E-46157710709A}" name="hasEconomicImpacts" dataDxfId="103" totalsRowDxfId="102">
      <calculatedColumnFormula array="1" xml:space="preserve"> OR( SUMPRODUCT( --( co_sectors[[#This Row],[sector_id]] = #REF! ), --IF( #REF! &lt;&gt; 0, 1, 0) ) &gt;= 1,
      SUMPRODUCT( --( co_sectors[[#This Row],[sector_id]] = #REF! ), --IF( #REF! &lt;&gt; 0, 1, 0) ) &gt;= 1 )</calculatedColumnFormula>
    </tableColumn>
    <tableColumn id="10" xr3:uid="{C86349E6-E4A5-4E4F-8866-5A0EC09E18B2}" name="Number of variants" dataDxfId="101" totalsRowDxfId="100">
      <calculatedColumnFormula array="1" xml:space="preserve"> SUMPRODUCT( --( co_sectors[[#This Row],[sector_id]] = #REF! ) )</calculatedColumnFormula>
    </tableColumn>
    <tableColumn id="11" xr3:uid="{5F0E2743-320C-46C8-BF83-E0748C4ED15D}" name="Number of impact types" dataDxfId="99" totalsRowDxfId="98">
      <calculatedColumnFormula array="1" xml:space="preserve"> SUMPRODUCT( --( co_sectors[[#This Row],[sector_id]] = #REF! ) )</calculatedColumnFormula>
    </tableColumn>
    <tableColumn id="13" xr3:uid="{39CDE92C-BE84-47A0-A80A-EB0EC7367742}" name="Number of impact years" dataDxfId="97" totalsRowDxfId="96">
      <calculatedColumnFormula array="1" xml:space="preserve"> IF( INDEX( #REF!, MATCH( 1, --( co_sectors[[#This Row],[sector_id]] = #REF!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52:K53" totalsRowShown="0" headerRowDxfId="95" dataDxfId="94">
  <tableColumns count="10">
    <tableColumn id="1" xr3:uid="{11DFD282-93A9-4795-9369-6627D14BB282}" name="row_id" dataDxfId="93">
      <calculatedColumnFormula xml:space="preserve"> ROW( co_modelTypes[[#This Row],[row_id]] ) - ROW( co_modelTypes[[#Headers],[row_id]] )</calculatedColumnFormula>
    </tableColumn>
    <tableColumn id="5" xr3:uid="{083A43A4-471A-4911-84CB-93A1DE17EDC1}" name="modelType_id" dataDxfId="92"/>
    <tableColumn id="6" xr3:uid="{5A95B322-31B8-49BE-B215-52BB75258F9F}" name="modelType_label" dataDxfId="91"/>
    <tableColumn id="3" xr3:uid="{540088D4-3239-4E2E-B19D-9DEA7196BB93}" name="inputName" dataDxfId="90"/>
    <tableColumn id="7" xr3:uid="{EDB25577-4E2B-4262-9DF5-F68DC828D4E8}" name="modelUnitDesc" dataDxfId="89"/>
    <tableColumn id="2" xr3:uid="{7172DDAD-67EF-469B-A2DF-E5E2773966BC}" name="modelUnit_id" dataDxfId="88"/>
    <tableColumn id="8" xr3:uid="{0E585296-9334-4F27-8B15-1B944CD33E6C}" name="modelUnit_label" dataDxfId="87"/>
    <tableColumn id="4" xr3:uid="{72573958-4C31-41E8-A620-C05E0EAD6C20}" name="modelRefYear" dataDxfId="86"/>
    <tableColumn id="11" xr3:uid="{D5654473-439D-4C4C-885D-37EE6C931D57}" name="minModelYear" dataDxfId="11"/>
    <tableColumn id="12" xr3:uid="{C2911BDF-60E6-438B-8637-6D76D43F2358}" name="maxModelYear" dataDxfId="10"/>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80:E89" totalsRowShown="0" headerRowDxfId="85" dataDxfId="84">
  <tableColumns count="4">
    <tableColumn id="1" xr3:uid="{18599272-3810-42BA-A220-485AFB1D6807}" name="row_id" dataDxfId="83">
      <calculatedColumnFormula xml:space="preserve"> ROW( co_regions[[#This Row],[row_id]] ) - ROW( co_regions[[#Headers],[row_id]] )</calculatedColumnFormula>
    </tableColumn>
    <tableColumn id="3" xr3:uid="{56B07D04-3458-4687-B04E-181849066DB3}" name="region_label" dataDxfId="82"/>
    <tableColumn id="5" xr3:uid="{FFA64F27-24E0-4D92-8E8A-6A4675CEB856}" name="region_id" dataDxfId="14">
      <calculatedColumnFormula xml:space="preserve"> SUBSTITUTE( co_regions[[#This Row],[region_label]], " ", "" )</calculatedColumnFormula>
    </tableColumn>
    <tableColumn id="2" xr3:uid="{8C6EE96C-A2F3-407E-9E15-A689D8E393AE}" name="us_area" dataDxfId="13"/>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58:F65" totalsRowShown="0" headerRowDxfId="81" dataDxfId="80">
  <tableColumns count="5">
    <tableColumn id="1" xr3:uid="{BF1485BD-F9FE-4F5B-9D9F-D9CB3D918F44}" name="row_id" dataDxfId="79">
      <calculatedColumnFormula xml:space="preserve"> ROW( co_models[[#This Row],[row_id]] ) - ROW( co_models[[#Headers],[row_id]] )</calculatedColumnFormula>
    </tableColumn>
    <tableColumn id="2" xr3:uid="{A209304D-718C-45BB-922A-A83B3EC89858}" name="model_id" dataDxfId="78">
      <calculatedColumnFormula xml:space="preserve"> SUBSTITUTE( SUBSTITUTE( co_models[[#This Row],[model_label]], " ", "" ), "-", "" )</calculatedColumnFormula>
    </tableColumn>
    <tableColumn id="5" xr3:uid="{CBC70E09-D146-4CF4-911F-60EB221755C0}" name="maxUnitValue" dataDxfId="77"/>
    <tableColumn id="20" xr3:uid="{A1F83970-3B0E-4464-8376-1B37DBE20974}" name="modelType" dataDxfId="76"/>
    <tableColumn id="3" xr3:uid="{F9DE0808-4FD0-4FB6-9363-B580ED760D5C}" name="model_label" dataDxfId="75"/>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36:J40" totalsRowShown="0" headerRowDxfId="57" dataDxfId="56">
  <autoFilter ref="B36:J40" xr:uid="{7F79E836-A486-4549-B875-6F873C0BCABB}"/>
  <sortState xmlns:xlrd2="http://schemas.microsoft.com/office/spreadsheetml/2017/richdata2" ref="B37:J40">
    <sortCondition ref="E37:E40"/>
    <sortCondition ref="C37:C40"/>
  </sortState>
  <tableColumns count="9">
    <tableColumn id="1" xr3:uid="{B5AB138C-E49F-456B-8F7B-6A701BD94314}" name="row_id" dataDxfId="55">
      <calculatedColumnFormula xml:space="preserve"> ROW( co_scalarInfo[[#This Row],[row_id]] ) - ROW( co_scalarInfo[[#Headers],[row_id]] )</calculatedColumnFormula>
    </tableColumn>
    <tableColumn id="4" xr3:uid="{057C556C-4A5B-41BF-9EA5-CD5D06EC20A3}" name="scalarName" dataDxfId="54"/>
    <tableColumn id="2" xr3:uid="{11586BC8-9866-411F-AFB1-B54CDBE58BC8}" name="scalarLabel" dataDxfId="53"/>
    <tableColumn id="3" xr3:uid="{59273865-10D7-4E58-A34B-98B12FD27367}" name="scalarType" dataDxfId="52"/>
    <tableColumn id="6" xr3:uid="{44722630-DE32-4127-9D36-E5716D7B6FB1}" name="constant_or_dynamic" dataDxfId="51"/>
    <tableColumn id="7" xr3:uid="{06B55EB3-A830-4A09-BCEF-732F610DB775}" name="national_or_regional" dataDxfId="50"/>
    <tableColumn id="12" xr3:uid="{DA5FA732-C673-49CC-B393-EEDF239C5944}" name="valueYear" dataDxfId="49"/>
    <tableColumn id="9" xr3:uid="{072DFA28-3A99-48D9-9F87-0B9663CC8EBE}" name="dataType" dataDxfId="48"/>
    <tableColumn id="8" xr3:uid="{083C27B7-8723-4638-8D25-C880E916AEB0}" name="notes" dataDxfId="47"/>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45:E46" totalsRowShown="0" headerRowDxfId="46" dataDxfId="45">
  <tableColumns count="4">
    <tableColumn id="1" xr3:uid="{B5687CDE-96CA-4DF3-A45A-B2EDE1CC9A93}" name="row_id" dataDxfId="44">
      <calculatedColumnFormula xml:space="preserve"> ROW( co_econMultipliers[[#This Row],[row_id]] ) - ROW( co_econMultipliers[[#Headers],[row_id]] )</calculatedColumnFormula>
    </tableColumn>
    <tableColumn id="4" xr3:uid="{76AF9F40-EEBA-4ABF-82CC-7580151C94E2}" name="econMultiplierName" dataDxfId="43"/>
    <tableColumn id="3" xr3:uid="{BB4C0E23-5864-41DA-8215-7C526A80B49B}" name="econMultiplierDescription" dataDxfId="42"/>
    <tableColumn id="2" xr3:uid="{013806BA-C4E3-46FD-AD7B-D198CFA696CD}" name="valueYear" dataDxfId="41"/>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70:J75" totalsRowShown="0" headerRowDxfId="40" dataDxfId="39">
  <tableColumns count="9">
    <tableColumn id="1" xr3:uid="{66AD6D28-7A41-4AD2-93FD-110433F1C5A5}" name="row_id" dataDxfId="38">
      <calculatedColumnFormula xml:space="preserve"> ROW( co_inputInfo[[#This Row],[row_id]] ) - ROW( co_inputInfo[[#Headers],[row_id]] )</calculatedColumnFormula>
    </tableColumn>
    <tableColumn id="4" xr3:uid="{45198473-3D48-41CD-B663-D0AF13813C66}" name="inputName" dataDxfId="37"/>
    <tableColumn id="3" xr3:uid="{E3847F4D-6384-49D5-8156-9EC8E8221B62}" name="inputType" dataDxfId="36"/>
    <tableColumn id="5" xr3:uid="{98CB64F8-23F0-4402-9CE1-03695A07036B}" name="inputDesc" dataDxfId="35"/>
    <tableColumn id="2" xr3:uid="{F9249B62-F8E8-46B3-88F1-E8E0903FDD4A}" name="inputUnit" dataDxfId="34"/>
    <tableColumn id="6" xr3:uid="{48BBD66A-C5AD-477C-84C9-E5FFE0D43B87}" name="inputMin" dataDxfId="33"/>
    <tableColumn id="7" xr3:uid="{05D78FF1-5FB5-4CB5-AB55-8F3089B354DC}" name="inputMax" dataDxfId="32">
      <calculatedColumnFormula xml:space="preserve"> IF( ISNA( MATCH( co_inputInfo[[#This Row],[inputType]], co_modelTypes[inputName], 0 ) ), "", INDEX( #REF!, MATCH( co_inputInfo[[#This Row],[inputType]], co_modelTypes[inputName], 0 ) ) )</calculatedColumnFormula>
    </tableColumn>
    <tableColumn id="8" xr3:uid="{1C94F8DC-2CA2-47FD-A5E1-761F8E67704A}" name="valueCol" dataDxfId="31"/>
    <tableColumn id="9" xr3:uid="{AAA49909-67E1-4978-90ED-573C388A520B}" name="region" dataDxfId="30"/>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94:G145" totalsRowShown="0" headerRowDxfId="29">
  <autoFilter ref="B94:G145" xr:uid="{260FF6F7-3417-4AB0-990E-0C31BC977851}"/>
  <tableColumns count="6">
    <tableColumn id="1" xr3:uid="{B802A69B-2E07-40A2-ADE9-DCABCB2E04A6}" name="row_id" dataDxfId="28">
      <calculatedColumnFormula xml:space="preserve"> ROW( co_states[[#This Row],[row_id]] ) - ROW( co_states[[#Headers],[row_id]] )</calculatedColumnFormula>
    </tableColumn>
    <tableColumn id="2" xr3:uid="{5B715195-2EAE-439A-84CF-1C26F65065E0}" name="state" dataDxfId="27"/>
    <tableColumn id="3" xr3:uid="{42CA1BFA-BDCF-464B-91DB-4C9663461C1C}" name="postal" dataDxfId="26"/>
    <tableColumn id="4" xr3:uid="{F4F2D0D4-82EF-41DF-B43B-E23CB36CF080}" name="region" dataDxfId="25"/>
    <tableColumn id="5" xr3:uid="{5807F5A8-31A9-4CC5-8FA0-243CB9917CD4}" name="fips" dataDxfId="24"/>
    <tableColumn id="6" xr3:uid="{7B4B8CB0-8D82-4F28-817A-A7279CA226E3}" name="us_area" dataDxfId="12">
      <calculatedColumnFormula xml:space="preserve"> INDEX( co_regions[us_area], MATCH( co_states[[#This Row],[region]], co_regions[region_label], 0 )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7A19CED-AA24-4015-89E3-A9379B898E17}" name="co_noxFactor" displayName="co_noxFactor" ref="B151:G152" totalsRowShown="0" headerRowDxfId="9" dataDxfId="8">
  <tableColumns count="6">
    <tableColumn id="1" xr3:uid="{35E961B1-A91A-4D6C-BCCA-6248CAFBB0BD}" name="row_id" dataDxfId="7">
      <calculatedColumnFormula xml:space="preserve"> ROW( co_noxFactor[[#This Row],[row_id]] ) - ROW( co_noxFactor[[#Headers],[row_id]] )</calculatedColumnFormula>
    </tableColumn>
    <tableColumn id="4" xr3:uid="{0DA13DF5-565F-4B97-B8FD-5D7986445997}" name="base" dataDxfId="6"/>
    <tableColumn id="5" xr3:uid="{40D6A028-2536-4079-AB72-6D4CFEE10EE5}" name="slope" dataDxfId="5"/>
    <tableColumn id="3" xr3:uid="{0C00746F-590A-4527-B283-8D2A408AA20E}" name="intercept" dataDxfId="4"/>
    <tableColumn id="2" xr3:uid="{3FDF4FB6-5F73-440C-9863-355B0BE4CA6B}" name="adj" dataDxfId="3">
      <calculatedColumnFormula xml:space="preserve"> 10^-3 / 556</calculatedColumnFormula>
    </tableColumn>
    <tableColumn id="6" xr3:uid="{BAF03592-0A41-43AF-B3D9-8720DC129EC0}" name="noxFactor0" dataDxfId="2">
      <calculatedColumnFormula xml:space="preserve"> (LOG10( co_noxFactor[[#This Row],[base]] ) * co_noxFactor[[#This Row],[slope]] + co_noxFactor[[#This Row],[intercept]] ) * co_noxFactor[[#This Row],[adj]]</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27:P30" totalsRowShown="0" headerRowDxfId="74" dataDxfId="73">
  <autoFilter ref="B27:P30" xr:uid="{E446364F-959A-4BFF-80B5-CD65050C4865}"/>
  <sortState xmlns:xlrd2="http://schemas.microsoft.com/office/spreadsheetml/2017/richdata2" ref="B28:P29">
    <sortCondition ref="C28:C29"/>
    <sortCondition ref="D28:D29"/>
  </sortState>
  <tableColumns count="15">
    <tableColumn id="1" xr3:uid="{3C0C87EC-3301-4189-A438-330FBC0C23CE}" name="row_id" dataDxfId="72">
      <calculatedColumnFormula xml:space="preserve"> ROW( co_impactTypes[[#This Row],[row_id]] ) - ROW(co_impactTypes[[#Headers],[row_id]] )</calculatedColumnFormula>
    </tableColumn>
    <tableColumn id="5" xr3:uid="{695E7B0A-9CCF-4B48-8FB4-7B2C8AC23CA2}" name="sector_id" dataDxfId="71"/>
    <tableColumn id="3" xr3:uid="{AC7D2590-5F6F-4E8A-8395-3ACC925DD65E}" name="impactType_label" dataDxfId="70"/>
    <tableColumn id="2" xr3:uid="{389F4E81-E357-4437-B986-87606739FD52}" name="impactType_id" dataDxfId="69"/>
    <tableColumn id="7" xr3:uid="{252ECC08-A081-4155-A2E4-6E6953775245}" name="impactType_description" dataDxfId="68"/>
    <tableColumn id="18" xr3:uid="{20E67458-91EF-4192-9F05-0BEE3F89945B}" name="physicalmeasure" dataDxfId="67"/>
    <tableColumn id="6" xr3:uid="{3CFD45D4-B79B-4F80-92FC-337937E46944}" name="physScalarName" dataDxfId="66"/>
    <tableColumn id="9" xr3:uid="{40E9B945-11EE-47C9-B5D8-A41A8FC63734}" name="physAdjName" dataDxfId="65"/>
    <tableColumn id="16" xr3:uid="{5C5AE37A-2086-491F-BF3C-F22CC928E516}" name="damageAdjName" dataDxfId="64"/>
    <tableColumn id="10" xr3:uid="{2A5B466E-A990-49E9-92E3-0103059D4863}" name="econScalarName" dataDxfId="63"/>
    <tableColumn id="11" xr3:uid="{74F77DB7-A970-4C19-A8F9-04E79FC664FD}" name="econMultiplierName" dataDxfId="62"/>
    <tableColumn id="12" xr3:uid="{DA200B1A-95FB-4000-933E-BC048A1E0631}" name="c0" dataDxfId="61"/>
    <tableColumn id="13" xr3:uid="{F6CED4C7-F96B-4766-BD90-7B52A49FAABA}" name="c1" dataDxfId="60"/>
    <tableColumn id="14" xr3:uid="{E36983CA-3DF1-4DD8-A727-E60C1D905346}" name="exp0" dataDxfId="59"/>
    <tableColumn id="15" xr3:uid="{861014FE-4437-4D17-8CED-BC8B72417DD9}" name="year0" dataDxfId="58">
      <calculatedColumnFormula xml:space="preserve"> IF(co_impactTypes[[#This Row],[econMultiplierName]]="None", "N/A", 2010)</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3">
      <calculatedColumnFormula xml:space="preserve"> ROW( Readme_adaptations[[#This Row],[row_id]] ) - ROW( Readme_adaptations[[#Headers],[row_id]] )</calculatedColumnFormula>
    </tableColumn>
    <tableColumn id="4" xr3:uid="{8F8CD713-0ECF-4957-8E94-F3FC5C746031}" name="sector_id" dataDxfId="2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1" dataDxfId="20">
  <autoFilter ref="B3:F5" xr:uid="{58C7AF19-DB28-47F8-BE56-AE985DF1009B}"/>
  <tableColumns count="5">
    <tableColumn id="1" xr3:uid="{055BC283-B8DC-4F37-B787-CE15D79337AE}" name="row_id" dataDxfId="19">
      <calculatedColumnFormula xml:space="preserve"> ROW( Readme_sectors[[#This Row],[row_id]] ) - ROW( Readme_sectors[[#Headers],[row_id]] )</calculatedColumnFormula>
    </tableColumn>
    <tableColumn id="4" xr3:uid="{F1DE1E87-7416-4EC2-83F4-443E818D69E2}" name="sector_id" dataDxfId="18"/>
    <tableColumn id="2" xr3:uid="{69F42C58-EA29-416E-A03E-490DCD1DAC6F}" name="adapt_id" dataDxfId="17"/>
    <tableColumn id="3" xr3:uid="{995768DD-996C-4A25-A331-EA651CF80A08}" name="adapt_label" dataDxfId="16"/>
    <tableColumn id="5" xr3:uid="{B607221E-C635-413E-A992-7E4B369F50F2}" name="Description" dataDxfId="1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7" dT="2021-04-02T15:07:48.34" personId="{00000000-0000-0000-0000-000000000000}" id="{B1227AEC-55F2-4D4B-9D62-D8081C156293}">
    <text>Boolean field -- indicates if sector is included in run of R script.</text>
  </threadedComment>
  <threadedComment ref="J17" dT="2021-04-02T15:08:18.98" personId="{00000000-0000-0000-0000-000000000000}" id="{492F094F-8801-4499-80C3-4610B2EB4C3B}">
    <text>Boolean field -- indicates if sector has 2010 and 2090 impact esimates. Corresponds to impact year table below.</text>
  </threadedComment>
  <threadedComment ref="F36"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52" dT="2021-02-11T17:01:11.40" personId="{00000000-0000-0000-0000-000000000000}" id="{74E8C379-DF77-4FAE-8C13-4D0000C68271}">
    <text>Year when change and impacts are zero</text>
  </threadedComment>
  <threadedComment ref="D58" dT="2023-12-08T22:41:08.83" personId="{00000000-0000-0000-0000-000000000000}" id="{A0D64BDD-1681-4C8F-9929-C1898D0603B0}">
    <text>Max extrapolation temperature</text>
  </threadedComment>
  <threadedComment ref="J70"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comments" Target="../comments2.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28"/>
  <sheetViews>
    <sheetView workbookViewId="0">
      <selection activeCell="A12" sqref="A12:XFD34"/>
    </sheetView>
  </sheetViews>
  <sheetFormatPr defaultRowHeight="15" outlineLevelRow="1" x14ac:dyDescent="0.25"/>
  <cols>
    <col min="2" max="2" width="15.140625" bestFit="1" customWidth="1"/>
    <col min="3" max="3" width="137.28515625" customWidth="1"/>
  </cols>
  <sheetData>
    <row r="9" spans="2:3" x14ac:dyDescent="0.25">
      <c r="B9" s="47" t="s">
        <v>29</v>
      </c>
      <c r="C9" s="47" t="s">
        <v>148</v>
      </c>
    </row>
    <row r="10" spans="2:3" ht="29.25" customHeight="1" x14ac:dyDescent="0.25">
      <c r="B10" s="56" t="s">
        <v>34</v>
      </c>
      <c r="C10" s="46" t="s">
        <v>150</v>
      </c>
    </row>
    <row r="11" spans="2:3" ht="32.25" customHeight="1" collapsed="1" x14ac:dyDescent="0.25">
      <c r="B11" s="57" t="s">
        <v>115</v>
      </c>
      <c r="C11" s="55" t="s">
        <v>151</v>
      </c>
    </row>
    <row r="12" spans="2:3" hidden="1" outlineLevel="1" collapsed="1" x14ac:dyDescent="0.25">
      <c r="B12" s="45"/>
      <c r="C12" s="48" t="s">
        <v>149</v>
      </c>
    </row>
    <row r="13" spans="2:3" hidden="1" outlineLevel="1" x14ac:dyDescent="0.25">
      <c r="C13" s="45" t="s">
        <v>57</v>
      </c>
    </row>
    <row r="14" spans="2:3" hidden="1" outlineLevel="1" x14ac:dyDescent="0.25">
      <c r="C14" t="s">
        <v>26</v>
      </c>
    </row>
    <row r="15" spans="2:3" hidden="1" outlineLevel="1" x14ac:dyDescent="0.25">
      <c r="C15" s="45" t="s">
        <v>87</v>
      </c>
    </row>
    <row r="16" spans="2:3" hidden="1" outlineLevel="1" x14ac:dyDescent="0.25">
      <c r="C16" t="s">
        <v>95</v>
      </c>
    </row>
    <row r="17" spans="3:3" hidden="1" outlineLevel="1" x14ac:dyDescent="0.25">
      <c r="C17" s="45" t="s">
        <v>116</v>
      </c>
    </row>
    <row r="18" spans="3:3" hidden="1" outlineLevel="1" x14ac:dyDescent="0.25">
      <c r="C18" t="s">
        <v>88</v>
      </c>
    </row>
    <row r="19" spans="3:3" hidden="1" outlineLevel="1" x14ac:dyDescent="0.25">
      <c r="C19" s="49" t="s">
        <v>89</v>
      </c>
    </row>
    <row r="20" spans="3:3" hidden="1" outlineLevel="1" x14ac:dyDescent="0.25">
      <c r="C20" t="s">
        <v>94</v>
      </c>
    </row>
    <row r="21" spans="3:3" hidden="1" outlineLevel="1" x14ac:dyDescent="0.25">
      <c r="C21" s="45" t="s">
        <v>90</v>
      </c>
    </row>
    <row r="22" spans="3:3" hidden="1" outlineLevel="1" x14ac:dyDescent="0.25">
      <c r="C22" t="s">
        <v>6</v>
      </c>
    </row>
    <row r="23" spans="3:3" hidden="1" outlineLevel="1" x14ac:dyDescent="0.25">
      <c r="C23" s="45" t="s">
        <v>7</v>
      </c>
    </row>
    <row r="24" spans="3:3" hidden="1" outlineLevel="1" x14ac:dyDescent="0.25">
      <c r="C24" t="s">
        <v>8</v>
      </c>
    </row>
    <row r="25" spans="3:3" hidden="1" outlineLevel="1" x14ac:dyDescent="0.25">
      <c r="C25" s="45" t="s">
        <v>9</v>
      </c>
    </row>
    <row r="26" spans="3:3" hidden="1" outlineLevel="1" x14ac:dyDescent="0.25">
      <c r="C26" t="s">
        <v>10</v>
      </c>
    </row>
    <row r="27" spans="3:3" hidden="1" outlineLevel="1" x14ac:dyDescent="0.25">
      <c r="C27" s="45" t="s">
        <v>11</v>
      </c>
    </row>
    <row r="28" spans="3:3" hidden="1" outlineLevel="1" x14ac:dyDescent="0.25">
      <c r="C28"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3"/>
  <sheetViews>
    <sheetView tabSelected="1" topLeftCell="B1" workbookViewId="0">
      <pane xSplit="2" topLeftCell="D1" activePane="topRight" state="frozen"/>
      <selection activeCell="B1" sqref="B1"/>
      <selection pane="topRight" activeCell="N13" sqref="N13"/>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34</v>
      </c>
      <c r="B1" s="2" t="s">
        <v>35</v>
      </c>
    </row>
    <row r="2" spans="1:14" x14ac:dyDescent="0.25">
      <c r="B2" s="2"/>
    </row>
    <row r="3" spans="1:14" ht="25.5" x14ac:dyDescent="0.25">
      <c r="B3" s="6" t="s">
        <v>19</v>
      </c>
      <c r="C3" s="6" t="s">
        <v>28</v>
      </c>
      <c r="D3" s="12" t="s">
        <v>37</v>
      </c>
      <c r="E3" s="6" t="s">
        <v>29</v>
      </c>
      <c r="F3" s="12" t="s">
        <v>33</v>
      </c>
      <c r="G3" s="12" t="s">
        <v>43</v>
      </c>
      <c r="H3" s="12" t="s">
        <v>30</v>
      </c>
      <c r="I3" s="12" t="s">
        <v>42</v>
      </c>
      <c r="J3" s="12" t="s">
        <v>91</v>
      </c>
      <c r="K3" s="12" t="s">
        <v>92</v>
      </c>
      <c r="L3" s="12" t="s">
        <v>93</v>
      </c>
      <c r="M3" s="12" t="s">
        <v>99</v>
      </c>
      <c r="N3" s="6" t="s">
        <v>23</v>
      </c>
    </row>
    <row r="4" spans="1:14" ht="22.5" x14ac:dyDescent="0.25">
      <c r="B4" s="4">
        <f xml:space="preserve"> ROW( doc_tablesList[[#This Row],[ID]] ) - ROW(doc_tablesList[[#Headers],[ID]] )</f>
        <v>1</v>
      </c>
      <c r="C4" s="7" t="s">
        <v>32</v>
      </c>
      <c r="D4" s="21">
        <v>1</v>
      </c>
      <c r="E4" s="7" t="s">
        <v>115</v>
      </c>
      <c r="F4" s="21" t="str">
        <f t="shared" ref="F4" si="0" xml:space="preserve"> "row_id"</f>
        <v>row_id</v>
      </c>
      <c r="G4" s="25" cm="1">
        <f t="array" aca="1" ref="G4" ca="1" xml:space="preserve"> INDEX( ROW( INDIRECT( _xlfn.TEXTJOIN( "", , doc_tablesList[[#This Row],[Table Name]], "[[#Headers],[", doc_tablesList[[#This Row],[ID_columnName]], "]]" ) ) ), 1 )</f>
        <v>17</v>
      </c>
      <c r="H4" s="25">
        <f ca="1" xml:space="preserve"> MAX( INDIRECT( _xlfn.TEXTJOIN( "", , doc_tablesList[[#This Row],[Table Name]], "[", doc_tablesList[[#This Row],[ID_columnName]], "]" ) ) )</f>
        <v>3</v>
      </c>
      <c r="I4" s="25">
        <f ca="1" xml:space="preserve"> doc_tablesList[[#This Row],[Number of Data Rows]] + doc_tablesList[[#This Row],[Header Row]]</f>
        <v>20</v>
      </c>
      <c r="J4" s="25" cm="1">
        <f t="array" aca="1" ref="J4" ca="1" xml:space="preserve"> INDEX( COLUMN( INDIRECT( doc_tablesList[[#This Row],[Table Name]] &amp; "[" &amp; doc_tablesList[[#This Row],[ID_columnName]] &amp; "]" ) ), 1 )</f>
        <v>2</v>
      </c>
      <c r="K4" s="25" cm="1">
        <f t="array" aca="1" ref="K4" ca="1" xml:space="preserve"> MAX( COLUMN( INDIRECT( doc_tablesList[[#This Row],[Table Name]] ) ) )</f>
        <v>15</v>
      </c>
      <c r="L4" s="25">
        <f ca="1" xml:space="preserve"> doc_tablesList[[#This Row],[last_colIndex]] - doc_tablesList[[#This Row],[id_colIndex]] + 1</f>
        <v>14</v>
      </c>
      <c r="M4" s="39" t="str" cm="1">
        <f t="array" aca="1" ref="M4" ca="1" xml:space="preserve"> _xlfn.TEXTJOIN( ", ", ,  COLUMN( co_sectors[[#Headers],[hasPhysicalImpacts]:[Number of impact years]] )  - doc_tablesList[[#This Row],[id_colIndex]] + 1 )</f>
        <v>10, 11, 12, 13, 14</v>
      </c>
      <c r="N4" s="38" t="s">
        <v>161</v>
      </c>
    </row>
    <row r="5" spans="1:14" x14ac:dyDescent="0.25">
      <c r="B5" s="4">
        <f xml:space="preserve"> ROW( doc_tablesList[[#This Row],[ID]] ) - ROW(doc_tablesList[[#Headers],[ID]] )</f>
        <v>2</v>
      </c>
      <c r="C5" s="7" t="s">
        <v>74</v>
      </c>
      <c r="D5" s="21">
        <v>1</v>
      </c>
      <c r="E5" s="7" t="s">
        <v>115</v>
      </c>
      <c r="F5" s="21" t="str">
        <f t="shared" ref="F5:F8" si="1" xml:space="preserve"> "row_id"</f>
        <v>row_id</v>
      </c>
      <c r="G5" s="25" cm="1">
        <f t="array" aca="1" ref="G5" ca="1" xml:space="preserve"> INDEX( ROW( INDIRECT( _xlfn.TEXTJOIN( "", , doc_tablesList[[#This Row],[Table Name]], "[[#Headers],[", doc_tablesList[[#This Row],[ID_columnName]], "]]" ) ) ), 1 )</f>
        <v>27</v>
      </c>
      <c r="H5" s="25">
        <f ca="1" xml:space="preserve"> MAX( INDIRECT( _xlfn.TEXTJOIN( "", , doc_tablesList[[#This Row],[Table Name]], "[", doc_tablesList[[#This Row],[ID_columnName]], "]" ) ) )</f>
        <v>3</v>
      </c>
      <c r="I5" s="25">
        <f ca="1" xml:space="preserve"> doc_tablesList[[#This Row],[Number of Data Rows]] + doc_tablesList[[#This Row],[Header Row]]</f>
        <v>30</v>
      </c>
      <c r="J5" s="25" cm="1">
        <f t="array" aca="1" ref="J5" ca="1" xml:space="preserve"> INDEX( COLUMN( INDIRECT( doc_tablesList[[#This Row],[Table Name]] &amp; "[" &amp; doc_tablesList[[#This Row],[ID_columnName]] &amp; "]" ) ), 1 )</f>
        <v>2</v>
      </c>
      <c r="K5" s="25" cm="1">
        <f t="array" aca="1" ref="K5" ca="1" xml:space="preserve"> MAX( COLUMN( INDIRECT( doc_tablesList[[#This Row],[Table Name]] ) ) )</f>
        <v>16</v>
      </c>
      <c r="L5" s="25">
        <f ca="1" xml:space="preserve"> doc_tablesList[[#This Row],[last_colIndex]] - doc_tablesList[[#This Row],[id_colIndex]] + 1</f>
        <v>15</v>
      </c>
      <c r="M5" s="39"/>
      <c r="N5" s="38" t="s">
        <v>100</v>
      </c>
    </row>
    <row r="6" spans="1:14" x14ac:dyDescent="0.25">
      <c r="B6" s="4">
        <f xml:space="preserve"> ROW( doc_tablesList[[#This Row],[ID]] ) - ROW(doc_tablesList[[#Headers],[ID]] )</f>
        <v>3</v>
      </c>
      <c r="C6" s="7" t="s">
        <v>75</v>
      </c>
      <c r="D6" s="21">
        <v>1</v>
      </c>
      <c r="E6" s="7" t="s">
        <v>115</v>
      </c>
      <c r="F6" s="21" t="str">
        <f t="shared" si="1"/>
        <v>row_id</v>
      </c>
      <c r="G6" s="25" cm="1">
        <f t="array" aca="1" ref="G6" ca="1" xml:space="preserve"> INDEX( ROW( INDIRECT( _xlfn.TEXTJOIN( "", , doc_tablesList[[#This Row],[Table Name]], "[[#Headers],[", doc_tablesList[[#This Row],[ID_columnName]], "]]" ) ) ), 1 )</f>
        <v>36</v>
      </c>
      <c r="H6" s="25">
        <f ca="1" xml:space="preserve"> MAX( INDIRECT( _xlfn.TEXTJOIN( "", , doc_tablesList[[#This Row],[Table Name]], "[", doc_tablesList[[#This Row],[ID_columnName]], "]" ) ) )</f>
        <v>4</v>
      </c>
      <c r="I6" s="25">
        <f ca="1" xml:space="preserve"> doc_tablesList[[#This Row],[Number of Data Rows]] + doc_tablesList[[#This Row],[Header Row]]</f>
        <v>40</v>
      </c>
      <c r="J6" s="25" cm="1">
        <f t="array" aca="1" ref="J6" ca="1" xml:space="preserve"> INDEX( COLUMN( INDIRECT( doc_tablesList[[#This Row],[Table Name]] &amp; "[" &amp; doc_tablesList[[#This Row],[ID_columnName]] &amp; "]" ) ), 1 )</f>
        <v>2</v>
      </c>
      <c r="K6" s="25" cm="1">
        <f t="array" aca="1" ref="K6" ca="1" xml:space="preserve"> MAX( COLUMN( INDIRECT( doc_tablesList[[#This Row],[Table Name]] ) ) )</f>
        <v>10</v>
      </c>
      <c r="L6" s="25">
        <f ca="1" xml:space="preserve"> doc_tablesList[[#This Row],[last_colIndex]] - doc_tablesList[[#This Row],[id_colIndex]] + 1</f>
        <v>9</v>
      </c>
      <c r="M6" s="39"/>
      <c r="N6" s="38" t="s">
        <v>101</v>
      </c>
    </row>
    <row r="7" spans="1:14" x14ac:dyDescent="0.25">
      <c r="B7" s="4">
        <f xml:space="preserve"> ROW( doc_tablesList[[#This Row],[ID]] ) - ROW(doc_tablesList[[#Headers],[ID]] )</f>
        <v>4</v>
      </c>
      <c r="C7" s="7" t="s">
        <v>31</v>
      </c>
      <c r="D7" s="21">
        <v>1</v>
      </c>
      <c r="E7" s="7" t="s">
        <v>115</v>
      </c>
      <c r="F7" s="21" t="str">
        <f t="shared" si="1"/>
        <v>row_id</v>
      </c>
      <c r="G7" s="25" cm="1">
        <f t="array" aca="1" ref="G7" ca="1" xml:space="preserve"> INDEX( ROW( INDIRECT( _xlfn.TEXTJOIN( "", , doc_tablesList[[#This Row],[Table Name]], "[[#Headers],[", doc_tablesList[[#This Row],[ID_columnName]], "]]" ) ) ), 1 )</f>
        <v>80</v>
      </c>
      <c r="H7" s="25">
        <f ca="1" xml:space="preserve"> MAX( INDIRECT( _xlfn.TEXTJOIN( "", , doc_tablesList[[#This Row],[Table Name]], "[", doc_tablesList[[#This Row],[ID_columnName]], "]" ) ) )</f>
        <v>9</v>
      </c>
      <c r="I7" s="25">
        <f ca="1" xml:space="preserve"> doc_tablesList[[#This Row],[Number of Data Rows]] + doc_tablesList[[#This Row],[Header Row]]</f>
        <v>89</v>
      </c>
      <c r="J7" s="25" cm="1">
        <f t="array" aca="1" ref="J7" ca="1" xml:space="preserve"> INDEX( COLUMN( INDIRECT( doc_tablesList[[#This Row],[Table Name]] &amp; "[" &amp; doc_tablesList[[#This Row],[ID_columnName]] &amp; "]" ) ), 1 )</f>
        <v>2</v>
      </c>
      <c r="K7" s="25" cm="1">
        <f t="array" aca="1" ref="K7" ca="1" xml:space="preserve"> MAX( COLUMN( INDIRECT( doc_tablesList[[#This Row],[Table Name]] ) ) )</f>
        <v>5</v>
      </c>
      <c r="L7" s="25">
        <f ca="1" xml:space="preserve"> doc_tablesList[[#This Row],[last_colIndex]] - doc_tablesList[[#This Row],[id_colIndex]] + 1</f>
        <v>4</v>
      </c>
      <c r="M7" s="39"/>
      <c r="N7" s="38" t="s">
        <v>102</v>
      </c>
    </row>
    <row r="8" spans="1:14" x14ac:dyDescent="0.25">
      <c r="B8" s="4">
        <f xml:space="preserve"> ROW( doc_tablesList[[#This Row],[ID]] ) - ROW(doc_tablesList[[#Headers],[ID]] )</f>
        <v>5</v>
      </c>
      <c r="C8" s="7" t="s">
        <v>113</v>
      </c>
      <c r="D8" s="21">
        <v>1</v>
      </c>
      <c r="E8" s="7" t="s">
        <v>115</v>
      </c>
      <c r="F8" s="21" t="str">
        <f t="shared" si="1"/>
        <v>row_id</v>
      </c>
      <c r="G8" s="25" cm="1">
        <f t="array" aca="1" ref="G8" ca="1" xml:space="preserve"> INDEX( ROW( INDIRECT( _xlfn.TEXTJOIN( "", , doc_tablesList[[#This Row],[Table Name]], "[[#Headers],[", doc_tablesList[[#This Row],[ID_columnName]], "]]" ) ) ), 1 )</f>
        <v>58</v>
      </c>
      <c r="H8" s="25">
        <f ca="1" xml:space="preserve"> MAX( INDIRECT( _xlfn.TEXTJOIN( "", , doc_tablesList[[#This Row],[Table Name]], "[", doc_tablesList[[#This Row],[ID_columnName]], "]" ) ) )</f>
        <v>7</v>
      </c>
      <c r="I8" s="25">
        <f ca="1" xml:space="preserve"> doc_tablesList[[#This Row],[Number of Data Rows]] + doc_tablesList[[#This Row],[Header Row]]</f>
        <v>65</v>
      </c>
      <c r="J8" s="25" cm="1">
        <f t="array" aca="1" ref="J8" ca="1" xml:space="preserve"> INDEX( COLUMN( INDIRECT( doc_tablesList[[#This Row],[Table Name]] &amp; "[" &amp; doc_tablesList[[#This Row],[ID_columnName]] &amp; "]" ) ), 1 )</f>
        <v>2</v>
      </c>
      <c r="K8" s="25" cm="1">
        <f t="array" aca="1" ref="K8" ca="1" xml:space="preserve"> MAX( COLUMN( INDIRECT( doc_tablesList[[#This Row],[Table Name]] ) ) )</f>
        <v>6</v>
      </c>
      <c r="L8" s="25">
        <f ca="1" xml:space="preserve"> doc_tablesList[[#This Row],[last_colIndex]] - doc_tablesList[[#This Row],[id_colIndex]] + 1</f>
        <v>5</v>
      </c>
      <c r="M8" s="39"/>
      <c r="N8" s="38" t="s">
        <v>103</v>
      </c>
    </row>
    <row r="9" spans="1:14" x14ac:dyDescent="0.25">
      <c r="B9" s="4">
        <f xml:space="preserve"> ROW( doc_tablesList[[#This Row],[ID]] ) - ROW(doc_tablesList[[#Headers],[ID]] )</f>
        <v>6</v>
      </c>
      <c r="C9" s="7" t="s">
        <v>86</v>
      </c>
      <c r="D9" s="21">
        <v>1</v>
      </c>
      <c r="E9" s="7" t="s">
        <v>115</v>
      </c>
      <c r="F9" s="21" t="str">
        <f t="shared" ref="F9:F12" si="2" xml:space="preserve"> "row_id"</f>
        <v>row_id</v>
      </c>
      <c r="G9" s="25" cm="1">
        <f t="array" aca="1" ref="G9" ca="1" xml:space="preserve"> INDEX( ROW( INDIRECT( _xlfn.TEXTJOIN( "", , doc_tablesList[[#This Row],[Table Name]], "[[#Headers],[", doc_tablesList[[#This Row],[ID_columnName]], "]]" ) ) ), 1 )</f>
        <v>45</v>
      </c>
      <c r="H9" s="25">
        <f ca="1" xml:space="preserve"> MAX( INDIRECT( _xlfn.TEXTJOIN( "", , doc_tablesList[[#This Row],[Table Name]], "[", doc_tablesList[[#This Row],[ID_columnName]], "]" ) ) )</f>
        <v>1</v>
      </c>
      <c r="I9" s="25">
        <f ca="1" xml:space="preserve"> doc_tablesList[[#This Row],[Number of Data Rows]] + doc_tablesList[[#This Row],[Header Row]]</f>
        <v>46</v>
      </c>
      <c r="J9" s="25" cm="1">
        <f t="array" aca="1" ref="J9" ca="1" xml:space="preserve"> INDEX( COLUMN( INDIRECT( doc_tablesList[[#This Row],[Table Name]] &amp; "[" &amp; doc_tablesList[[#This Row],[ID_columnName]] &amp; "]" ) ), 1 )</f>
        <v>2</v>
      </c>
      <c r="K9" s="25" cm="1">
        <f t="array" aca="1" ref="K9" ca="1" xml:space="preserve"> MAX( COLUMN( INDIRECT( doc_tablesList[[#This Row],[Table Name]] ) ) )</f>
        <v>5</v>
      </c>
      <c r="L9" s="25">
        <f ca="1" xml:space="preserve"> doc_tablesList[[#This Row],[last_colIndex]] - doc_tablesList[[#This Row],[id_colIndex]] + 1</f>
        <v>4</v>
      </c>
      <c r="M9" s="39" t="str">
        <f ca="1" xml:space="preserve"> _xlfn.TEXTJOIN( ", ", , COLUMN( co_econMultipliers[[#Headers],[valueYear]] )  - doc_tablesList[[#This Row],[id_colIndex]] + 1 )</f>
        <v>4</v>
      </c>
      <c r="N9" s="38" t="s">
        <v>104</v>
      </c>
    </row>
    <row r="10" spans="1:14" x14ac:dyDescent="0.25">
      <c r="B10" s="4">
        <f xml:space="preserve"> ROW( doc_tablesList[[#This Row],[ID]] ) - ROW(doc_tablesList[[#Headers],[ID]] )</f>
        <v>7</v>
      </c>
      <c r="C10" s="7" t="s">
        <v>114</v>
      </c>
      <c r="D10" s="21">
        <v>1</v>
      </c>
      <c r="E10" s="7" t="s">
        <v>115</v>
      </c>
      <c r="F10" s="21" t="str">
        <f t="shared" si="2"/>
        <v>row_id</v>
      </c>
      <c r="G10" s="25" cm="1">
        <f t="array" aca="1" ref="G10" ca="1" xml:space="preserve"> INDEX( ROW( INDIRECT( _xlfn.TEXTJOIN( "", , doc_tablesList[[#This Row],[Table Name]], "[[#Headers],[", doc_tablesList[[#This Row],[ID_columnName]], "]]" ) ) ), 1 )</f>
        <v>52</v>
      </c>
      <c r="H10" s="25">
        <f ca="1" xml:space="preserve"> MAX( INDIRECT( _xlfn.TEXTJOIN( "", , doc_tablesList[[#This Row],[Table Name]], "[", doc_tablesList[[#This Row],[ID_columnName]], "]" ) ) )</f>
        <v>1</v>
      </c>
      <c r="I10" s="25">
        <f ca="1" xml:space="preserve"> doc_tablesList[[#This Row],[Number of Data Rows]] + doc_tablesList[[#This Row],[Header Row]]</f>
        <v>53</v>
      </c>
      <c r="J10" s="25" cm="1">
        <f t="array" aca="1" ref="J10" ca="1" xml:space="preserve"> INDEX( COLUMN( INDIRECT( doc_tablesList[[#This Row],[Table Name]] &amp; "[" &amp; doc_tablesList[[#This Row],[ID_columnName]] &amp; "]" ) ), 1 )</f>
        <v>2</v>
      </c>
      <c r="K10" s="25" cm="1">
        <f t="array" aca="1" ref="K10" ca="1" xml:space="preserve"> MAX( COLUMN( INDIRECT( doc_tablesList[[#This Row],[Table Name]] ) ) )</f>
        <v>11</v>
      </c>
      <c r="L10" s="25">
        <f ca="1" xml:space="preserve"> doc_tablesList[[#This Row],[last_colIndex]] - doc_tablesList[[#This Row],[id_colIndex]] + 1</f>
        <v>10</v>
      </c>
      <c r="M10" s="39"/>
      <c r="N10" s="38" t="s">
        <v>120</v>
      </c>
    </row>
    <row r="11" spans="1:14" x14ac:dyDescent="0.25">
      <c r="B11" s="4">
        <f xml:space="preserve"> ROW( doc_tablesList[[#This Row],[ID]] ) - ROW(doc_tablesList[[#Headers],[ID]] )</f>
        <v>8</v>
      </c>
      <c r="C11" s="7" t="s">
        <v>271</v>
      </c>
      <c r="D11" s="21">
        <v>1</v>
      </c>
      <c r="E11" s="7" t="s">
        <v>115</v>
      </c>
      <c r="F11" s="21" t="str">
        <f t="shared" si="2"/>
        <v>row_id</v>
      </c>
      <c r="G11" s="25" cm="1">
        <f t="array" aca="1" ref="G11" ca="1" xml:space="preserve"> INDEX( ROW( INDIRECT( _xlfn.TEXTJOIN( "", , doc_tablesList[[#This Row],[Table Name]], "[[#Headers],[", doc_tablesList[[#This Row],[ID_columnName]], "]]" ) ) ), 1 )</f>
        <v>70</v>
      </c>
      <c r="H11" s="25">
        <f ca="1" xml:space="preserve"> MAX( INDIRECT( _xlfn.TEXTJOIN( "", , doc_tablesList[[#This Row],[Table Name]], "[", doc_tablesList[[#This Row],[ID_columnName]], "]" ) ) )</f>
        <v>5</v>
      </c>
      <c r="I11" s="25">
        <f ca="1" xml:space="preserve"> doc_tablesList[[#This Row],[Number of Data Rows]] + doc_tablesList[[#This Row],[Header Row]]</f>
        <v>75</v>
      </c>
      <c r="J11" s="25" cm="1">
        <f t="array" aca="1" ref="J11" ca="1" xml:space="preserve"> INDEX( COLUMN( INDIRECT( doc_tablesList[[#This Row],[Table Name]] &amp; "[" &amp; doc_tablesList[[#This Row],[ID_columnName]] &amp; "]" ) ), 1 )</f>
        <v>2</v>
      </c>
      <c r="K11" s="25" cm="1">
        <f t="array" aca="1" ref="K11" ca="1" xml:space="preserve"> MAX( COLUMN( INDIRECT( doc_tablesList[[#This Row],[Table Name]] ) ) )</f>
        <v>10</v>
      </c>
      <c r="L11" s="25">
        <f ca="1" xml:space="preserve"> doc_tablesList[[#This Row],[last_colIndex]] - doc_tablesList[[#This Row],[id_colIndex]] + 1</f>
        <v>9</v>
      </c>
      <c r="M11" s="39"/>
      <c r="N11" s="38" t="s">
        <v>146</v>
      </c>
    </row>
    <row r="12" spans="1:14" x14ac:dyDescent="0.25">
      <c r="B12" s="4">
        <f xml:space="preserve"> ROW( doc_tablesList[[#This Row],[ID]] ) - ROW(doc_tablesList[[#Headers],[ID]] )</f>
        <v>9</v>
      </c>
      <c r="C12" s="7" t="s">
        <v>316</v>
      </c>
      <c r="D12" s="21">
        <v>1</v>
      </c>
      <c r="E12" s="7" t="s">
        <v>115</v>
      </c>
      <c r="F12" s="21" t="str">
        <f t="shared" si="2"/>
        <v>row_id</v>
      </c>
      <c r="G12" s="25" cm="1">
        <f t="array" aca="1" ref="G12" ca="1" xml:space="preserve"> INDEX( ROW( INDIRECT( _xlfn.TEXTJOIN( "", , doc_tablesList[[#This Row],[Table Name]], "[[#Headers],[", doc_tablesList[[#This Row],[ID_columnName]], "]]" ) ) ), 1 )</f>
        <v>151</v>
      </c>
      <c r="H12" s="25">
        <f ca="1" xml:space="preserve"> MAX( INDIRECT( _xlfn.TEXTJOIN( "", , doc_tablesList[[#This Row],[Table Name]], "[", doc_tablesList[[#This Row],[ID_columnName]], "]" ) ) )</f>
        <v>1</v>
      </c>
      <c r="I12" s="25">
        <f ca="1" xml:space="preserve"> doc_tablesList[[#This Row],[Number of Data Rows]] + doc_tablesList[[#This Row],[Header Row]]</f>
        <v>152</v>
      </c>
      <c r="J12" s="25" cm="1">
        <f t="array" aca="1" ref="J12" ca="1" xml:space="preserve"> INDEX( COLUMN( INDIRECT( doc_tablesList[[#This Row],[Table Name]] &amp; "[" &amp; doc_tablesList[[#This Row],[ID_columnName]] &amp; "]" ) ), 1 )</f>
        <v>2</v>
      </c>
      <c r="K12" s="25" cm="1">
        <f t="array" aca="1" ref="K12" ca="1" xml:space="preserve"> MAX( COLUMN( INDIRECT( doc_tablesList[[#This Row],[Table Name]] ) ) )</f>
        <v>7</v>
      </c>
      <c r="L12" s="25">
        <f ca="1" xml:space="preserve"> doc_tablesList[[#This Row],[last_colIndex]] - doc_tablesList[[#This Row],[id_colIndex]] + 1</f>
        <v>6</v>
      </c>
      <c r="M12" s="39"/>
      <c r="N12" s="38" t="s">
        <v>317</v>
      </c>
    </row>
    <row r="13" spans="1:14" x14ac:dyDescent="0.25">
      <c r="B13" s="4">
        <f xml:space="preserve"> ROW( doc_tablesList[[#This Row],[ID]] ) - ROW(doc_tablesList[[#Headers],[ID]] )</f>
        <v>10</v>
      </c>
      <c r="C13" s="7" t="s">
        <v>266</v>
      </c>
      <c r="D13" s="21">
        <v>1</v>
      </c>
      <c r="E13" s="7" t="s">
        <v>115</v>
      </c>
      <c r="F13" s="21" t="str">
        <f xml:space="preserve"> "row_id"</f>
        <v>row_id</v>
      </c>
      <c r="G13" s="25" cm="1">
        <f t="array" aca="1" ref="G13" ca="1" xml:space="preserve"> INDEX( ROW( INDIRECT( _xlfn.TEXTJOIN( "", , doc_tablesList[[#This Row],[Table Name]], "[[#Headers],[", doc_tablesList[[#This Row],[ID_columnName]], "]]" ) ) ), 1 )</f>
        <v>94</v>
      </c>
      <c r="H13" s="25">
        <f ca="1" xml:space="preserve"> MAX( INDIRECT( _xlfn.TEXTJOIN( "", , doc_tablesList[[#This Row],[Table Name]], "[", doc_tablesList[[#This Row],[ID_columnName]], "]" ) ) )</f>
        <v>51</v>
      </c>
      <c r="I13" s="25">
        <f ca="1" xml:space="preserve"> doc_tablesList[[#This Row],[Number of Data Rows]] + doc_tablesList[[#This Row],[Header Row]]</f>
        <v>145</v>
      </c>
      <c r="J13" s="25" cm="1">
        <f t="array" aca="1" ref="J13" ca="1" xml:space="preserve"> INDEX( COLUMN( INDIRECT( doc_tablesList[[#This Row],[Table Name]] &amp; "[" &amp; doc_tablesList[[#This Row],[ID_columnName]] &amp; "]" ) ), 1 )</f>
        <v>2</v>
      </c>
      <c r="K13" s="25" cm="1">
        <f t="array" aca="1" ref="K13" ca="1" xml:space="preserve"> MAX( COLUMN( INDIRECT( doc_tablesList[[#This Row],[Table Name]] ) ) )</f>
        <v>7</v>
      </c>
      <c r="L13" s="25">
        <f ca="1" xml:space="preserve"> doc_tablesList[[#This Row],[last_colIndex]] - doc_tablesList[[#This Row],[id_colIndex]] + 1</f>
        <v>6</v>
      </c>
      <c r="M13" s="39"/>
      <c r="N13" s="38" t="s">
        <v>267</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152"/>
  <sheetViews>
    <sheetView topLeftCell="A116" zoomScaleNormal="100" workbookViewId="0">
      <pane xSplit="3" topLeftCell="D1" activePane="topRight" state="frozen"/>
      <selection pane="topRight" activeCell="B150" sqref="B150"/>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3"/>
      <c r="B1" s="14" t="s">
        <v>126</v>
      </c>
      <c r="C1" s="14"/>
      <c r="D1" s="14"/>
      <c r="E1" s="14"/>
      <c r="F1" s="14"/>
      <c r="G1" s="14"/>
      <c r="H1" s="14"/>
      <c r="I1" s="14"/>
      <c r="J1" s="14"/>
      <c r="K1" s="14"/>
      <c r="L1" s="14"/>
      <c r="M1" s="14"/>
      <c r="N1" s="14"/>
      <c r="O1" s="14"/>
      <c r="P1" s="14"/>
      <c r="Q1" s="14"/>
      <c r="R1" s="14"/>
      <c r="S1" s="14"/>
      <c r="T1" s="14"/>
      <c r="U1" s="14"/>
    </row>
    <row r="2" spans="1:21" x14ac:dyDescent="0.2">
      <c r="C2" s="40" t="str">
        <f ca="1" xml:space="preserve"> OFFSET( INDIRECT( ADDRESS( ROW( co_sectors[[#Headers],[row_id]] ), COLUMN( co_sectors[[#Headers],[row_id]] ), , , ) ), -2, , 1, 1 )</f>
        <v>Sectors Table</v>
      </c>
      <c r="D2" s="2" t="s">
        <v>133</v>
      </c>
    </row>
    <row r="3" spans="1:21" x14ac:dyDescent="0.2">
      <c r="C3" s="40" t="str">
        <f ca="1" xml:space="preserve"> OFFSET( INDIRECT( ADDRESS( ROW( co_impactTypes[[#Headers],[row_id]] ), COLUMN( co_impactTypes[[#Headers],[row_id]] ), , , ) ), -2, , 1, 1 )</f>
        <v>Impact Types</v>
      </c>
      <c r="D3" s="2" t="s">
        <v>134</v>
      </c>
    </row>
    <row r="4" spans="1:21" x14ac:dyDescent="0.2">
      <c r="C4" s="40" t="str">
        <f ca="1" xml:space="preserve"> OFFSET( INDIRECT( ADDRESS( ROW( co_scalarInfo[[#Headers],[row_id]] ), COLUMN( co_scalarInfo[[#Headers],[row_id]] ), , , ) ), -2, , 1, 1 )</f>
        <v>Scalar Information</v>
      </c>
      <c r="D4" s="2" t="s">
        <v>135</v>
      </c>
    </row>
    <row r="5" spans="1:21" x14ac:dyDescent="0.2">
      <c r="C5" s="40" t="str">
        <f ca="1" xml:space="preserve"> OFFSET( INDIRECT( ADDRESS( ROW( co_econMultipliers[[#Headers],[row_id]] ), COLUMN( co_econMultipliers[[#Headers],[row_id]] ), , , ) ), -2, , 1, 1 )</f>
        <v>Economic Multipliers</v>
      </c>
      <c r="D5" s="2" t="s">
        <v>136</v>
      </c>
    </row>
    <row r="6" spans="1:21" x14ac:dyDescent="0.2">
      <c r="C6" s="40" t="str">
        <f ca="1" xml:space="preserve"> OFFSET( INDIRECT( ADDRESS( ROW( co_modelTypes[[#Headers],[row_id]] ), COLUMN( co_modelTypes[[#Headers],[row_id]] ), , , ) ), -2, , 1, 1 )</f>
        <v>Model Types</v>
      </c>
      <c r="D6" s="2" t="s">
        <v>130</v>
      </c>
    </row>
    <row r="7" spans="1:21" x14ac:dyDescent="0.2">
      <c r="C7" s="40" t="str">
        <f ca="1" xml:space="preserve"> OFFSET( INDIRECT( ADDRESS( ROW( co_models[[#Headers],[row_id]] ), COLUMN( co_models[[#Headers],[row_id]] ), , , ) ), -2, , 1, 1 )</f>
        <v>GCM Models &amp; SLR Scenarios</v>
      </c>
      <c r="D7" s="2" t="s">
        <v>131</v>
      </c>
    </row>
    <row r="8" spans="1:21" x14ac:dyDescent="0.2">
      <c r="C8" s="40" t="str">
        <f ca="1" xml:space="preserve"> OFFSET( INDIRECT( ADDRESS( ROW( co_regions[[#Headers],[row_id]] ), COLUMN( co_regions[[#Headers],[row_id]] ), , , ) ), -2, , 1, 1 )</f>
        <v>Regions</v>
      </c>
      <c r="D8" s="2" t="s">
        <v>137</v>
      </c>
    </row>
    <row r="9" spans="1:21" x14ac:dyDescent="0.2">
      <c r="C9" s="40" t="str">
        <f ca="1" xml:space="preserve"> OFFSET( INDIRECT( ADDRESS( ROW( co_inputInfo[[#Headers],[row_id]] ), COLUMN( co_inputInfo[[#Headers],[row_id]] ), , , ) ), -2, , 1, 1 )</f>
        <v>Input Scenario Information</v>
      </c>
      <c r="D9" s="2" t="s">
        <v>147</v>
      </c>
    </row>
    <row r="10" spans="1:21" x14ac:dyDescent="0.2">
      <c r="C10" s="40" t="str">
        <f ca="1" xml:space="preserve"> OFFSET( INDIRECT( ADDRESS( ROW( co_states[[#Headers],[row_id]] ), COLUMN( co_states[[#Headers],[row_id]] ), , , ) ), -2, , 1, 1 )</f>
        <v>States</v>
      </c>
      <c r="D10" s="2" t="s">
        <v>265</v>
      </c>
    </row>
    <row r="11" spans="1:21" x14ac:dyDescent="0.2">
      <c r="C11" s="40" t="str">
        <f ca="1" xml:space="preserve"> OFFSET( INDIRECT( ADDRESS( ROW( co_noxFactor[[#Headers],[row_id]] ), COLUMN( co_noxFactor[[#Headers],[row_id]] ), , , ) ), -2, , 1, 1 )</f>
        <v>NOX Coefficients</v>
      </c>
      <c r="D11" s="2" t="s">
        <v>314</v>
      </c>
    </row>
    <row r="13" spans="1:21" ht="22.5" x14ac:dyDescent="0.2">
      <c r="C13" s="44" t="s">
        <v>125</v>
      </c>
      <c r="D13" s="41" t="s">
        <v>129</v>
      </c>
      <c r="E13" s="42" t="s">
        <v>121</v>
      </c>
      <c r="F13" s="43" t="s">
        <v>124</v>
      </c>
    </row>
    <row r="15" spans="1:21" ht="15" x14ac:dyDescent="0.25">
      <c r="A15" s="13"/>
      <c r="B15" s="14" t="s">
        <v>27</v>
      </c>
      <c r="C15" s="14"/>
      <c r="D15" s="14"/>
      <c r="E15" s="14"/>
      <c r="F15" s="14"/>
      <c r="G15" s="14"/>
      <c r="H15" s="14"/>
      <c r="I15" s="14"/>
      <c r="J15" s="14"/>
      <c r="K15" s="14"/>
      <c r="L15" s="14"/>
      <c r="M15" s="14"/>
      <c r="N15" s="14"/>
      <c r="O15" s="14"/>
      <c r="P15" s="14"/>
      <c r="Q15" s="14"/>
      <c r="R15" s="14"/>
      <c r="S15" s="14"/>
      <c r="T15" s="14"/>
      <c r="U15" s="14"/>
    </row>
    <row r="17" spans="1:21" ht="25.5" x14ac:dyDescent="0.2">
      <c r="B17" s="15" t="s">
        <v>57</v>
      </c>
      <c r="C17" s="16" t="s">
        <v>21</v>
      </c>
      <c r="D17" s="15" t="s">
        <v>36</v>
      </c>
      <c r="E17" s="17" t="s">
        <v>47</v>
      </c>
      <c r="F17" s="17" t="s">
        <v>76</v>
      </c>
      <c r="G17" s="17" t="s">
        <v>162</v>
      </c>
      <c r="H17" s="17" t="s">
        <v>70</v>
      </c>
      <c r="I17" s="17" t="s">
        <v>71</v>
      </c>
      <c r="J17" s="17" t="s">
        <v>132</v>
      </c>
      <c r="K17" s="17" t="s">
        <v>272</v>
      </c>
      <c r="L17" s="17" t="s">
        <v>273</v>
      </c>
      <c r="M17" s="17" t="s">
        <v>163</v>
      </c>
      <c r="N17" s="17" t="s">
        <v>118</v>
      </c>
      <c r="O17" s="17" t="s">
        <v>119</v>
      </c>
    </row>
    <row r="18" spans="1:21" x14ac:dyDescent="0.2">
      <c r="B18" s="75">
        <f xml:space="preserve"> ROW( co_sectors[[#This Row],[row_id]] ) - ROW( co_sectors[[#Headers],[row_id]] )</f>
        <v>1</v>
      </c>
      <c r="C18" s="54" t="s">
        <v>290</v>
      </c>
      <c r="D18" s="19" t="s">
        <v>123</v>
      </c>
      <c r="E18" s="10">
        <v>1</v>
      </c>
      <c r="F18" s="11" t="s">
        <v>69</v>
      </c>
      <c r="G18" s="62" t="e" cm="1">
        <f t="array" aca="1" ref="G18" ca="1" xml:space="preserve"> _xlfn.TEXTJOIN( ", ", 1,
  IF( OFFSET( INDIRECT( ADDRESS( ROW( #REF! ),  COLUMN( #REF! ), , , "controlTables" ) ), 1, 0, MAX( #REF! ), 1 ) = co_sectors[[#This Row],[sector_id]], #REF!, "" )
)</f>
        <v>#REF!</v>
      </c>
      <c r="H18" s="62" t="e">
        <f ca="1" xml:space="preserve"> _xlfn.TEXTJOIN( ", ", 1,
  OFFSET( INDIRECT( ADDRESS( ROW( INDEX( #REF!, MATCH( co_sectors[[#This Row],[sector_id]], #REF!, 0 ) ) ),  COLUMN( #REF! ), , , "controlTables" ) ), 0, 1, 1, 4 )
)</f>
        <v>#REF!</v>
      </c>
      <c r="I18" s="62" t="str" cm="1">
        <f t="array" aca="1" ref="I18" ca="1" xml:space="preserve">  _xlfn.TEXTJOIN( ", ", 1,
  IF( OFFSET( INDIRECT( ADDRESS( ROW( co_impactTypes[[#Headers],[row_id]] ),  COLUMN( co_impactTypes[[#Headers],[sector_id]] ), , , "controlTables" ) ), 1, 0, MAX( co_impactTypes[row_id] ), 1 ) = co_sectors[[#This Row],[sector_id]], co_impactTypes[impactType_label], "" )
)</f>
        <v>Ozone</v>
      </c>
      <c r="J18" s="18" t="e">
        <f ca="1" xml:space="preserve"> IF( co_sectors[[#This Row],[impactYears]] = "NA", 0, 1)</f>
        <v>#REF!</v>
      </c>
      <c r="K18" s="64" t="b" cm="1">
        <f t="array" ref="K18" xml:space="preserve"> SUMPRODUCT( --( co_sectors[[#This Row],[sector_id]] = co_impactTypes[sector_id] ), --IF( co_impactTypes[physicalmeasure] = "N/A", 0, 1) ) &gt;= 1</f>
        <v>1</v>
      </c>
      <c r="L18" s="64" t="b" cm="1">
        <f t="array" ref="L18" xml:space="preserve"> OR( SUMPRODUCT( --( co_sectors[[#This Row],[sector_id]] = co_impactTypes[sector_id] ), --IF( co_impactTypes[c0] &lt;&gt; 0, 1, 0) ) &gt;= 1,
      SUMPRODUCT( --( co_sectors[[#This Row],[sector_id]] = co_impactTypes[sector_id] ), --IF( co_impactTypes[c1] &lt;&gt; 0, 1, 0) ) &gt;= 1 )</f>
        <v>1</v>
      </c>
      <c r="M18" s="64" t="e" cm="1">
        <f t="array" ref="M18" xml:space="preserve"> SUMPRODUCT( --( co_sectors[[#This Row],[sector_id]] = #REF! ) )</f>
        <v>#REF!</v>
      </c>
      <c r="N18" s="64" cm="1">
        <f t="array" ref="N18" xml:space="preserve"> SUMPRODUCT( --( co_sectors[[#This Row],[sector_id]] = co_impactTypes[sector_id] ) )</f>
        <v>1</v>
      </c>
      <c r="O18" s="64" t="e" cm="1">
        <f t="array" ref="O18" xml:space="preserve"> IF( INDEX( #REF!, MATCH( 1, --( co_sectors[[#This Row],[sector_id]] = #REF! ), 0 ) ) = "NA", 1, 2 )</f>
        <v>#REF!</v>
      </c>
    </row>
    <row r="19" spans="1:21" ht="22.5" x14ac:dyDescent="0.2">
      <c r="B19" s="76">
        <f xml:space="preserve"> ROW( co_sectors[[#This Row],[row_id]] ) - ROW( co_sectors[[#Headers],[row_id]] )</f>
        <v>2</v>
      </c>
      <c r="C19" s="69" t="s">
        <v>44</v>
      </c>
      <c r="D19" s="70" t="s">
        <v>288</v>
      </c>
      <c r="E19" s="68">
        <v>1</v>
      </c>
      <c r="F19" s="71"/>
      <c r="G19" s="72" t="e" cm="1">
        <f t="array" aca="1" ref="G19" ca="1" xml:space="preserve"> _xlfn.TEXTJOIN( ", ", 1,
  IF( OFFSET( INDIRECT( ADDRESS( ROW( #REF! ),  COLUMN( #REF! ), , , "controlTables" ) ), 1, 0, MAX( #REF! ), 1 ) = co_sectors[[#This Row],[sector_id]], #REF!, "" )
)</f>
        <v>#REF!</v>
      </c>
      <c r="H19" s="72" t="e">
        <f ca="1" xml:space="preserve"> _xlfn.TEXTJOIN( ", ", 1,
  OFFSET( INDIRECT( ADDRESS( ROW( INDEX( #REF!, MATCH( co_sectors[[#This Row],[sector_id]], #REF!, 0 ) ) ),  COLUMN( #REF! ), , , "controlTables" ) ), 0, 1, 1, 4 )
)</f>
        <v>#REF!</v>
      </c>
      <c r="I19" s="72" t="str" cm="1">
        <f t="array" aca="1" ref="I19" ca="1" xml:space="preserve">  _xlfn.TEXTJOIN( ", ", 1,
  IF( OFFSET( INDIRECT( ADDRESS( ROW( co_impactTypes[[#Headers],[row_id]] ),  COLUMN( co_impactTypes[[#Headers],[sector_id]] ), , , "controlTables" ) ), 1, 0, MAX( co_impactTypes[row_id] ), 1 ) = co_sectors[[#This Row],[sector_id]], co_impactTypes[impactType_label], "" )
)</f>
        <v>PM2.5</v>
      </c>
      <c r="J19" s="73" t="e">
        <f ca="1" xml:space="preserve"> IF( co_sectors[[#This Row],[impactYears]] = "NA", 0, 1)</f>
        <v>#REF!</v>
      </c>
      <c r="K19" s="74" t="b" cm="1">
        <f t="array" ref="K19" xml:space="preserve"> SUMPRODUCT( --( co_sectors[[#This Row],[sector_id]] = co_impactTypes[sector_id] ), --IF( co_impactTypes[physicalmeasure] = "N/A", 0, 1) ) &gt;= 1</f>
        <v>1</v>
      </c>
      <c r="L19" s="74" t="b" cm="1">
        <f t="array" ref="L19" xml:space="preserve"> OR( SUMPRODUCT( --( co_sectors[[#This Row],[sector_id]] = co_impactTypes[sector_id] ), --IF( co_impactTypes[c0] &lt;&gt; 0, 1, 0) ) &gt;= 1,
      SUMPRODUCT( --( co_sectors[[#This Row],[sector_id]] = co_impactTypes[sector_id] ), --IF( co_impactTypes[c1] &lt;&gt; 0, 1, 0) ) &gt;= 1 )</f>
        <v>1</v>
      </c>
      <c r="M19" s="72" t="e" cm="1">
        <f t="array" ref="M19" xml:space="preserve"> SUMPRODUCT( --( co_sectors[[#This Row],[sector_id]] = #REF! ) )</f>
        <v>#REF!</v>
      </c>
      <c r="N19" s="72" cm="1">
        <f t="array" ref="N19" xml:space="preserve"> SUMPRODUCT( --( co_sectors[[#This Row],[sector_id]] = co_impactTypes[sector_id] ) )</f>
        <v>1</v>
      </c>
      <c r="O19" s="72" t="e" cm="1">
        <f t="array" ref="O19" xml:space="preserve"> IF( INDEX( #REF!, MATCH( 1, --( co_sectors[[#This Row],[sector_id]] = #REF! ), 0 ) ) = "NA", 1, 2 )</f>
        <v>#REF!</v>
      </c>
    </row>
    <row r="20" spans="1:21" x14ac:dyDescent="0.2">
      <c r="B20" s="76">
        <f xml:space="preserve"> ROW( co_sectors[[#This Row],[row_id]] ) - ROW( co_sectors[[#Headers],[row_id]] )</f>
        <v>3</v>
      </c>
      <c r="C20" s="69" t="s">
        <v>289</v>
      </c>
      <c r="D20" s="70" t="s">
        <v>289</v>
      </c>
      <c r="E20" s="68">
        <v>1</v>
      </c>
      <c r="F20" s="71"/>
      <c r="G20" s="72" t="e" cm="1">
        <f t="array" aca="1" ref="G20" ca="1" xml:space="preserve"> _xlfn.TEXTJOIN( ", ", 1,
  IF( OFFSET( INDIRECT( ADDRESS( ROW( #REF! ),  COLUMN( #REF! ), , , "controlTables" ) ), 1, 0, MAX( #REF! ), 1 ) = co_sectors[[#This Row],[sector_id]], #REF!, "" )
)</f>
        <v>#REF!</v>
      </c>
      <c r="H20" s="72" t="e">
        <f ca="1" xml:space="preserve"> _xlfn.TEXTJOIN( ", ", 1,
  OFFSET( INDIRECT( ADDRESS( ROW( INDEX( #REF!, MATCH( co_sectors[[#This Row],[sector_id]], #REF!, 0 ) ) ),  COLUMN( #REF! ), , , "controlTables" ) ), 0, 1, 1, 4 )
)</f>
        <v>#REF!</v>
      </c>
      <c r="I20" s="72" t="str" cm="1">
        <f t="array" aca="1" ref="I20" ca="1" xml:space="preserve">  _xlfn.TEXTJOIN( ", ", 1,
  IF( OFFSET( INDIRECT( ADDRESS( ROW( co_impactTypes[[#Headers],[row_id]] ),  COLUMN( co_impactTypes[[#Headers],[sector_id]] ), , , "controlTables" ) ), 1, 0, MAX( co_impactTypes[row_id] ), 1 ) = co_sectors[[#This Row],[sector_id]], co_impactTypes[impactType_label], "" )
)</f>
        <v>0</v>
      </c>
      <c r="J20" s="73" t="e">
        <f ca="1" xml:space="preserve"> IF( co_sectors[[#This Row],[impactYears]] = "NA", 0, 1)</f>
        <v>#REF!</v>
      </c>
      <c r="K20" s="74" t="b" cm="1">
        <f t="array" ref="K20" xml:space="preserve"> SUMPRODUCT( --( co_sectors[[#This Row],[sector_id]] = co_impactTypes[sector_id] ), --IF( co_impactTypes[physicalmeasure] = "N/A", 0, 1) ) &gt;= 1</f>
        <v>1</v>
      </c>
      <c r="L20" s="74" t="b" cm="1">
        <f t="array" ref="L20" xml:space="preserve"> OR( SUMPRODUCT( --( co_sectors[[#This Row],[sector_id]] = co_impactTypes[sector_id] ), --IF( co_impactTypes[c0] &lt;&gt; 0, 1, 0) ) &gt;= 1,
      SUMPRODUCT( --( co_sectors[[#This Row],[sector_id]] = co_impactTypes[sector_id] ), --IF( co_impactTypes[c1] &lt;&gt; 0, 1, 0) ) &gt;= 1 )</f>
        <v>0</v>
      </c>
      <c r="M20" s="72" t="e" cm="1">
        <f t="array" ref="M20" xml:space="preserve"> SUMPRODUCT( --( co_sectors[[#This Row],[sector_id]] = #REF! ) )</f>
        <v>#REF!</v>
      </c>
      <c r="N20" s="72" cm="1">
        <f t="array" ref="N20" xml:space="preserve"> SUMPRODUCT( --( co_sectors[[#This Row],[sector_id]] = co_impactTypes[sector_id] ) )</f>
        <v>1</v>
      </c>
      <c r="O20" s="72" t="e" cm="1">
        <f t="array" ref="O20" xml:space="preserve"> IF( INDEX( #REF!, MATCH( 1, --( co_sectors[[#This Row],[sector_id]] = #REF! ), 0 ) ) = "NA", 1, 2 )</f>
        <v>#REF!</v>
      </c>
    </row>
    <row r="25" spans="1:21" ht="15" x14ac:dyDescent="0.25">
      <c r="A25" s="13"/>
      <c r="B25" s="14" t="s">
        <v>16</v>
      </c>
      <c r="C25" s="14"/>
      <c r="D25" s="14"/>
      <c r="E25" s="14"/>
      <c r="F25" s="14"/>
      <c r="G25" s="14"/>
      <c r="H25" s="14"/>
      <c r="I25" s="14"/>
      <c r="J25" s="14"/>
      <c r="K25" s="14"/>
      <c r="L25" s="14"/>
      <c r="M25" s="14"/>
      <c r="N25" s="14"/>
      <c r="O25" s="14"/>
      <c r="P25" s="14"/>
      <c r="Q25" s="14"/>
      <c r="R25" s="14"/>
      <c r="S25" s="14"/>
      <c r="T25" s="14"/>
      <c r="U25" s="14"/>
    </row>
    <row r="26" spans="1:21" x14ac:dyDescent="0.2">
      <c r="B26" s="3" t="s">
        <v>160</v>
      </c>
    </row>
    <row r="27" spans="1:21" x14ac:dyDescent="0.2">
      <c r="B27" s="23" t="s">
        <v>57</v>
      </c>
      <c r="C27" s="23" t="s">
        <v>21</v>
      </c>
      <c r="D27" s="23" t="s">
        <v>96</v>
      </c>
      <c r="E27" s="24" t="s">
        <v>97</v>
      </c>
      <c r="F27" s="23" t="s">
        <v>98</v>
      </c>
      <c r="G27" s="23" t="s">
        <v>122</v>
      </c>
      <c r="H27" s="23" t="s">
        <v>59</v>
      </c>
      <c r="I27" s="23" t="s">
        <v>60</v>
      </c>
      <c r="J27" s="23" t="s">
        <v>61</v>
      </c>
      <c r="K27" s="23" t="s">
        <v>41</v>
      </c>
      <c r="L27" s="23" t="s">
        <v>85</v>
      </c>
      <c r="M27" s="25" t="s">
        <v>48</v>
      </c>
      <c r="N27" s="25" t="s">
        <v>49</v>
      </c>
      <c r="O27" s="25" t="s">
        <v>50</v>
      </c>
      <c r="P27" s="25" t="s">
        <v>51</v>
      </c>
    </row>
    <row r="28" spans="1:21" x14ac:dyDescent="0.2">
      <c r="B28" s="4">
        <f xml:space="preserve"> ROW( co_impactTypes[[#This Row],[row_id]] ) - ROW(co_impactTypes[[#Headers],[row_id]] )</f>
        <v>1</v>
      </c>
      <c r="C28" s="7" t="s">
        <v>290</v>
      </c>
      <c r="D28" s="22" t="s">
        <v>62</v>
      </c>
      <c r="E28" s="38" t="s">
        <v>45</v>
      </c>
      <c r="F28" s="26" t="s">
        <v>62</v>
      </c>
      <c r="G28" s="22" t="s">
        <v>123</v>
      </c>
      <c r="H28" s="22" t="s">
        <v>40</v>
      </c>
      <c r="I28" s="22" t="s">
        <v>40</v>
      </c>
      <c r="J28" s="22" t="s">
        <v>40</v>
      </c>
      <c r="K28" s="22" t="s">
        <v>40</v>
      </c>
      <c r="L28" s="22" t="s">
        <v>40</v>
      </c>
      <c r="M28" s="21">
        <v>0</v>
      </c>
      <c r="N28" s="21">
        <v>1</v>
      </c>
      <c r="O28" s="21">
        <v>1</v>
      </c>
      <c r="P28" s="27" t="str">
        <f xml:space="preserve"> IF(co_impactTypes[[#This Row],[econMultiplierName]]="None", "N/A", 2010)</f>
        <v>N/A</v>
      </c>
    </row>
    <row r="29" spans="1:21" x14ac:dyDescent="0.2">
      <c r="B29" s="4">
        <f xml:space="preserve"> ROW( co_impactTypes[[#This Row],[row_id]] ) - ROW(co_impactTypes[[#Headers],[row_id]] )</f>
        <v>2</v>
      </c>
      <c r="C29" s="7" t="s">
        <v>44</v>
      </c>
      <c r="D29" s="22" t="s">
        <v>63</v>
      </c>
      <c r="E29" s="38" t="s">
        <v>46</v>
      </c>
      <c r="F29" s="26" t="s">
        <v>63</v>
      </c>
      <c r="G29" s="22" t="s">
        <v>123</v>
      </c>
      <c r="H29" s="22" t="s">
        <v>40</v>
      </c>
      <c r="I29" s="22" t="s">
        <v>40</v>
      </c>
      <c r="J29" s="22" t="s">
        <v>40</v>
      </c>
      <c r="K29" s="22" t="s">
        <v>40</v>
      </c>
      <c r="L29" s="22" t="s">
        <v>40</v>
      </c>
      <c r="M29" s="21">
        <v>0</v>
      </c>
      <c r="N29" s="21">
        <v>1</v>
      </c>
      <c r="O29" s="21">
        <v>1</v>
      </c>
      <c r="P29" s="27" t="str">
        <f xml:space="preserve"> IF(co_impactTypes[[#This Row],[econMultiplierName]]="None", "N/A", 2010)</f>
        <v>N/A</v>
      </c>
    </row>
    <row r="30" spans="1:21" x14ac:dyDescent="0.2">
      <c r="B30" s="77">
        <f xml:space="preserve"> ROW( co_impactTypes[[#This Row],[row_id]] ) - ROW(co_impactTypes[[#Headers],[row_id]] )</f>
        <v>3</v>
      </c>
      <c r="C30" s="79" t="s">
        <v>289</v>
      </c>
      <c r="D30" s="22"/>
      <c r="E30" s="38"/>
      <c r="F30" s="26"/>
      <c r="G30" s="22"/>
      <c r="H30" s="22"/>
      <c r="I30" s="22"/>
      <c r="J30" s="22"/>
      <c r="K30" s="22"/>
      <c r="L30" s="80"/>
      <c r="M30" s="21"/>
      <c r="N30" s="21"/>
      <c r="O30" s="21"/>
      <c r="P30" s="81">
        <f xml:space="preserve"> IF(co_impactTypes[[#This Row],[econMultiplierName]]="None", "N/A", 2010)</f>
        <v>2010</v>
      </c>
    </row>
    <row r="34" spans="1:21" ht="15" x14ac:dyDescent="0.25">
      <c r="A34" s="13"/>
      <c r="B34" s="14" t="s">
        <v>159</v>
      </c>
      <c r="C34" s="14"/>
      <c r="D34" s="14"/>
      <c r="E34" s="14"/>
      <c r="F34" s="14"/>
      <c r="G34" s="14"/>
      <c r="H34" s="14"/>
      <c r="I34" s="14"/>
      <c r="J34" s="14"/>
      <c r="K34" s="14"/>
      <c r="L34" s="14"/>
      <c r="M34" s="14"/>
      <c r="N34" s="14"/>
      <c r="O34" s="14"/>
      <c r="P34" s="14"/>
      <c r="Q34" s="14"/>
      <c r="R34" s="14"/>
      <c r="S34" s="14"/>
      <c r="T34" s="14"/>
      <c r="U34" s="14"/>
    </row>
    <row r="36" spans="1:21" ht="15" x14ac:dyDescent="0.25">
      <c r="B36" s="23" t="s">
        <v>57</v>
      </c>
      <c r="C36" s="23" t="s">
        <v>39</v>
      </c>
      <c r="D36" s="23" t="s">
        <v>38</v>
      </c>
      <c r="E36" s="25" t="s">
        <v>64</v>
      </c>
      <c r="F36" s="25" t="s">
        <v>77</v>
      </c>
      <c r="G36" s="25" t="s">
        <v>78</v>
      </c>
      <c r="H36" s="25" t="s">
        <v>68</v>
      </c>
      <c r="I36" s="25" t="s">
        <v>81</v>
      </c>
      <c r="J36" s="23" t="s">
        <v>72</v>
      </c>
      <c r="Q36" s="5"/>
      <c r="R36" s="5"/>
      <c r="S36" s="5"/>
    </row>
    <row r="37" spans="1:21" ht="15" x14ac:dyDescent="0.25">
      <c r="B37" s="6">
        <f xml:space="preserve"> ROW( co_scalarInfo[[#This Row],[row_id]] ) - ROW( co_scalarInfo[[#Headers],[row_id]] )</f>
        <v>1</v>
      </c>
      <c r="C37" s="26" t="s">
        <v>40</v>
      </c>
      <c r="D37" s="20" t="s">
        <v>83</v>
      </c>
      <c r="E37" s="58" t="s">
        <v>66</v>
      </c>
      <c r="F37" s="58" t="s">
        <v>58</v>
      </c>
      <c r="G37" s="58" t="s">
        <v>79</v>
      </c>
      <c r="H37" s="58" t="s">
        <v>17</v>
      </c>
      <c r="I37" s="39" t="s">
        <v>82</v>
      </c>
      <c r="J37" s="53" t="s">
        <v>84</v>
      </c>
      <c r="Q37"/>
      <c r="R37"/>
      <c r="S37"/>
    </row>
    <row r="38" spans="1:21" x14ac:dyDescent="0.2">
      <c r="B38" s="6">
        <f xml:space="preserve"> ROW( co_scalarInfo[[#This Row],[row_id]] ) - ROW( co_scalarInfo[[#Headers],[row_id]] )</f>
        <v>2</v>
      </c>
      <c r="C38" s="26" t="s">
        <v>40</v>
      </c>
      <c r="D38" s="20" t="s">
        <v>83</v>
      </c>
      <c r="E38" s="58" t="s">
        <v>65</v>
      </c>
      <c r="F38" s="58" t="s">
        <v>58</v>
      </c>
      <c r="G38" s="58" t="s">
        <v>79</v>
      </c>
      <c r="H38" s="58" t="s">
        <v>17</v>
      </c>
      <c r="I38" s="39" t="s">
        <v>82</v>
      </c>
      <c r="J38" s="53" t="s">
        <v>84</v>
      </c>
    </row>
    <row r="39" spans="1:21" x14ac:dyDescent="0.2">
      <c r="B39" s="6">
        <f xml:space="preserve"> ROW( co_scalarInfo[[#This Row],[row_id]] ) - ROW( co_scalarInfo[[#Headers],[row_id]] )</f>
        <v>3</v>
      </c>
      <c r="C39" s="26" t="s">
        <v>40</v>
      </c>
      <c r="D39" s="20" t="s">
        <v>83</v>
      </c>
      <c r="E39" s="58" t="s">
        <v>73</v>
      </c>
      <c r="F39" s="58" t="s">
        <v>58</v>
      </c>
      <c r="G39" s="58" t="s">
        <v>79</v>
      </c>
      <c r="H39" s="58" t="s">
        <v>17</v>
      </c>
      <c r="I39" s="39" t="s">
        <v>82</v>
      </c>
      <c r="J39" s="53" t="s">
        <v>84</v>
      </c>
    </row>
    <row r="40" spans="1:21" x14ac:dyDescent="0.2">
      <c r="B40" s="6">
        <f xml:space="preserve"> ROW( co_scalarInfo[[#This Row],[row_id]] ) - ROW( co_scalarInfo[[#Headers],[row_id]] )</f>
        <v>4</v>
      </c>
      <c r="C40" s="26" t="s">
        <v>40</v>
      </c>
      <c r="D40" s="20" t="s">
        <v>83</v>
      </c>
      <c r="E40" s="58" t="s">
        <v>67</v>
      </c>
      <c r="F40" s="58" t="s">
        <v>58</v>
      </c>
      <c r="G40" s="58" t="s">
        <v>79</v>
      </c>
      <c r="H40" s="58" t="s">
        <v>17</v>
      </c>
      <c r="I40" s="39" t="s">
        <v>82</v>
      </c>
      <c r="J40" s="53" t="s">
        <v>84</v>
      </c>
    </row>
    <row r="43" spans="1:21" ht="15" x14ac:dyDescent="0.25">
      <c r="A43" s="13"/>
      <c r="B43" s="14" t="s">
        <v>128</v>
      </c>
      <c r="C43" s="14"/>
      <c r="D43" s="14"/>
      <c r="E43" s="14"/>
      <c r="F43" s="14"/>
      <c r="G43" s="14"/>
      <c r="H43" s="14"/>
      <c r="I43" s="14"/>
      <c r="J43" s="14"/>
      <c r="K43" s="14"/>
      <c r="L43" s="14"/>
      <c r="M43" s="14"/>
      <c r="N43" s="14"/>
      <c r="O43" s="14"/>
      <c r="P43" s="14"/>
      <c r="Q43" s="14"/>
      <c r="R43" s="14"/>
      <c r="S43" s="14"/>
      <c r="T43" s="14"/>
      <c r="U43" s="14"/>
    </row>
    <row r="45" spans="1:21" x14ac:dyDescent="0.2">
      <c r="B45" s="23" t="s">
        <v>57</v>
      </c>
      <c r="C45" s="23" t="s">
        <v>85</v>
      </c>
      <c r="D45" s="23" t="s">
        <v>105</v>
      </c>
      <c r="E45" s="24" t="s">
        <v>68</v>
      </c>
    </row>
    <row r="46" spans="1:21" x14ac:dyDescent="0.2">
      <c r="B46" s="4">
        <f xml:space="preserve"> ROW( co_econMultipliers[[#This Row],[row_id]] ) - ROW( co_econMultipliers[[#Headers],[row_id]] )</f>
        <v>1</v>
      </c>
      <c r="C46" s="7" t="s">
        <v>40</v>
      </c>
      <c r="D46" s="36" t="s">
        <v>83</v>
      </c>
      <c r="E46" s="37" t="s">
        <v>17</v>
      </c>
    </row>
    <row r="50" spans="1:21" ht="15" x14ac:dyDescent="0.25">
      <c r="A50" s="13"/>
      <c r="B50" s="14" t="s">
        <v>127</v>
      </c>
      <c r="C50" s="14"/>
      <c r="D50" s="14"/>
      <c r="E50" s="14"/>
      <c r="F50" s="14"/>
      <c r="G50" s="14"/>
      <c r="H50" s="14"/>
      <c r="I50" s="14"/>
      <c r="J50" s="14"/>
      <c r="K50" s="14"/>
      <c r="L50" s="14"/>
      <c r="M50" s="14"/>
      <c r="N50" s="14"/>
      <c r="O50" s="14"/>
      <c r="P50" s="14"/>
      <c r="Q50" s="14"/>
      <c r="R50" s="14"/>
      <c r="S50" s="14"/>
      <c r="T50" s="14"/>
      <c r="U50" s="14"/>
    </row>
    <row r="52" spans="1:21" x14ac:dyDescent="0.2">
      <c r="B52" s="29" t="s">
        <v>57</v>
      </c>
      <c r="C52" s="29" t="s">
        <v>108</v>
      </c>
      <c r="D52" s="29" t="s">
        <v>109</v>
      </c>
      <c r="E52" s="31" t="s">
        <v>139</v>
      </c>
      <c r="F52" s="31" t="s">
        <v>110</v>
      </c>
      <c r="G52" s="30" t="s">
        <v>111</v>
      </c>
      <c r="H52" s="30" t="s">
        <v>112</v>
      </c>
      <c r="I52" s="28" t="s">
        <v>117</v>
      </c>
      <c r="J52" s="28" t="s">
        <v>279</v>
      </c>
      <c r="K52" s="28" t="s">
        <v>280</v>
      </c>
    </row>
    <row r="53" spans="1:21" x14ac:dyDescent="0.2">
      <c r="B53" s="4">
        <f xml:space="preserve"> ROW( co_modelTypes[[#This Row],[row_id]] ) - ROW( co_modelTypes[[#Headers],[row_id]] )</f>
        <v>1</v>
      </c>
      <c r="C53" s="7" t="s">
        <v>69</v>
      </c>
      <c r="D53" s="7" t="s">
        <v>107</v>
      </c>
      <c r="E53" s="33" t="s">
        <v>294</v>
      </c>
      <c r="F53" s="33" t="s">
        <v>311</v>
      </c>
      <c r="G53" s="32" t="s">
        <v>312</v>
      </c>
      <c r="H53" s="32" t="s">
        <v>312</v>
      </c>
      <c r="I53" s="34">
        <v>2020</v>
      </c>
      <c r="J53" s="34">
        <v>2020</v>
      </c>
      <c r="K53" s="34">
        <v>2100</v>
      </c>
    </row>
    <row r="56" spans="1:21" ht="15" x14ac:dyDescent="0.25">
      <c r="A56" s="13"/>
      <c r="B56" s="14" t="s">
        <v>269</v>
      </c>
      <c r="C56" s="14"/>
      <c r="D56" s="14"/>
      <c r="E56" s="14"/>
      <c r="F56" s="14"/>
      <c r="G56" s="14"/>
      <c r="H56" s="14"/>
      <c r="I56" s="14"/>
      <c r="J56" s="14"/>
      <c r="K56" s="14"/>
      <c r="L56" s="14"/>
      <c r="M56" s="14"/>
      <c r="N56" s="14"/>
      <c r="O56" s="14"/>
      <c r="P56" s="14"/>
      <c r="Q56" s="14"/>
      <c r="R56" s="14"/>
      <c r="S56" s="14"/>
      <c r="T56" s="14"/>
      <c r="U56" s="14"/>
    </row>
    <row r="58" spans="1:21" x14ac:dyDescent="0.2">
      <c r="B58" s="35" t="s">
        <v>57</v>
      </c>
      <c r="C58" s="23" t="s">
        <v>80</v>
      </c>
      <c r="D58" s="23" t="s">
        <v>268</v>
      </c>
      <c r="E58" s="23" t="s">
        <v>76</v>
      </c>
      <c r="F58" s="24" t="s">
        <v>106</v>
      </c>
    </row>
    <row r="59" spans="1:21" x14ac:dyDescent="0.2">
      <c r="B59" s="4">
        <f xml:space="preserve"> ROW( co_models[[#This Row],[row_id]] ) - ROW( co_models[[#Headers],[row_id]] )</f>
        <v>1</v>
      </c>
      <c r="C59" s="63" t="str">
        <f xml:space="preserve"> SUBSTITUTE( SUBSTITUTE( co_models[[#This Row],[model_label]], " ", "" ), "-", "" )</f>
        <v>CanESM2</v>
      </c>
      <c r="D59" s="36">
        <v>6</v>
      </c>
      <c r="E59" s="36" t="s">
        <v>69</v>
      </c>
      <c r="F59" s="61" t="s">
        <v>0</v>
      </c>
    </row>
    <row r="60" spans="1:21" x14ac:dyDescent="0.2">
      <c r="B60" s="4">
        <f xml:space="preserve"> ROW( co_models[[#This Row],[row_id]] ) - ROW( co_models[[#Headers],[row_id]] )</f>
        <v>2</v>
      </c>
      <c r="C60" s="63" t="str">
        <f xml:space="preserve"> SUBSTITUTE( SUBSTITUTE( co_models[[#This Row],[model_label]], " ", "" ), "-", "" )</f>
        <v>CCSM4</v>
      </c>
      <c r="D60" s="36">
        <v>5</v>
      </c>
      <c r="E60" s="36" t="s">
        <v>69</v>
      </c>
      <c r="F60" s="61" t="s">
        <v>1</v>
      </c>
    </row>
    <row r="61" spans="1:21" x14ac:dyDescent="0.2">
      <c r="B61" s="4">
        <f xml:space="preserve"> ROW( co_models[[#This Row],[row_id]] ) - ROW( co_models[[#Headers],[row_id]] )</f>
        <v>3</v>
      </c>
      <c r="C61" s="63" t="str">
        <f xml:space="preserve"> SUBSTITUTE( SUBSTITUTE( co_models[[#This Row],[model_label]], " ", "" ), "-", "" )</f>
        <v>GISSE2R</v>
      </c>
      <c r="D61" s="36">
        <v>3</v>
      </c>
      <c r="E61" s="36" t="s">
        <v>69</v>
      </c>
      <c r="F61" s="61" t="s">
        <v>2</v>
      </c>
    </row>
    <row r="62" spans="1:21" x14ac:dyDescent="0.2">
      <c r="B62" s="4">
        <f xml:space="preserve"> ROW( co_models[[#This Row],[row_id]] ) - ROW( co_models[[#Headers],[row_id]] )</f>
        <v>4</v>
      </c>
      <c r="C62" s="63" t="str">
        <f xml:space="preserve"> SUBSTITUTE( SUBSTITUTE( co_models[[#This Row],[model_label]], " ", "" ), "-", "" )</f>
        <v>HadGEM2ES</v>
      </c>
      <c r="D62" s="36">
        <v>6</v>
      </c>
      <c r="E62" s="36" t="s">
        <v>69</v>
      </c>
      <c r="F62" s="61" t="s">
        <v>3</v>
      </c>
    </row>
    <row r="63" spans="1:21" x14ac:dyDescent="0.2">
      <c r="B63" s="4">
        <f xml:space="preserve"> ROW( co_models[[#This Row],[row_id]] ) - ROW( co_models[[#Headers],[row_id]] )</f>
        <v>5</v>
      </c>
      <c r="C63" s="63" t="str">
        <f xml:space="preserve"> SUBSTITUTE( SUBSTITUTE( co_models[[#This Row],[model_label]], " ", "" ), "-", "" )</f>
        <v>MIROC5</v>
      </c>
      <c r="D63" s="36">
        <v>5</v>
      </c>
      <c r="E63" s="36" t="s">
        <v>69</v>
      </c>
      <c r="F63" s="61" t="s">
        <v>4</v>
      </c>
    </row>
    <row r="64" spans="1:21" x14ac:dyDescent="0.2">
      <c r="B64" s="4">
        <f xml:space="preserve"> ROW( co_models[[#This Row],[row_id]] ) - ROW( co_models[[#Headers],[row_id]] )</f>
        <v>6</v>
      </c>
      <c r="C64" s="63" t="str">
        <f xml:space="preserve"> SUBSTITUTE( SUBSTITUTE( co_models[[#This Row],[model_label]], " ", "" ), "-", "" )</f>
        <v>GFDLCM3</v>
      </c>
      <c r="D64" s="36">
        <v>6</v>
      </c>
      <c r="E64" s="36" t="s">
        <v>69</v>
      </c>
      <c r="F64" s="61" t="s">
        <v>5</v>
      </c>
    </row>
    <row r="65" spans="1:21" x14ac:dyDescent="0.2">
      <c r="B65" s="4">
        <f xml:space="preserve"> ROW( co_models[[#This Row],[row_id]] ) - ROW( co_models[[#Headers],[row_id]] )</f>
        <v>7</v>
      </c>
      <c r="C65" s="63" t="str">
        <f xml:space="preserve"> SUBSTITUTE( SUBSTITUTE( co_models[[#This Row],[model_label]], " ", "" ), "-", "" )</f>
        <v>MRICGCM3</v>
      </c>
      <c r="D65" s="36">
        <v>3</v>
      </c>
      <c r="E65" s="36" t="s">
        <v>69</v>
      </c>
      <c r="F65" s="61" t="s">
        <v>152</v>
      </c>
    </row>
    <row r="68" spans="1:21" ht="15" x14ac:dyDescent="0.25">
      <c r="A68" s="13"/>
      <c r="B68" s="14" t="s">
        <v>138</v>
      </c>
      <c r="C68" s="14"/>
      <c r="D68" s="14"/>
      <c r="E68" s="14"/>
      <c r="F68" s="14"/>
      <c r="G68" s="14"/>
      <c r="H68" s="14"/>
      <c r="I68" s="14"/>
      <c r="J68" s="14"/>
      <c r="K68" s="14"/>
      <c r="L68" s="14"/>
      <c r="M68" s="14"/>
      <c r="N68" s="14"/>
      <c r="O68" s="14"/>
      <c r="P68" s="14"/>
      <c r="Q68" s="14"/>
      <c r="R68" s="14"/>
      <c r="S68" s="14"/>
      <c r="T68" s="14"/>
      <c r="U68" s="14"/>
    </row>
    <row r="70" spans="1:21" x14ac:dyDescent="0.2">
      <c r="B70" s="23" t="s">
        <v>57</v>
      </c>
      <c r="C70" s="23" t="s">
        <v>139</v>
      </c>
      <c r="D70" s="23" t="s">
        <v>140</v>
      </c>
      <c r="E70" s="23" t="s">
        <v>142</v>
      </c>
      <c r="F70" s="25" t="s">
        <v>141</v>
      </c>
      <c r="G70" s="25" t="s">
        <v>143</v>
      </c>
      <c r="H70" s="25" t="s">
        <v>144</v>
      </c>
      <c r="I70" s="25" t="s">
        <v>145</v>
      </c>
      <c r="J70" s="25" t="s">
        <v>20</v>
      </c>
    </row>
    <row r="71" spans="1:21" x14ac:dyDescent="0.2">
      <c r="B71" s="4">
        <f xml:space="preserve"> ROW( co_inputInfo[[#This Row],[row_id]] ) - ROW( co_inputInfo[[#Headers],[row_id]] )</f>
        <v>1</v>
      </c>
      <c r="C71" s="7" t="s">
        <v>291</v>
      </c>
      <c r="D71" s="36" t="s">
        <v>294</v>
      </c>
      <c r="E71" s="36" t="s">
        <v>296</v>
      </c>
      <c r="F71" s="21" t="s">
        <v>298</v>
      </c>
      <c r="G71" s="21"/>
      <c r="H71" s="21"/>
      <c r="I71" s="21" t="s">
        <v>303</v>
      </c>
      <c r="J71" s="21">
        <v>0</v>
      </c>
    </row>
    <row r="72" spans="1:21" x14ac:dyDescent="0.2">
      <c r="B72" s="4">
        <f xml:space="preserve"> ROW( co_inputInfo[[#This Row],[row_id]] ) - ROW( co_inputInfo[[#Headers],[row_id]] )</f>
        <v>2</v>
      </c>
      <c r="C72" s="7" t="s">
        <v>281</v>
      </c>
      <c r="D72" s="36" t="s">
        <v>281</v>
      </c>
      <c r="E72" s="36" t="s">
        <v>297</v>
      </c>
      <c r="F72" s="21" t="s">
        <v>299</v>
      </c>
      <c r="G72" s="21"/>
      <c r="H72" s="21"/>
      <c r="I72" s="21" t="s">
        <v>305</v>
      </c>
      <c r="J72" s="21">
        <v>0</v>
      </c>
    </row>
    <row r="73" spans="1:21" x14ac:dyDescent="0.2">
      <c r="B73" s="4">
        <f xml:space="preserve"> ROW( co_inputInfo[[#This Row],[row_id]] ) - ROW( co_inputInfo[[#Headers],[row_id]] )</f>
        <v>3</v>
      </c>
      <c r="C73" s="7" t="s">
        <v>292</v>
      </c>
      <c r="D73" s="36" t="s">
        <v>295</v>
      </c>
      <c r="E73" s="36" t="s">
        <v>62</v>
      </c>
      <c r="F73" s="21" t="s">
        <v>300</v>
      </c>
      <c r="G73" s="21"/>
      <c r="H73" s="78" t="str">
        <f xml:space="preserve"> IF( ISNA( MATCH( co_inputInfo[[#This Row],[inputType]], co_modelTypes[inputName], 0 ) ), "", INDEX( #REF!, MATCH( co_inputInfo[[#This Row],[inputType]], co_modelTypes[inputName], 0 ) ) )</f>
        <v/>
      </c>
      <c r="I73" s="21" t="s">
        <v>304</v>
      </c>
      <c r="J73" s="21">
        <v>1</v>
      </c>
    </row>
    <row r="74" spans="1:21" x14ac:dyDescent="0.2">
      <c r="B74" s="4">
        <f xml:space="preserve"> ROW( co_inputInfo[[#This Row],[row_id]] ) - ROW( co_inputInfo[[#Headers],[row_id]] )</f>
        <v>4</v>
      </c>
      <c r="C74" s="7" t="s">
        <v>293</v>
      </c>
      <c r="D74" s="36" t="s">
        <v>293</v>
      </c>
      <c r="E74" s="36" t="s">
        <v>302</v>
      </c>
      <c r="F74" s="21" t="s">
        <v>301</v>
      </c>
      <c r="G74" s="21">
        <v>0</v>
      </c>
      <c r="H74" s="78" t="str">
        <f xml:space="preserve"> IF( ISNA( MATCH( co_inputInfo[[#This Row],[inputType]], co_modelTypes[inputName], 0 ) ), "", INDEX( #REF!, MATCH( co_inputInfo[[#This Row],[inputType]], co_modelTypes[inputName], 0 ) ) )</f>
        <v/>
      </c>
      <c r="I74" s="21" t="s">
        <v>306</v>
      </c>
      <c r="J74" s="21">
        <v>0</v>
      </c>
    </row>
    <row r="75" spans="1:21" x14ac:dyDescent="0.2">
      <c r="B75" s="4">
        <f xml:space="preserve"> ROW( co_inputInfo[[#This Row],[row_id]] ) - ROW( co_inputInfo[[#Headers],[row_id]] )</f>
        <v>5</v>
      </c>
      <c r="C75" s="7" t="s">
        <v>307</v>
      </c>
      <c r="D75" s="36" t="s">
        <v>308</v>
      </c>
      <c r="E75" s="36" t="s">
        <v>309</v>
      </c>
      <c r="F75" s="21" t="s">
        <v>310</v>
      </c>
      <c r="G75" s="21">
        <v>0</v>
      </c>
      <c r="H75" s="78" t="str">
        <f xml:space="preserve"> IF( ISNA( MATCH( co_inputInfo[[#This Row],[inputType]], co_modelTypes[inputName], 0 ) ), "", INDEX( #REF!, MATCH( co_inputInfo[[#This Row],[inputType]], co_modelTypes[inputName], 0 ) ) )</f>
        <v/>
      </c>
      <c r="I75" s="21" t="s">
        <v>307</v>
      </c>
      <c r="J75" s="21">
        <v>1</v>
      </c>
    </row>
    <row r="78" spans="1:21" ht="15" x14ac:dyDescent="0.25">
      <c r="A78" s="13"/>
      <c r="B78" s="14" t="s">
        <v>24</v>
      </c>
      <c r="C78" s="14"/>
      <c r="D78" s="14"/>
      <c r="E78" s="14"/>
      <c r="F78" s="14"/>
      <c r="G78" s="14"/>
      <c r="H78" s="14"/>
      <c r="I78" s="14"/>
      <c r="J78" s="14"/>
      <c r="K78" s="14"/>
      <c r="L78" s="14"/>
      <c r="M78" s="14"/>
      <c r="N78" s="14"/>
      <c r="O78" s="14"/>
      <c r="P78" s="14"/>
      <c r="Q78" s="14"/>
      <c r="R78" s="14"/>
      <c r="S78" s="14"/>
      <c r="T78" s="14"/>
      <c r="U78" s="14"/>
    </row>
    <row r="80" spans="1:21" x14ac:dyDescent="0.2">
      <c r="B80" s="35" t="s">
        <v>57</v>
      </c>
      <c r="C80" s="23" t="s">
        <v>25</v>
      </c>
      <c r="D80" s="24" t="s">
        <v>270</v>
      </c>
      <c r="E80" s="23" t="s">
        <v>313</v>
      </c>
    </row>
    <row r="81" spans="1:21" x14ac:dyDescent="0.2">
      <c r="B81" s="66">
        <f xml:space="preserve"> ROW( co_regions[[#This Row],[row_id]] ) - ROW( co_regions[[#Headers],[row_id]] )</f>
        <v>1</v>
      </c>
      <c r="C81" s="36" t="s">
        <v>274</v>
      </c>
      <c r="D81" s="67" t="str">
        <f xml:space="preserve"> SUBSTITUTE( co_regions[[#This Row],[region_label]], " ", "" )</f>
        <v>Alaska</v>
      </c>
      <c r="E81" s="36" t="s">
        <v>274</v>
      </c>
    </row>
    <row r="82" spans="1:21" x14ac:dyDescent="0.2">
      <c r="B82" s="66">
        <f xml:space="preserve"> ROW( co_regions[[#This Row],[row_id]] ) - ROW( co_regions[[#Headers],[row_id]] )</f>
        <v>2</v>
      </c>
      <c r="C82" s="36" t="s">
        <v>276</v>
      </c>
      <c r="D82" s="67" t="str">
        <f xml:space="preserve"> SUBSTITUTE( co_regions[[#This Row],[region_label]], " ", "" )</f>
        <v>Hawaii</v>
      </c>
      <c r="E82" s="36" t="s">
        <v>276</v>
      </c>
    </row>
    <row r="83" spans="1:21" x14ac:dyDescent="0.2">
      <c r="B83" s="4">
        <f xml:space="preserve"> ROW( co_regions[[#This Row],[row_id]] ) - ROW( co_regions[[#Headers],[row_id]] )</f>
        <v>3</v>
      </c>
      <c r="C83" s="36" t="s">
        <v>6</v>
      </c>
      <c r="D83" s="24" t="str">
        <f xml:space="preserve"> SUBSTITUTE( co_regions[[#This Row],[region_label]], " ", "" )</f>
        <v>Midwest</v>
      </c>
      <c r="E83" s="36" t="s">
        <v>278</v>
      </c>
    </row>
    <row r="84" spans="1:21" x14ac:dyDescent="0.2">
      <c r="B84" s="4">
        <f xml:space="preserve"> ROW( co_regions[[#This Row],[row_id]] ) - ROW( co_regions[[#Headers],[row_id]] )</f>
        <v>4</v>
      </c>
      <c r="C84" s="36" t="s">
        <v>7</v>
      </c>
      <c r="D84" s="24" t="str">
        <f xml:space="preserve"> SUBSTITUTE( co_regions[[#This Row],[region_label]], " ", "" )</f>
        <v>Northeast</v>
      </c>
      <c r="E84" s="36" t="s">
        <v>278</v>
      </c>
    </row>
    <row r="85" spans="1:21" x14ac:dyDescent="0.2">
      <c r="B85" s="4">
        <f xml:space="preserve"> ROW( co_regions[[#This Row],[row_id]] ) - ROW( co_regions[[#Headers],[row_id]] )</f>
        <v>5</v>
      </c>
      <c r="C85" s="36" t="s">
        <v>8</v>
      </c>
      <c r="D85" s="24" t="str">
        <f xml:space="preserve"> SUBSTITUTE( co_regions[[#This Row],[region_label]], " ", "" )</f>
        <v>NorthernPlains</v>
      </c>
      <c r="E85" s="36" t="s">
        <v>278</v>
      </c>
    </row>
    <row r="86" spans="1:21" x14ac:dyDescent="0.2">
      <c r="B86" s="4">
        <f xml:space="preserve"> ROW( co_regions[[#This Row],[row_id]] ) - ROW( co_regions[[#Headers],[row_id]] )</f>
        <v>6</v>
      </c>
      <c r="C86" s="36" t="s">
        <v>9</v>
      </c>
      <c r="D86" s="24" t="str">
        <f xml:space="preserve"> SUBSTITUTE( co_regions[[#This Row],[region_label]], " ", "" )</f>
        <v>Northwest</v>
      </c>
      <c r="E86" s="36" t="s">
        <v>278</v>
      </c>
    </row>
    <row r="87" spans="1:21" x14ac:dyDescent="0.2">
      <c r="B87" s="4">
        <f xml:space="preserve"> ROW( co_regions[[#This Row],[row_id]] ) - ROW( co_regions[[#Headers],[row_id]] )</f>
        <v>7</v>
      </c>
      <c r="C87" s="36" t="s">
        <v>10</v>
      </c>
      <c r="D87" s="24" t="str">
        <f xml:space="preserve"> SUBSTITUTE( co_regions[[#This Row],[region_label]], " ", "" )</f>
        <v>Southeast</v>
      </c>
      <c r="E87" s="36" t="s">
        <v>278</v>
      </c>
    </row>
    <row r="88" spans="1:21" x14ac:dyDescent="0.2">
      <c r="B88" s="4">
        <f xml:space="preserve"> ROW( co_regions[[#This Row],[row_id]] ) - ROW( co_regions[[#Headers],[row_id]] )</f>
        <v>8</v>
      </c>
      <c r="C88" s="36" t="s">
        <v>11</v>
      </c>
      <c r="D88" s="24" t="str">
        <f xml:space="preserve"> SUBSTITUTE( co_regions[[#This Row],[region_label]], " ", "" )</f>
        <v>SouthernPlains</v>
      </c>
      <c r="E88" s="36" t="s">
        <v>278</v>
      </c>
    </row>
    <row r="89" spans="1:21" x14ac:dyDescent="0.2">
      <c r="B89" s="4">
        <f xml:space="preserve"> ROW( co_regions[[#This Row],[row_id]] ) - ROW( co_regions[[#Headers],[row_id]] )</f>
        <v>9</v>
      </c>
      <c r="C89" s="36" t="s">
        <v>12</v>
      </c>
      <c r="D89" s="24" t="str">
        <f xml:space="preserve"> SUBSTITUTE( co_regions[[#This Row],[region_label]], " ", "" )</f>
        <v>Southwest</v>
      </c>
      <c r="E89" s="36" t="s">
        <v>278</v>
      </c>
    </row>
    <row r="92" spans="1:21" ht="15" x14ac:dyDescent="0.25">
      <c r="A92" s="13"/>
      <c r="B92" s="14" t="s">
        <v>164</v>
      </c>
      <c r="C92" s="14"/>
      <c r="D92" s="14"/>
      <c r="E92" s="14"/>
      <c r="F92" s="14"/>
      <c r="G92" s="14"/>
      <c r="H92" s="14"/>
      <c r="I92" s="14"/>
      <c r="J92" s="14"/>
      <c r="K92" s="14"/>
      <c r="L92" s="14"/>
      <c r="M92" s="14"/>
      <c r="N92" s="14"/>
      <c r="O92" s="14"/>
      <c r="P92" s="14"/>
      <c r="Q92" s="14"/>
      <c r="R92" s="14"/>
      <c r="S92" s="14"/>
      <c r="T92" s="14"/>
      <c r="U92" s="14"/>
    </row>
    <row r="94" spans="1:21" x14ac:dyDescent="0.2">
      <c r="B94" s="2" t="s">
        <v>57</v>
      </c>
      <c r="C94" s="2" t="s">
        <v>165</v>
      </c>
      <c r="D94" s="2" t="s">
        <v>166</v>
      </c>
      <c r="E94" s="2" t="s">
        <v>20</v>
      </c>
      <c r="F94" s="9" t="s">
        <v>167</v>
      </c>
      <c r="G94" s="2" t="s">
        <v>313</v>
      </c>
    </row>
    <row r="95" spans="1:21" x14ac:dyDescent="0.2">
      <c r="B95" s="2">
        <f xml:space="preserve"> ROW( co_states[[#This Row],[row_id]] ) - ROW( co_states[[#Headers],[row_id]] )</f>
        <v>1</v>
      </c>
      <c r="C95" s="59" t="s">
        <v>168</v>
      </c>
      <c r="D95" s="59" t="s">
        <v>169</v>
      </c>
      <c r="E95" s="59" t="s">
        <v>10</v>
      </c>
      <c r="F95" s="60">
        <v>1</v>
      </c>
      <c r="G95" s="59" t="str">
        <f xml:space="preserve"> INDEX( co_regions[us_area], MATCH( co_states[[#This Row],[region]], co_regions[region_label], 0 ) )</f>
        <v>CONUS</v>
      </c>
    </row>
    <row r="96" spans="1:21" x14ac:dyDescent="0.2">
      <c r="B96" s="65">
        <f xml:space="preserve"> ROW( co_states[[#This Row],[row_id]] ) - ROW( co_states[[#Headers],[row_id]] )</f>
        <v>2</v>
      </c>
      <c r="C96" s="59" t="s">
        <v>274</v>
      </c>
      <c r="D96" s="59" t="s">
        <v>275</v>
      </c>
      <c r="E96" s="59" t="s">
        <v>274</v>
      </c>
      <c r="F96" s="60">
        <v>2</v>
      </c>
      <c r="G96" s="59" t="str">
        <f xml:space="preserve"> INDEX( co_regions[us_area], MATCH( co_states[[#This Row],[region]], co_regions[region_label], 0 ) )</f>
        <v>Alaska</v>
      </c>
    </row>
    <row r="97" spans="2:7" x14ac:dyDescent="0.2">
      <c r="B97" s="2">
        <f xml:space="preserve"> ROW( co_states[[#This Row],[row_id]] ) - ROW( co_states[[#Headers],[row_id]] )</f>
        <v>3</v>
      </c>
      <c r="C97" s="59" t="s">
        <v>170</v>
      </c>
      <c r="D97" s="59" t="s">
        <v>171</v>
      </c>
      <c r="E97" s="59" t="s">
        <v>12</v>
      </c>
      <c r="F97" s="60">
        <v>4</v>
      </c>
      <c r="G97" s="59" t="str">
        <f xml:space="preserve"> INDEX( co_regions[us_area], MATCH( co_states[[#This Row],[region]], co_regions[region_label], 0 ) )</f>
        <v>CONUS</v>
      </c>
    </row>
    <row r="98" spans="2:7" x14ac:dyDescent="0.2">
      <c r="B98" s="2">
        <f xml:space="preserve"> ROW( co_states[[#This Row],[row_id]] ) - ROW( co_states[[#Headers],[row_id]] )</f>
        <v>4</v>
      </c>
      <c r="C98" s="59" t="s">
        <v>172</v>
      </c>
      <c r="D98" s="59" t="s">
        <v>173</v>
      </c>
      <c r="E98" s="59" t="s">
        <v>10</v>
      </c>
      <c r="F98" s="60">
        <v>5</v>
      </c>
      <c r="G98" s="59" t="str">
        <f xml:space="preserve"> INDEX( co_regions[us_area], MATCH( co_states[[#This Row],[region]], co_regions[region_label], 0 ) )</f>
        <v>CONUS</v>
      </c>
    </row>
    <row r="99" spans="2:7" x14ac:dyDescent="0.2">
      <c r="B99" s="2">
        <f xml:space="preserve"> ROW( co_states[[#This Row],[row_id]] ) - ROW( co_states[[#Headers],[row_id]] )</f>
        <v>5</v>
      </c>
      <c r="C99" s="59" t="s">
        <v>174</v>
      </c>
      <c r="D99" s="59" t="s">
        <v>175</v>
      </c>
      <c r="E99" s="59" t="s">
        <v>12</v>
      </c>
      <c r="F99" s="60">
        <v>6</v>
      </c>
      <c r="G99" s="59" t="str">
        <f xml:space="preserve"> INDEX( co_regions[us_area], MATCH( co_states[[#This Row],[region]], co_regions[region_label], 0 ) )</f>
        <v>CONUS</v>
      </c>
    </row>
    <row r="100" spans="2:7" x14ac:dyDescent="0.2">
      <c r="B100" s="2">
        <f xml:space="preserve"> ROW( co_states[[#This Row],[row_id]] ) - ROW( co_states[[#Headers],[row_id]] )</f>
        <v>6</v>
      </c>
      <c r="C100" s="59" t="s">
        <v>176</v>
      </c>
      <c r="D100" s="59" t="s">
        <v>177</v>
      </c>
      <c r="E100" s="59" t="s">
        <v>12</v>
      </c>
      <c r="F100" s="60">
        <v>8</v>
      </c>
      <c r="G100" s="59" t="str">
        <f xml:space="preserve"> INDEX( co_regions[us_area], MATCH( co_states[[#This Row],[region]], co_regions[region_label], 0 ) )</f>
        <v>CONUS</v>
      </c>
    </row>
    <row r="101" spans="2:7" x14ac:dyDescent="0.2">
      <c r="B101" s="2">
        <f xml:space="preserve"> ROW( co_states[[#This Row],[row_id]] ) - ROW( co_states[[#Headers],[row_id]] )</f>
        <v>7</v>
      </c>
      <c r="C101" s="59" t="s">
        <v>178</v>
      </c>
      <c r="D101" s="59" t="s">
        <v>179</v>
      </c>
      <c r="E101" s="59" t="s">
        <v>7</v>
      </c>
      <c r="F101" s="60">
        <v>9</v>
      </c>
      <c r="G101" s="59" t="str">
        <f xml:space="preserve"> INDEX( co_regions[us_area], MATCH( co_states[[#This Row],[region]], co_regions[region_label], 0 ) )</f>
        <v>CONUS</v>
      </c>
    </row>
    <row r="102" spans="2:7" x14ac:dyDescent="0.2">
      <c r="B102" s="2">
        <f xml:space="preserve"> ROW( co_states[[#This Row],[row_id]] ) - ROW( co_states[[#Headers],[row_id]] )</f>
        <v>8</v>
      </c>
      <c r="C102" s="59" t="s">
        <v>180</v>
      </c>
      <c r="D102" s="59" t="s">
        <v>181</v>
      </c>
      <c r="E102" s="59" t="s">
        <v>7</v>
      </c>
      <c r="F102" s="60">
        <v>10</v>
      </c>
      <c r="G102" s="59" t="str">
        <f xml:space="preserve"> INDEX( co_regions[us_area], MATCH( co_states[[#This Row],[region]], co_regions[region_label], 0 ) )</f>
        <v>CONUS</v>
      </c>
    </row>
    <row r="103" spans="2:7" x14ac:dyDescent="0.2">
      <c r="B103" s="2">
        <f xml:space="preserve"> ROW( co_states[[#This Row],[row_id]] ) - ROW( co_states[[#Headers],[row_id]] )</f>
        <v>9</v>
      </c>
      <c r="C103" s="59" t="s">
        <v>182</v>
      </c>
      <c r="D103" s="59" t="s">
        <v>183</v>
      </c>
      <c r="E103" s="59" t="s">
        <v>7</v>
      </c>
      <c r="F103" s="60">
        <v>11</v>
      </c>
      <c r="G103" s="59" t="str">
        <f xml:space="preserve"> INDEX( co_regions[us_area], MATCH( co_states[[#This Row],[region]], co_regions[region_label], 0 ) )</f>
        <v>CONUS</v>
      </c>
    </row>
    <row r="104" spans="2:7" x14ac:dyDescent="0.2">
      <c r="B104" s="2">
        <f xml:space="preserve"> ROW( co_states[[#This Row],[row_id]] ) - ROW( co_states[[#Headers],[row_id]] )</f>
        <v>10</v>
      </c>
      <c r="C104" s="59" t="s">
        <v>184</v>
      </c>
      <c r="D104" s="59" t="s">
        <v>185</v>
      </c>
      <c r="E104" s="59" t="s">
        <v>10</v>
      </c>
      <c r="F104" s="60">
        <v>12</v>
      </c>
      <c r="G104" s="59" t="str">
        <f xml:space="preserve"> INDEX( co_regions[us_area], MATCH( co_states[[#This Row],[region]], co_regions[region_label], 0 ) )</f>
        <v>CONUS</v>
      </c>
    </row>
    <row r="105" spans="2:7" x14ac:dyDescent="0.2">
      <c r="B105" s="2">
        <f xml:space="preserve"> ROW( co_states[[#This Row],[row_id]] ) - ROW( co_states[[#Headers],[row_id]] )</f>
        <v>11</v>
      </c>
      <c r="C105" s="59" t="s">
        <v>186</v>
      </c>
      <c r="D105" s="59" t="s">
        <v>187</v>
      </c>
      <c r="E105" s="59" t="s">
        <v>10</v>
      </c>
      <c r="F105" s="60">
        <v>13</v>
      </c>
      <c r="G105" s="59" t="str">
        <f xml:space="preserve"> INDEX( co_regions[us_area], MATCH( co_states[[#This Row],[region]], co_regions[region_label], 0 ) )</f>
        <v>CONUS</v>
      </c>
    </row>
    <row r="106" spans="2:7" x14ac:dyDescent="0.2">
      <c r="B106" s="65">
        <f xml:space="preserve"> ROW( co_states[[#This Row],[row_id]] ) - ROW( co_states[[#Headers],[row_id]] )</f>
        <v>12</v>
      </c>
      <c r="C106" s="59" t="s">
        <v>276</v>
      </c>
      <c r="D106" s="59" t="s">
        <v>277</v>
      </c>
      <c r="E106" s="59" t="s">
        <v>276</v>
      </c>
      <c r="F106" s="60">
        <v>15</v>
      </c>
      <c r="G106" s="59" t="str">
        <f xml:space="preserve"> INDEX( co_regions[us_area], MATCH( co_states[[#This Row],[region]], co_regions[region_label], 0 ) )</f>
        <v>Hawaii</v>
      </c>
    </row>
    <row r="107" spans="2:7" x14ac:dyDescent="0.2">
      <c r="B107" s="2">
        <f xml:space="preserve"> ROW( co_states[[#This Row],[row_id]] ) - ROW( co_states[[#Headers],[row_id]] )</f>
        <v>13</v>
      </c>
      <c r="C107" s="59" t="s">
        <v>188</v>
      </c>
      <c r="D107" s="59" t="s">
        <v>19</v>
      </c>
      <c r="E107" s="59" t="s">
        <v>9</v>
      </c>
      <c r="F107" s="60">
        <v>16</v>
      </c>
      <c r="G107" s="59" t="str">
        <f xml:space="preserve"> INDEX( co_regions[us_area], MATCH( co_states[[#This Row],[region]], co_regions[region_label], 0 ) )</f>
        <v>CONUS</v>
      </c>
    </row>
    <row r="108" spans="2:7" x14ac:dyDescent="0.2">
      <c r="B108" s="2">
        <f xml:space="preserve"> ROW( co_states[[#This Row],[row_id]] ) - ROW( co_states[[#Headers],[row_id]] )</f>
        <v>14</v>
      </c>
      <c r="C108" s="59" t="s">
        <v>189</v>
      </c>
      <c r="D108" s="59" t="s">
        <v>190</v>
      </c>
      <c r="E108" s="59" t="s">
        <v>6</v>
      </c>
      <c r="F108" s="60">
        <v>17</v>
      </c>
      <c r="G108" s="59" t="str">
        <f xml:space="preserve"> INDEX( co_regions[us_area], MATCH( co_states[[#This Row],[region]], co_regions[region_label], 0 ) )</f>
        <v>CONUS</v>
      </c>
    </row>
    <row r="109" spans="2:7" x14ac:dyDescent="0.2">
      <c r="B109" s="2">
        <f xml:space="preserve"> ROW( co_states[[#This Row],[row_id]] ) - ROW( co_states[[#Headers],[row_id]] )</f>
        <v>15</v>
      </c>
      <c r="C109" s="59" t="s">
        <v>191</v>
      </c>
      <c r="D109" s="59" t="s">
        <v>192</v>
      </c>
      <c r="E109" s="59" t="s">
        <v>6</v>
      </c>
      <c r="F109" s="60">
        <v>18</v>
      </c>
      <c r="G109" s="59" t="str">
        <f xml:space="preserve"> INDEX( co_regions[us_area], MATCH( co_states[[#This Row],[region]], co_regions[region_label], 0 ) )</f>
        <v>CONUS</v>
      </c>
    </row>
    <row r="110" spans="2:7" x14ac:dyDescent="0.2">
      <c r="B110" s="2">
        <f xml:space="preserve"> ROW( co_states[[#This Row],[row_id]] ) - ROW( co_states[[#Headers],[row_id]] )</f>
        <v>16</v>
      </c>
      <c r="C110" s="59" t="s">
        <v>193</v>
      </c>
      <c r="D110" s="59" t="s">
        <v>194</v>
      </c>
      <c r="E110" s="59" t="s">
        <v>6</v>
      </c>
      <c r="F110" s="60">
        <v>19</v>
      </c>
      <c r="G110" s="59" t="str">
        <f xml:space="preserve"> INDEX( co_regions[us_area], MATCH( co_states[[#This Row],[region]], co_regions[region_label], 0 ) )</f>
        <v>CONUS</v>
      </c>
    </row>
    <row r="111" spans="2:7" x14ac:dyDescent="0.2">
      <c r="B111" s="2">
        <f xml:space="preserve"> ROW( co_states[[#This Row],[row_id]] ) - ROW( co_states[[#Headers],[row_id]] )</f>
        <v>17</v>
      </c>
      <c r="C111" s="59" t="s">
        <v>195</v>
      </c>
      <c r="D111" s="59" t="s">
        <v>196</v>
      </c>
      <c r="E111" s="59" t="s">
        <v>11</v>
      </c>
      <c r="F111" s="60">
        <v>20</v>
      </c>
      <c r="G111" s="59" t="str">
        <f xml:space="preserve"> INDEX( co_regions[us_area], MATCH( co_states[[#This Row],[region]], co_regions[region_label], 0 ) )</f>
        <v>CONUS</v>
      </c>
    </row>
    <row r="112" spans="2:7" x14ac:dyDescent="0.2">
      <c r="B112" s="2">
        <f xml:space="preserve"> ROW( co_states[[#This Row],[row_id]] ) - ROW( co_states[[#Headers],[row_id]] )</f>
        <v>18</v>
      </c>
      <c r="C112" s="59" t="s">
        <v>197</v>
      </c>
      <c r="D112" s="59" t="s">
        <v>198</v>
      </c>
      <c r="E112" s="59" t="s">
        <v>10</v>
      </c>
      <c r="F112" s="60">
        <v>21</v>
      </c>
      <c r="G112" s="59" t="str">
        <f xml:space="preserve"> INDEX( co_regions[us_area], MATCH( co_states[[#This Row],[region]], co_regions[region_label], 0 ) )</f>
        <v>CONUS</v>
      </c>
    </row>
    <row r="113" spans="2:7" x14ac:dyDescent="0.2">
      <c r="B113" s="2">
        <f xml:space="preserve"> ROW( co_states[[#This Row],[row_id]] ) - ROW( co_states[[#Headers],[row_id]] )</f>
        <v>19</v>
      </c>
      <c r="C113" s="59" t="s">
        <v>199</v>
      </c>
      <c r="D113" s="59" t="s">
        <v>200</v>
      </c>
      <c r="E113" s="59" t="s">
        <v>10</v>
      </c>
      <c r="F113" s="60">
        <v>22</v>
      </c>
      <c r="G113" s="59" t="str">
        <f xml:space="preserve"> INDEX( co_regions[us_area], MATCH( co_states[[#This Row],[region]], co_regions[region_label], 0 ) )</f>
        <v>CONUS</v>
      </c>
    </row>
    <row r="114" spans="2:7" x14ac:dyDescent="0.2">
      <c r="B114" s="2">
        <f xml:space="preserve"> ROW( co_states[[#This Row],[row_id]] ) - ROW( co_states[[#Headers],[row_id]] )</f>
        <v>20</v>
      </c>
      <c r="C114" s="59" t="s">
        <v>201</v>
      </c>
      <c r="D114" s="59" t="s">
        <v>202</v>
      </c>
      <c r="E114" s="59" t="s">
        <v>7</v>
      </c>
      <c r="F114" s="60">
        <v>23</v>
      </c>
      <c r="G114" s="59" t="str">
        <f xml:space="preserve"> INDEX( co_regions[us_area], MATCH( co_states[[#This Row],[region]], co_regions[region_label], 0 ) )</f>
        <v>CONUS</v>
      </c>
    </row>
    <row r="115" spans="2:7" x14ac:dyDescent="0.2">
      <c r="B115" s="2">
        <f xml:space="preserve"> ROW( co_states[[#This Row],[row_id]] ) - ROW( co_states[[#Headers],[row_id]] )</f>
        <v>21</v>
      </c>
      <c r="C115" s="59" t="s">
        <v>203</v>
      </c>
      <c r="D115" s="59" t="s">
        <v>204</v>
      </c>
      <c r="E115" s="59" t="s">
        <v>7</v>
      </c>
      <c r="F115" s="60">
        <v>24</v>
      </c>
      <c r="G115" s="59" t="str">
        <f xml:space="preserve"> INDEX( co_regions[us_area], MATCH( co_states[[#This Row],[region]], co_regions[region_label], 0 ) )</f>
        <v>CONUS</v>
      </c>
    </row>
    <row r="116" spans="2:7" x14ac:dyDescent="0.2">
      <c r="B116" s="2">
        <f xml:space="preserve"> ROW( co_states[[#This Row],[row_id]] ) - ROW( co_states[[#Headers],[row_id]] )</f>
        <v>22</v>
      </c>
      <c r="C116" s="59" t="s">
        <v>205</v>
      </c>
      <c r="D116" s="59" t="s">
        <v>206</v>
      </c>
      <c r="E116" s="59" t="s">
        <v>7</v>
      </c>
      <c r="F116" s="60">
        <v>25</v>
      </c>
      <c r="G116" s="59" t="str">
        <f xml:space="preserve"> INDEX( co_regions[us_area], MATCH( co_states[[#This Row],[region]], co_regions[region_label], 0 ) )</f>
        <v>CONUS</v>
      </c>
    </row>
    <row r="117" spans="2:7" x14ac:dyDescent="0.2">
      <c r="B117" s="2">
        <f xml:space="preserve"> ROW( co_states[[#This Row],[row_id]] ) - ROW( co_states[[#Headers],[row_id]] )</f>
        <v>23</v>
      </c>
      <c r="C117" s="59" t="s">
        <v>207</v>
      </c>
      <c r="D117" s="59" t="s">
        <v>208</v>
      </c>
      <c r="E117" s="59" t="s">
        <v>6</v>
      </c>
      <c r="F117" s="60">
        <v>26</v>
      </c>
      <c r="G117" s="59" t="str">
        <f xml:space="preserve"> INDEX( co_regions[us_area], MATCH( co_states[[#This Row],[region]], co_regions[region_label], 0 ) )</f>
        <v>CONUS</v>
      </c>
    </row>
    <row r="118" spans="2:7" x14ac:dyDescent="0.2">
      <c r="B118" s="2">
        <f xml:space="preserve"> ROW( co_states[[#This Row],[row_id]] ) - ROW( co_states[[#Headers],[row_id]] )</f>
        <v>24</v>
      </c>
      <c r="C118" s="59" t="s">
        <v>209</v>
      </c>
      <c r="D118" s="59" t="s">
        <v>210</v>
      </c>
      <c r="E118" s="59" t="s">
        <v>6</v>
      </c>
      <c r="F118" s="60">
        <v>27</v>
      </c>
      <c r="G118" s="59" t="str">
        <f xml:space="preserve"> INDEX( co_regions[us_area], MATCH( co_states[[#This Row],[region]], co_regions[region_label], 0 ) )</f>
        <v>CONUS</v>
      </c>
    </row>
    <row r="119" spans="2:7" x14ac:dyDescent="0.2">
      <c r="B119" s="2">
        <f xml:space="preserve"> ROW( co_states[[#This Row],[row_id]] ) - ROW( co_states[[#Headers],[row_id]] )</f>
        <v>25</v>
      </c>
      <c r="C119" s="59" t="s">
        <v>211</v>
      </c>
      <c r="D119" s="59" t="s">
        <v>212</v>
      </c>
      <c r="E119" s="59" t="s">
        <v>10</v>
      </c>
      <c r="F119" s="60">
        <v>28</v>
      </c>
      <c r="G119" s="59" t="str">
        <f xml:space="preserve"> INDEX( co_regions[us_area], MATCH( co_states[[#This Row],[region]], co_regions[region_label], 0 ) )</f>
        <v>CONUS</v>
      </c>
    </row>
    <row r="120" spans="2:7" x14ac:dyDescent="0.2">
      <c r="B120" s="2">
        <f xml:space="preserve"> ROW( co_states[[#This Row],[row_id]] ) - ROW( co_states[[#Headers],[row_id]] )</f>
        <v>26</v>
      </c>
      <c r="C120" s="59" t="s">
        <v>213</v>
      </c>
      <c r="D120" s="59" t="s">
        <v>214</v>
      </c>
      <c r="E120" s="59" t="s">
        <v>6</v>
      </c>
      <c r="F120" s="60">
        <v>29</v>
      </c>
      <c r="G120" s="59" t="str">
        <f xml:space="preserve"> INDEX( co_regions[us_area], MATCH( co_states[[#This Row],[region]], co_regions[region_label], 0 ) )</f>
        <v>CONUS</v>
      </c>
    </row>
    <row r="121" spans="2:7" x14ac:dyDescent="0.2">
      <c r="B121" s="2">
        <f xml:space="preserve"> ROW( co_states[[#This Row],[row_id]] ) - ROW( co_states[[#Headers],[row_id]] )</f>
        <v>27</v>
      </c>
      <c r="C121" s="59" t="s">
        <v>215</v>
      </c>
      <c r="D121" s="59" t="s">
        <v>216</v>
      </c>
      <c r="E121" s="59" t="s">
        <v>8</v>
      </c>
      <c r="F121" s="60">
        <v>30</v>
      </c>
      <c r="G121" s="59" t="str">
        <f xml:space="preserve"> INDEX( co_regions[us_area], MATCH( co_states[[#This Row],[region]], co_regions[region_label], 0 ) )</f>
        <v>CONUS</v>
      </c>
    </row>
    <row r="122" spans="2:7" x14ac:dyDescent="0.2">
      <c r="B122" s="2">
        <f xml:space="preserve"> ROW( co_states[[#This Row],[row_id]] ) - ROW( co_states[[#Headers],[row_id]] )</f>
        <v>28</v>
      </c>
      <c r="C122" s="59" t="s">
        <v>217</v>
      </c>
      <c r="D122" s="59" t="s">
        <v>218</v>
      </c>
      <c r="E122" s="59" t="s">
        <v>8</v>
      </c>
      <c r="F122" s="60">
        <v>31</v>
      </c>
      <c r="G122" s="59" t="str">
        <f xml:space="preserve"> INDEX( co_regions[us_area], MATCH( co_states[[#This Row],[region]], co_regions[region_label], 0 ) )</f>
        <v>CONUS</v>
      </c>
    </row>
    <row r="123" spans="2:7" x14ac:dyDescent="0.2">
      <c r="B123" s="2">
        <f xml:space="preserve"> ROW( co_states[[#This Row],[row_id]] ) - ROW( co_states[[#Headers],[row_id]] )</f>
        <v>29</v>
      </c>
      <c r="C123" s="59" t="s">
        <v>219</v>
      </c>
      <c r="D123" s="59" t="s">
        <v>220</v>
      </c>
      <c r="E123" s="59" t="s">
        <v>12</v>
      </c>
      <c r="F123" s="60">
        <v>32</v>
      </c>
      <c r="G123" s="59" t="str">
        <f xml:space="preserve"> INDEX( co_regions[us_area], MATCH( co_states[[#This Row],[region]], co_regions[region_label], 0 ) )</f>
        <v>CONUS</v>
      </c>
    </row>
    <row r="124" spans="2:7" x14ac:dyDescent="0.2">
      <c r="B124" s="2">
        <f xml:space="preserve"> ROW( co_states[[#This Row],[row_id]] ) - ROW( co_states[[#Headers],[row_id]] )</f>
        <v>30</v>
      </c>
      <c r="C124" s="59" t="s">
        <v>221</v>
      </c>
      <c r="D124" s="59" t="s">
        <v>222</v>
      </c>
      <c r="E124" s="59" t="s">
        <v>7</v>
      </c>
      <c r="F124" s="60">
        <v>33</v>
      </c>
      <c r="G124" s="59" t="str">
        <f xml:space="preserve"> INDEX( co_regions[us_area], MATCH( co_states[[#This Row],[region]], co_regions[region_label], 0 ) )</f>
        <v>CONUS</v>
      </c>
    </row>
    <row r="125" spans="2:7" x14ac:dyDescent="0.2">
      <c r="B125" s="2">
        <f xml:space="preserve"> ROW( co_states[[#This Row],[row_id]] ) - ROW( co_states[[#Headers],[row_id]] )</f>
        <v>31</v>
      </c>
      <c r="C125" s="59" t="s">
        <v>223</v>
      </c>
      <c r="D125" s="59" t="s">
        <v>224</v>
      </c>
      <c r="E125" s="59" t="s">
        <v>7</v>
      </c>
      <c r="F125" s="60">
        <v>34</v>
      </c>
      <c r="G125" s="59" t="str">
        <f xml:space="preserve"> INDEX( co_regions[us_area], MATCH( co_states[[#This Row],[region]], co_regions[region_label], 0 ) )</f>
        <v>CONUS</v>
      </c>
    </row>
    <row r="126" spans="2:7" x14ac:dyDescent="0.2">
      <c r="B126" s="2">
        <f xml:space="preserve"> ROW( co_states[[#This Row],[row_id]] ) - ROW( co_states[[#Headers],[row_id]] )</f>
        <v>32</v>
      </c>
      <c r="C126" s="59" t="s">
        <v>225</v>
      </c>
      <c r="D126" s="59" t="s">
        <v>226</v>
      </c>
      <c r="E126" s="59" t="s">
        <v>12</v>
      </c>
      <c r="F126" s="60">
        <v>35</v>
      </c>
      <c r="G126" s="59" t="str">
        <f xml:space="preserve"> INDEX( co_regions[us_area], MATCH( co_states[[#This Row],[region]], co_regions[region_label], 0 ) )</f>
        <v>CONUS</v>
      </c>
    </row>
    <row r="127" spans="2:7" x14ac:dyDescent="0.2">
      <c r="B127" s="2">
        <f xml:space="preserve"> ROW( co_states[[#This Row],[row_id]] ) - ROW( co_states[[#Headers],[row_id]] )</f>
        <v>33</v>
      </c>
      <c r="C127" s="59" t="s">
        <v>227</v>
      </c>
      <c r="D127" s="59" t="s">
        <v>228</v>
      </c>
      <c r="E127" s="59" t="s">
        <v>7</v>
      </c>
      <c r="F127" s="60">
        <v>36</v>
      </c>
      <c r="G127" s="59" t="str">
        <f xml:space="preserve"> INDEX( co_regions[us_area], MATCH( co_states[[#This Row],[region]], co_regions[region_label], 0 ) )</f>
        <v>CONUS</v>
      </c>
    </row>
    <row r="128" spans="2:7" x14ac:dyDescent="0.2">
      <c r="B128" s="2">
        <f xml:space="preserve"> ROW( co_states[[#This Row],[row_id]] ) - ROW( co_states[[#Headers],[row_id]] )</f>
        <v>34</v>
      </c>
      <c r="C128" s="59" t="s">
        <v>229</v>
      </c>
      <c r="D128" s="59" t="s">
        <v>230</v>
      </c>
      <c r="E128" s="59" t="s">
        <v>10</v>
      </c>
      <c r="F128" s="60">
        <v>37</v>
      </c>
      <c r="G128" s="59" t="str">
        <f xml:space="preserve"> INDEX( co_regions[us_area], MATCH( co_states[[#This Row],[region]], co_regions[region_label], 0 ) )</f>
        <v>CONUS</v>
      </c>
    </row>
    <row r="129" spans="2:7" x14ac:dyDescent="0.2">
      <c r="B129" s="2">
        <f xml:space="preserve"> ROW( co_states[[#This Row],[row_id]] ) - ROW( co_states[[#Headers],[row_id]] )</f>
        <v>35</v>
      </c>
      <c r="C129" s="59" t="s">
        <v>231</v>
      </c>
      <c r="D129" s="59" t="s">
        <v>232</v>
      </c>
      <c r="E129" s="59" t="s">
        <v>8</v>
      </c>
      <c r="F129" s="60">
        <v>38</v>
      </c>
      <c r="G129" s="59" t="str">
        <f xml:space="preserve"> INDEX( co_regions[us_area], MATCH( co_states[[#This Row],[region]], co_regions[region_label], 0 ) )</f>
        <v>CONUS</v>
      </c>
    </row>
    <row r="130" spans="2:7" x14ac:dyDescent="0.2">
      <c r="B130" s="2">
        <f xml:space="preserve"> ROW( co_states[[#This Row],[row_id]] ) - ROW( co_states[[#Headers],[row_id]] )</f>
        <v>36</v>
      </c>
      <c r="C130" s="59" t="s">
        <v>233</v>
      </c>
      <c r="D130" s="59" t="s">
        <v>234</v>
      </c>
      <c r="E130" s="59" t="s">
        <v>6</v>
      </c>
      <c r="F130" s="60">
        <v>39</v>
      </c>
      <c r="G130" s="59" t="str">
        <f xml:space="preserve"> INDEX( co_regions[us_area], MATCH( co_states[[#This Row],[region]], co_regions[region_label], 0 ) )</f>
        <v>CONUS</v>
      </c>
    </row>
    <row r="131" spans="2:7" x14ac:dyDescent="0.2">
      <c r="B131" s="2">
        <f xml:space="preserve"> ROW( co_states[[#This Row],[row_id]] ) - ROW( co_states[[#Headers],[row_id]] )</f>
        <v>37</v>
      </c>
      <c r="C131" s="59" t="s">
        <v>235</v>
      </c>
      <c r="D131" s="59" t="s">
        <v>236</v>
      </c>
      <c r="E131" s="59" t="s">
        <v>11</v>
      </c>
      <c r="F131" s="60">
        <v>40</v>
      </c>
      <c r="G131" s="59" t="str">
        <f xml:space="preserve"> INDEX( co_regions[us_area], MATCH( co_states[[#This Row],[region]], co_regions[region_label], 0 ) )</f>
        <v>CONUS</v>
      </c>
    </row>
    <row r="132" spans="2:7" x14ac:dyDescent="0.2">
      <c r="B132" s="2">
        <f xml:space="preserve"> ROW( co_states[[#This Row],[row_id]] ) - ROW( co_states[[#Headers],[row_id]] )</f>
        <v>38</v>
      </c>
      <c r="C132" s="59" t="s">
        <v>237</v>
      </c>
      <c r="D132" s="59" t="s">
        <v>238</v>
      </c>
      <c r="E132" s="59" t="s">
        <v>9</v>
      </c>
      <c r="F132" s="60">
        <v>41</v>
      </c>
      <c r="G132" s="59" t="str">
        <f xml:space="preserve"> INDEX( co_regions[us_area], MATCH( co_states[[#This Row],[region]], co_regions[region_label], 0 ) )</f>
        <v>CONUS</v>
      </c>
    </row>
    <row r="133" spans="2:7" x14ac:dyDescent="0.2">
      <c r="B133" s="2">
        <f xml:space="preserve"> ROW( co_states[[#This Row],[row_id]] ) - ROW( co_states[[#Headers],[row_id]] )</f>
        <v>39</v>
      </c>
      <c r="C133" s="59" t="s">
        <v>239</v>
      </c>
      <c r="D133" s="59" t="s">
        <v>240</v>
      </c>
      <c r="E133" s="59" t="s">
        <v>7</v>
      </c>
      <c r="F133" s="60">
        <v>42</v>
      </c>
      <c r="G133" s="59" t="str">
        <f xml:space="preserve"> INDEX( co_regions[us_area], MATCH( co_states[[#This Row],[region]], co_regions[region_label], 0 ) )</f>
        <v>CONUS</v>
      </c>
    </row>
    <row r="134" spans="2:7" x14ac:dyDescent="0.2">
      <c r="B134" s="2">
        <f xml:space="preserve"> ROW( co_states[[#This Row],[row_id]] ) - ROW( co_states[[#Headers],[row_id]] )</f>
        <v>40</v>
      </c>
      <c r="C134" s="59" t="s">
        <v>241</v>
      </c>
      <c r="D134" s="59" t="s">
        <v>242</v>
      </c>
      <c r="E134" s="59" t="s">
        <v>7</v>
      </c>
      <c r="F134" s="60">
        <v>44</v>
      </c>
      <c r="G134" s="59" t="str">
        <f xml:space="preserve"> INDEX( co_regions[us_area], MATCH( co_states[[#This Row],[region]], co_regions[region_label], 0 ) )</f>
        <v>CONUS</v>
      </c>
    </row>
    <row r="135" spans="2:7" x14ac:dyDescent="0.2">
      <c r="B135" s="2">
        <f xml:space="preserve"> ROW( co_states[[#This Row],[row_id]] ) - ROW( co_states[[#Headers],[row_id]] )</f>
        <v>41</v>
      </c>
      <c r="C135" s="59" t="s">
        <v>243</v>
      </c>
      <c r="D135" s="59" t="s">
        <v>244</v>
      </c>
      <c r="E135" s="59" t="s">
        <v>10</v>
      </c>
      <c r="F135" s="60">
        <v>45</v>
      </c>
      <c r="G135" s="59" t="str">
        <f xml:space="preserve"> INDEX( co_regions[us_area], MATCH( co_states[[#This Row],[region]], co_regions[region_label], 0 ) )</f>
        <v>CONUS</v>
      </c>
    </row>
    <row r="136" spans="2:7" x14ac:dyDescent="0.2">
      <c r="B136" s="2">
        <f xml:space="preserve"> ROW( co_states[[#This Row],[row_id]] ) - ROW( co_states[[#Headers],[row_id]] )</f>
        <v>42</v>
      </c>
      <c r="C136" s="59" t="s">
        <v>245</v>
      </c>
      <c r="D136" s="59" t="s">
        <v>246</v>
      </c>
      <c r="E136" s="59" t="s">
        <v>8</v>
      </c>
      <c r="F136" s="60">
        <v>46</v>
      </c>
      <c r="G136" s="59" t="str">
        <f xml:space="preserve"> INDEX( co_regions[us_area], MATCH( co_states[[#This Row],[region]], co_regions[region_label], 0 ) )</f>
        <v>CONUS</v>
      </c>
    </row>
    <row r="137" spans="2:7" x14ac:dyDescent="0.2">
      <c r="B137" s="2">
        <f xml:space="preserve"> ROW( co_states[[#This Row],[row_id]] ) - ROW( co_states[[#Headers],[row_id]] )</f>
        <v>43</v>
      </c>
      <c r="C137" s="59" t="s">
        <v>247</v>
      </c>
      <c r="D137" s="59" t="s">
        <v>248</v>
      </c>
      <c r="E137" s="59" t="s">
        <v>10</v>
      </c>
      <c r="F137" s="60">
        <v>47</v>
      </c>
      <c r="G137" s="59" t="str">
        <f xml:space="preserve"> INDEX( co_regions[us_area], MATCH( co_states[[#This Row],[region]], co_regions[region_label], 0 ) )</f>
        <v>CONUS</v>
      </c>
    </row>
    <row r="138" spans="2:7" x14ac:dyDescent="0.2">
      <c r="B138" s="2">
        <f xml:space="preserve"> ROW( co_states[[#This Row],[row_id]] ) - ROW( co_states[[#Headers],[row_id]] )</f>
        <v>44</v>
      </c>
      <c r="C138" s="59" t="s">
        <v>249</v>
      </c>
      <c r="D138" s="59" t="s">
        <v>250</v>
      </c>
      <c r="E138" s="59" t="s">
        <v>11</v>
      </c>
      <c r="F138" s="60">
        <v>48</v>
      </c>
      <c r="G138" s="59" t="str">
        <f xml:space="preserve"> INDEX( co_regions[us_area], MATCH( co_states[[#This Row],[region]], co_regions[region_label], 0 ) )</f>
        <v>CONUS</v>
      </c>
    </row>
    <row r="139" spans="2:7" x14ac:dyDescent="0.2">
      <c r="B139" s="2">
        <f xml:space="preserve"> ROW( co_states[[#This Row],[row_id]] ) - ROW( co_states[[#Headers],[row_id]] )</f>
        <v>45</v>
      </c>
      <c r="C139" s="59" t="s">
        <v>251</v>
      </c>
      <c r="D139" s="59" t="s">
        <v>252</v>
      </c>
      <c r="E139" s="59" t="s">
        <v>12</v>
      </c>
      <c r="F139" s="60">
        <v>49</v>
      </c>
      <c r="G139" s="59" t="str">
        <f xml:space="preserve"> INDEX( co_regions[us_area], MATCH( co_states[[#This Row],[region]], co_regions[region_label], 0 ) )</f>
        <v>CONUS</v>
      </c>
    </row>
    <row r="140" spans="2:7" x14ac:dyDescent="0.2">
      <c r="B140" s="2">
        <f xml:space="preserve"> ROW( co_states[[#This Row],[row_id]] ) - ROW( co_states[[#Headers],[row_id]] )</f>
        <v>46</v>
      </c>
      <c r="C140" s="59" t="s">
        <v>253</v>
      </c>
      <c r="D140" s="59" t="s">
        <v>254</v>
      </c>
      <c r="E140" s="59" t="s">
        <v>7</v>
      </c>
      <c r="F140" s="60">
        <v>50</v>
      </c>
      <c r="G140" s="59" t="str">
        <f xml:space="preserve"> INDEX( co_regions[us_area], MATCH( co_states[[#This Row],[region]], co_regions[region_label], 0 ) )</f>
        <v>CONUS</v>
      </c>
    </row>
    <row r="141" spans="2:7" x14ac:dyDescent="0.2">
      <c r="B141" s="2">
        <f xml:space="preserve"> ROW( co_states[[#This Row],[row_id]] ) - ROW( co_states[[#Headers],[row_id]] )</f>
        <v>47</v>
      </c>
      <c r="C141" s="59" t="s">
        <v>255</v>
      </c>
      <c r="D141" s="59" t="s">
        <v>256</v>
      </c>
      <c r="E141" s="59" t="s">
        <v>10</v>
      </c>
      <c r="F141" s="60">
        <v>51</v>
      </c>
      <c r="G141" s="59" t="str">
        <f xml:space="preserve"> INDEX( co_regions[us_area], MATCH( co_states[[#This Row],[region]], co_regions[region_label], 0 ) )</f>
        <v>CONUS</v>
      </c>
    </row>
    <row r="142" spans="2:7" x14ac:dyDescent="0.2">
      <c r="B142" s="2">
        <f xml:space="preserve"> ROW( co_states[[#This Row],[row_id]] ) - ROW( co_states[[#Headers],[row_id]] )</f>
        <v>48</v>
      </c>
      <c r="C142" s="59" t="s">
        <v>257</v>
      </c>
      <c r="D142" s="59" t="s">
        <v>258</v>
      </c>
      <c r="E142" s="59" t="s">
        <v>9</v>
      </c>
      <c r="F142" s="60">
        <v>53</v>
      </c>
      <c r="G142" s="59" t="str">
        <f xml:space="preserve"> INDEX( co_regions[us_area], MATCH( co_states[[#This Row],[region]], co_regions[region_label], 0 ) )</f>
        <v>CONUS</v>
      </c>
    </row>
    <row r="143" spans="2:7" x14ac:dyDescent="0.2">
      <c r="B143" s="2">
        <f xml:space="preserve"> ROW( co_states[[#This Row],[row_id]] ) - ROW( co_states[[#Headers],[row_id]] )</f>
        <v>49</v>
      </c>
      <c r="C143" s="59" t="s">
        <v>259</v>
      </c>
      <c r="D143" s="59" t="s">
        <v>260</v>
      </c>
      <c r="E143" s="59" t="s">
        <v>7</v>
      </c>
      <c r="F143" s="60">
        <v>54</v>
      </c>
      <c r="G143" s="59" t="str">
        <f xml:space="preserve"> INDEX( co_regions[us_area], MATCH( co_states[[#This Row],[region]], co_regions[region_label], 0 ) )</f>
        <v>CONUS</v>
      </c>
    </row>
    <row r="144" spans="2:7" x14ac:dyDescent="0.2">
      <c r="B144" s="2">
        <f xml:space="preserve"> ROW( co_states[[#This Row],[row_id]] ) - ROW( co_states[[#Headers],[row_id]] )</f>
        <v>50</v>
      </c>
      <c r="C144" s="59" t="s">
        <v>261</v>
      </c>
      <c r="D144" s="59" t="s">
        <v>262</v>
      </c>
      <c r="E144" s="59" t="s">
        <v>6</v>
      </c>
      <c r="F144" s="60">
        <v>55</v>
      </c>
      <c r="G144" s="59" t="str">
        <f xml:space="preserve"> INDEX( co_regions[us_area], MATCH( co_states[[#This Row],[region]], co_regions[region_label], 0 ) )</f>
        <v>CONUS</v>
      </c>
    </row>
    <row r="145" spans="1:21" x14ac:dyDescent="0.2">
      <c r="B145" s="2">
        <f xml:space="preserve"> ROW( co_states[[#This Row],[row_id]] ) - ROW( co_states[[#Headers],[row_id]] )</f>
        <v>51</v>
      </c>
      <c r="C145" s="59" t="s">
        <v>263</v>
      </c>
      <c r="D145" s="59" t="s">
        <v>264</v>
      </c>
      <c r="E145" s="59" t="s">
        <v>8</v>
      </c>
      <c r="F145" s="60">
        <v>56</v>
      </c>
      <c r="G145" s="59" t="str">
        <f xml:space="preserve"> INDEX( co_regions[us_area], MATCH( co_states[[#This Row],[region]], co_regions[region_label], 0 ) )</f>
        <v>CONUS</v>
      </c>
    </row>
    <row r="149" spans="1:21" ht="15" x14ac:dyDescent="0.25">
      <c r="A149" s="13"/>
      <c r="B149" s="14" t="s">
        <v>315</v>
      </c>
      <c r="C149" s="14"/>
      <c r="D149" s="14"/>
      <c r="E149" s="14"/>
      <c r="F149" s="14"/>
      <c r="G149" s="14"/>
      <c r="H149" s="14"/>
      <c r="I149" s="14"/>
      <c r="J149" s="14"/>
      <c r="K149" s="14"/>
      <c r="L149" s="14"/>
      <c r="M149" s="14"/>
      <c r="N149" s="14"/>
      <c r="O149" s="14"/>
      <c r="P149" s="14"/>
      <c r="Q149" s="14"/>
      <c r="R149" s="14"/>
      <c r="S149" s="14"/>
      <c r="T149" s="14"/>
      <c r="U149" s="14"/>
    </row>
    <row r="150" spans="1:21" x14ac:dyDescent="0.2">
      <c r="B150" s="2" t="s">
        <v>287</v>
      </c>
    </row>
    <row r="151" spans="1:21" x14ac:dyDescent="0.2">
      <c r="B151" s="23" t="s">
        <v>57</v>
      </c>
      <c r="C151" s="23" t="s">
        <v>284</v>
      </c>
      <c r="D151" s="23" t="s">
        <v>282</v>
      </c>
      <c r="E151" s="23" t="s">
        <v>283</v>
      </c>
      <c r="F151" s="23" t="s">
        <v>285</v>
      </c>
      <c r="G151" s="23" t="s">
        <v>286</v>
      </c>
    </row>
    <row r="152" spans="1:21" x14ac:dyDescent="0.2">
      <c r="B152" s="4">
        <f xml:space="preserve"> ROW( co_noxFactor[[#This Row],[row_id]] ) - ROW( co_noxFactor[[#Headers],[row_id]] )</f>
        <v>1</v>
      </c>
      <c r="C152" s="36">
        <v>10.528</v>
      </c>
      <c r="D152" s="36">
        <v>-0.49</v>
      </c>
      <c r="E152" s="36">
        <v>-1.1200000000000001</v>
      </c>
      <c r="F152" s="36">
        <f t="shared" ref="F152" si="0" xml:space="preserve"> 10^-3 / 556</f>
        <v>1.7985611510791368E-6</v>
      </c>
      <c r="G152" s="23">
        <f xml:space="preserve"> (LOG10( co_noxFactor[[#This Row],[base]] ) * co_noxFactor[[#This Row],[slope]] + co_noxFactor[[#This Row],[intercept]] ) * co_noxFactor[[#This Row],[adj]]</f>
        <v>-2.9153767614608659E-6</v>
      </c>
    </row>
  </sheetData>
  <phoneticPr fontId="8" type="noConversion"/>
  <conditionalFormatting sqref="B18:F20">
    <cfRule type="expression" dxfId="0" priority="7">
      <formula xml:space="preserve"> IF( $E18 = 1, 1, 0)</formula>
    </cfRule>
  </conditionalFormatting>
  <hyperlinks>
    <hyperlink ref="C7" location="loc_coModels" display="loc_coModels" xr:uid="{1AB1FA05-ED11-4F07-8B38-FA24CC6D4F4F}"/>
    <hyperlink ref="C6" location="loc_coModelTypes" display="loc_coModelTypes" xr:uid="{DCB9BCCC-30A5-4252-A90A-CD0112FF06A8}"/>
    <hyperlink ref="C4" location="loc_coScalars" display="loc_coScalars" xr:uid="{9B32F273-E2BC-47BF-A60E-7A67D15D4D38}"/>
    <hyperlink ref="C5" location="loc_econMultipliers" display="loc_econMultipliers" xr:uid="{718FB73A-562F-40A4-9DCC-F7B32D89CA2B}"/>
    <hyperlink ref="C2" location="loc_coSectors" display="loc_coSectors" xr:uid="{0561FE55-51F9-468F-AA02-79E8761039B2}"/>
    <hyperlink ref="C8" location="loc_coRegions" display="loc_coRegions" xr:uid="{A2DFA603-87D5-4136-9543-B92064985F7D}"/>
    <hyperlink ref="C3" location="loc_coImpactTypes" display="loc_coImpactTypes" xr:uid="{114E9DA3-56F7-4D1E-B736-84EC6F366C11}"/>
    <hyperlink ref="C9" location="loc_coInputScenarioInfo" display="loc_coInputScenarioInfo" xr:uid="{DA18E986-20B5-4E54-BA62-B58518D13EF3}"/>
    <hyperlink ref="C10" location="loc_coStates" display="loc_coStates" xr:uid="{8BF3847D-2A5D-4A55-BC5A-0B347ED52535}"/>
    <hyperlink ref="C11" location="loc_coStates" display="loc_coStates" xr:uid="{CD5C6B9A-8F7E-4611-BAAC-3D2534BA5697}"/>
  </hyperlinks>
  <pageMargins left="0.7" right="0.7" top="0.75" bottom="0.75" header="0.3" footer="0.3"/>
  <pageSetup orientation="portrait" horizontalDpi="1200" verticalDpi="1200" r:id="rId1"/>
  <legacyDrawing r:id="rId2"/>
  <tableParts count="10">
    <tablePart r:id="rId3"/>
    <tablePart r:id="rId4"/>
    <tablePart r:id="rId5"/>
    <tablePart r:id="rId6"/>
    <tablePart r:id="rId7"/>
    <tablePart r:id="rId8"/>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153</v>
      </c>
    </row>
    <row r="3" spans="2:6" x14ac:dyDescent="0.25">
      <c r="B3" s="50" t="s">
        <v>57</v>
      </c>
      <c r="C3" s="50" t="s">
        <v>21</v>
      </c>
      <c r="D3" s="50" t="s">
        <v>154</v>
      </c>
      <c r="E3" s="50" t="s">
        <v>155</v>
      </c>
      <c r="F3" s="50" t="s">
        <v>148</v>
      </c>
    </row>
    <row r="4" spans="2:6" ht="75" x14ac:dyDescent="0.25">
      <c r="B4" s="51">
        <f xml:space="preserve"> ROW( Readme_sectors[[#This Row],[row_id]] ) - ROW( Readme_sectors[[#Headers],[row_id]] )</f>
        <v>1</v>
      </c>
      <c r="C4" s="50" t="s">
        <v>13</v>
      </c>
      <c r="D4" s="50" t="s">
        <v>14</v>
      </c>
      <c r="E4" s="50" t="s">
        <v>53</v>
      </c>
      <c r="F4" s="52" t="s">
        <v>156</v>
      </c>
    </row>
    <row r="5" spans="2:6" ht="45" x14ac:dyDescent="0.25">
      <c r="B5" s="51">
        <f xml:space="preserve"> ROW( Readme_sectors[[#This Row],[row_id]] ) - ROW( Readme_sectors[[#Headers],[row_id]] )</f>
        <v>2</v>
      </c>
      <c r="C5" s="51" t="s">
        <v>22</v>
      </c>
      <c r="D5" s="50" t="s">
        <v>14</v>
      </c>
      <c r="E5" s="50" t="s">
        <v>53</v>
      </c>
      <c r="F5" s="52" t="s">
        <v>157</v>
      </c>
    </row>
    <row r="8" spans="2:6" x14ac:dyDescent="0.25">
      <c r="B8" t="s">
        <v>158</v>
      </c>
    </row>
    <row r="9" spans="2:6" x14ac:dyDescent="0.25">
      <c r="B9" t="s">
        <v>57</v>
      </c>
      <c r="C9" t="s">
        <v>21</v>
      </c>
      <c r="D9" t="s">
        <v>154</v>
      </c>
      <c r="E9" t="s">
        <v>155</v>
      </c>
    </row>
    <row r="10" spans="2:6" x14ac:dyDescent="0.25">
      <c r="B10" s="1">
        <f xml:space="preserve"> ROW( Readme_adaptations[[#This Row],[row_id]] ) - ROW( Readme_adaptations[[#Headers],[row_id]] )</f>
        <v>1</v>
      </c>
      <c r="C10" t="s">
        <v>13</v>
      </c>
      <c r="D10" t="s">
        <v>14</v>
      </c>
      <c r="E10" t="s">
        <v>53</v>
      </c>
    </row>
    <row r="11" spans="2:6" x14ac:dyDescent="0.25">
      <c r="B11" s="1">
        <f xml:space="preserve"> ROW( Readme_adaptations[[#This Row],[row_id]] ) - ROW( Readme_adaptations[[#Headers],[row_id]] )</f>
        <v>2</v>
      </c>
      <c r="C11" t="s">
        <v>13</v>
      </c>
      <c r="D11" t="s">
        <v>15</v>
      </c>
      <c r="E11" t="s">
        <v>55</v>
      </c>
    </row>
    <row r="12" spans="2:6" x14ac:dyDescent="0.25">
      <c r="B12" s="1">
        <f xml:space="preserve"> ROW( Readme_adaptations[[#This Row],[row_id]] ) - ROW( Readme_adaptations[[#Headers],[row_id]] )</f>
        <v>3</v>
      </c>
      <c r="C12" t="s">
        <v>13</v>
      </c>
      <c r="D12" t="s">
        <v>18</v>
      </c>
      <c r="E12" t="s">
        <v>54</v>
      </c>
    </row>
    <row r="13" spans="2:6" x14ac:dyDescent="0.25">
      <c r="B13" s="1">
        <f xml:space="preserve"> ROW( Readme_adaptations[[#This Row],[row_id]] ) - ROW( Readme_adaptations[[#Headers],[row_id]] )</f>
        <v>4</v>
      </c>
      <c r="C13" s="1" t="s">
        <v>22</v>
      </c>
      <c r="D13" t="s">
        <v>14</v>
      </c>
      <c r="E13" t="s">
        <v>53</v>
      </c>
    </row>
    <row r="14" spans="2:6" x14ac:dyDescent="0.25">
      <c r="B14" s="1">
        <f xml:space="preserve"> ROW( Readme_adaptations[[#This Row],[row_id]] ) - ROW( Readme_adaptations[[#Headers],[row_id]] )</f>
        <v>5</v>
      </c>
      <c r="C14" s="1" t="s">
        <v>22</v>
      </c>
      <c r="D14" t="s">
        <v>15</v>
      </c>
      <c r="E14" t="s">
        <v>56</v>
      </c>
    </row>
    <row r="15" spans="2:6" x14ac:dyDescent="0.25">
      <c r="B15" s="1">
        <f xml:space="preserve"> ROW( Readme_adaptations[[#This Row],[row_id]] ) - ROW( Readme_adaptations[[#Headers],[row_id]] )</f>
        <v>6</v>
      </c>
      <c r="C15" s="1" t="s">
        <v>22</v>
      </c>
      <c r="D15" t="s">
        <v>18</v>
      </c>
      <c r="E15" t="s">
        <v>52</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ReadMe</vt:lpstr>
      <vt:lpstr>tableNames</vt:lpstr>
      <vt:lpstr>controlTables</vt:lpstr>
      <vt:lpstr>slrReadMe</vt:lpstr>
      <vt:lpstr>list_co_gcms</vt:lpstr>
      <vt:lpstr>loc_coImpactTypes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2025-03-04T19:32:45Z</dcterms:modified>
</cp:coreProperties>
</file>